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vsd" ContentType="application/vnd.visio"/>
  <Default Extension="vsdx" ContentType="application/vnd.ms-visio.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9.xml" ContentType="application/vnd.openxmlformats-officedocument.drawing+xml"/>
  <Override PartName="/xl/charts/chart3.xml" ContentType="application/vnd.openxmlformats-officedocument.drawingml.chart+xml"/>
  <Override PartName="/xl/drawings/drawing10.xml" ContentType="application/vnd.openxmlformats-officedocument.drawingml.chartshapes+xml"/>
  <Override PartName="/xl/charts/chart4.xml" ContentType="application/vnd.openxmlformats-officedocument.drawingml.chart+xml"/>
  <Override PartName="/xl/drawings/drawing11.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12.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codeName="ThisWorkbook"/>
  <mc:AlternateContent xmlns:mc="http://schemas.openxmlformats.org/markup-compatibility/2006">
    <mc:Choice Requires="x15">
      <x15ac:absPath xmlns:x15ac="http://schemas.microsoft.com/office/spreadsheetml/2010/11/ac" url="m:\Amit Medina\Schematic and Layout Design Course\"/>
    </mc:Choice>
  </mc:AlternateContent>
  <xr:revisionPtr revIDLastSave="0" documentId="8_{F5F2A01C-CF49-4316-818A-005E11CAD210}" xr6:coauthVersionLast="47" xr6:coauthVersionMax="47" xr10:uidLastSave="{00000000-0000-0000-0000-000000000000}"/>
  <workbookProtection workbookAlgorithmName="SHA-512" workbookHashValue="z5FqPcKKBi5N5vWNRvcYhJXgQpCVhA6Nlkt2y6dNUxC67iEK3bipfR2nj7F8lthz3hfo8uuKqtD3glDULCo3lg==" workbookSaltValue="jp688ZIxTdWp8B4uuQx0XQ==" workbookSpinCount="100000" lockStructure="1"/>
  <bookViews>
    <workbookView xWindow="-120" yWindow="-120" windowWidth="38640" windowHeight="21120" tabRatio="329" xr2:uid="{00000000-000D-0000-FFFF-FFFF00000000}"/>
  </bookViews>
  <sheets>
    <sheet name="Design Regulator" sheetId="1" r:id="rId1"/>
    <sheet name="Input Filters" sheetId="29" state="hidden" r:id="rId2"/>
    <sheet name="Design Input Filter" sheetId="28" state="hidden" r:id="rId3"/>
    <sheet name="BOM &amp; Schematic" sheetId="16" r:id="rId4"/>
    <sheet name="EVM" sheetId="14" r:id="rId5"/>
    <sheet name="Variable Management" sheetId="2" state="hidden" r:id="rId6"/>
    <sheet name="Schematic Management" sheetId="22" state="hidden" r:id="rId7"/>
    <sheet name="Stability Calculations" sheetId="17" state="hidden" r:id="rId8"/>
    <sheet name="Bode Plot Management" sheetId="24" state="hidden" r:id="rId9"/>
    <sheet name="Efficiency Calculations" sheetId="21" state="hidden" r:id="rId10"/>
    <sheet name="Efficiency Plot Management" sheetId="19" state="hidden" r:id="rId11"/>
    <sheet name="Input Filter Calculations" sheetId="27" state="hidden" r:id="rId12"/>
    <sheet name="Standard Value Calculator" sheetId="8" state="hidden" r:id="rId13"/>
    <sheet name="Snubber" sheetId="11" state="hidden" r:id="rId14"/>
    <sheet name="Parallel Output Caps" sheetId="6" state="hidden" r:id="rId15"/>
  </sheets>
  <definedNames>
    <definedName name="_Don1">'Variable Management'!$B$34</definedName>
    <definedName name="_Don2">'Variable Management'!$B$49</definedName>
    <definedName name="Acs">'Variable Management'!$B$223</definedName>
    <definedName name="Acs_Ch2">'Variable Management'!$D$223</definedName>
    <definedName name="Adc">'Stability Calculations'!$U$3</definedName>
    <definedName name="AEA">'Variable Management'!$B$221</definedName>
    <definedName name="Afb">'Variable Management'!$B$222</definedName>
    <definedName name="Afb_Ch2">'Variable Management'!$D$222</definedName>
    <definedName name="Afbr">'Stability Calculations'!$Q$6</definedName>
    <definedName name="Am">'Variable Management'!$B$225</definedName>
    <definedName name="Am_buck">'Variable Management'!$B$224</definedName>
    <definedName name="Am_buck_Ch2">'Variable Management'!$D$224</definedName>
    <definedName name="Am_Ch2">'Variable Management'!$D$225</definedName>
    <definedName name="Attn_req">'Variable Management'!$B$284</definedName>
    <definedName name="BODE_PLOT_Ch1">'Bode Plot Management'!$B$5</definedName>
    <definedName name="BODE_PLOT_Ch2">'Bode Plot Management'!$B$8</definedName>
    <definedName name="BODE_PLOT_TYPE">'Variable Management'!$AA$10</definedName>
    <definedName name="Buck_CS_threshold">'Variable Management'!$B$85</definedName>
    <definedName name="Buck_CS_threshold_max">'Variable Management'!$B$86</definedName>
    <definedName name="Buck_CS_threshold_min">'Variable Management'!$B$84</definedName>
    <definedName name="Cb">'Variable Management'!$B$194</definedName>
    <definedName name="Cbw">'Variable Management'!$B$219</definedName>
    <definedName name="Cby">'Variable Management'!$B$193</definedName>
    <definedName name="Cc1ea">'Variable Management'!$B$242</definedName>
    <definedName name="Cc1ea_u">'Variable Management'!$B$248</definedName>
    <definedName name="Cc2ea">'Variable Management'!$B$243</definedName>
    <definedName name="Cc2ea_u">'Variable Management'!$B$249</definedName>
    <definedName name="Cc3ea">'Variable Management'!$D$242</definedName>
    <definedName name="Cc3ea_u">'Variable Management'!$D$248</definedName>
    <definedName name="Cc4ea">'Variable Management'!$D$243</definedName>
    <definedName name="Cc4ea_u">'Variable Management'!$D$249</definedName>
    <definedName name="Ccomp_AEF">'Variable Management'!$D$297</definedName>
    <definedName name="Cdamp_AEFstd">'Standard Value Calculator'!$N$4</definedName>
    <definedName name="Cdamp_PassiveStd">'Standard Value Calculator'!$L$4</definedName>
    <definedName name="CdampCom">'Input Filter Calculations'!$AE$5</definedName>
    <definedName name="CdampPssv">'Input Filter Calculations'!$M$5</definedName>
    <definedName name="CdampSel">'Variable Management'!$D$295</definedName>
    <definedName name="Cdither">'Variable Management'!$B$193</definedName>
    <definedName name="Cdither_init">'Variable Management'!$B$192</definedName>
    <definedName name="Cfb">'Variable Management'!$B$261</definedName>
    <definedName name="Cff">'Variable Management'!$B$260</definedName>
    <definedName name="CfilterPssv">'Input Filter Calculations'!$M$4</definedName>
    <definedName name="Ch2_VOUT">'Variable Management'!$O$16</definedName>
    <definedName name="Cin">'Variable Management'!$B$150</definedName>
    <definedName name="Cin_PassiveStd">'Standard Value Calculator'!$K$4</definedName>
    <definedName name="CinEsrMax">'Variable Management'!$B$154</definedName>
    <definedName name="Cinj_AEF">'Variable Management'!$B$293</definedName>
    <definedName name="Cinj_AEFstd">'Standard Value Calculator'!$M$4</definedName>
    <definedName name="CinjCom">'Input Filter Calculations'!$AE$4</definedName>
    <definedName name="CinjSel">'Variable Management'!$D$293</definedName>
    <definedName name="Cinmin">'Variable Management'!$B$147</definedName>
    <definedName name="COMP_TYPE">'Variable Management'!$AA$21</definedName>
    <definedName name="Core_Loss_Ch1">'Variable Management'!$B$73</definedName>
    <definedName name="Coss_Q1">'Variable Management'!$B$336</definedName>
    <definedName name="Coss_Q2">'Variable Management'!$D$336</definedName>
    <definedName name="Cout">'Variable Management'!$B$122</definedName>
    <definedName name="Cout_ESR">'Variable Management'!$B$126</definedName>
    <definedName name="Cout_min">'Variable Management'!$B$120</definedName>
    <definedName name="Cout2">'Variable Management'!$D$122</definedName>
    <definedName name="Cout2_ESR">'Variable Management'!$D$126</definedName>
    <definedName name="Cout2_min">'Variable Management'!$D$120</definedName>
    <definedName name="Cout2EsrMax">'Variable Management'!$D$123</definedName>
    <definedName name="CoutEsrMax">'Variable Management'!$B$123</definedName>
    <definedName name="Cres">'Variable Management'!$B$174</definedName>
    <definedName name="Cres_u">'Variable Management'!$B$175</definedName>
    <definedName name="CSAmp_gain">'Variable Management'!$B$198</definedName>
    <definedName name="Csb">'Variable Management'!$B$191</definedName>
    <definedName name="Csen_AEF">'Variable Management'!$D$299</definedName>
    <definedName name="Css">'Variable Management'!$B$169</definedName>
    <definedName name="Css_u">'Variable Management'!$B$170</definedName>
    <definedName name="D1_Vinmax">'Variable Management'!$B$39</definedName>
    <definedName name="D1_Vinmax_2">'Variable Management'!$B$54</definedName>
    <definedName name="D1_Vinmin">'Variable Management'!$B$37</definedName>
    <definedName name="D1_Vinmin_2">'Variable Management'!$B$52</definedName>
    <definedName name="D1_Vinnom">'Variable Management'!$B$38</definedName>
    <definedName name="D1_Vinnom_2">'Variable Management'!$B$53</definedName>
    <definedName name="D2_Vinmax">'Variable Management'!$D$39</definedName>
    <definedName name="D2_Vinmax_2">'Variable Management'!$D$54</definedName>
    <definedName name="D2_Vinmin">'Variable Management'!$D$37</definedName>
    <definedName name="D2_Vinmin_2">'Variable Management'!$D$52</definedName>
    <definedName name="D2_Vinnom">'Variable Management'!$D$38</definedName>
    <definedName name="D2_Vinnom_2">'Variable Management'!$D$53</definedName>
    <definedName name="Deadtime">'Variable Management'!$B$325</definedName>
    <definedName name="DEMB">'Variable Management'!$X$10</definedName>
    <definedName name="DITHER">'Variable Management'!$O$10</definedName>
    <definedName name="Doff1">'Variable Management'!$B$35</definedName>
    <definedName name="Doff2">'Variable Management'!$B$50</definedName>
    <definedName name="Don_buckboost">'Variable Management'!$B$40</definedName>
    <definedName name="EFF_Ch1">'Efficiency Plot Management'!$B$5</definedName>
    <definedName name="EFF_Ch2">'Efficiency Plot Management'!$B$7</definedName>
    <definedName name="Efficiency">'Variable Management'!$B$18</definedName>
    <definedName name="Ext_VCC">'Variable Management'!$X$15</definedName>
    <definedName name="Fcross">'Variable Management'!$B$240</definedName>
    <definedName name="Fcross_Ch2">'Variable Management'!$D$240</definedName>
    <definedName name="Fdither">'Variable Management'!$B$191</definedName>
    <definedName name="Fesr">'Variable Management'!$B$237</definedName>
    <definedName name="Fesr_Ch2">'Variable Management'!$D$237</definedName>
    <definedName name="Fload_u">'Variable Management'!$B$232</definedName>
    <definedName name="Fload_u_Ch2">'Variable Management'!$D$232</definedName>
    <definedName name="Fp_dominant">'Variable Management'!$B$233</definedName>
    <definedName name="Fp_dominant_Ch2">'Variable Management'!$D$233</definedName>
    <definedName name="Fp1_u">'Variable Management'!$B$235</definedName>
    <definedName name="Fp1_u_Ch2">'Variable Management'!$D$235</definedName>
    <definedName name="Fp2_u">'Variable Management'!$B$236</definedName>
    <definedName name="Fp2_u_Ch2">'Variable Management'!$D$236</definedName>
    <definedName name="Frhp" localSheetId="8">'Variable Management'!#REF!</definedName>
    <definedName name="Fsw">'Variable Management'!$B$26</definedName>
    <definedName name="Fx_infilter">'Variable Management'!$B$285</definedName>
    <definedName name="Fz1_u">'Variable Management'!$B$252</definedName>
    <definedName name="Fz1_u_Ch2">'Variable Management'!$D$252</definedName>
    <definedName name="GBW">'Variable Management'!$B$218</definedName>
    <definedName name="Gfs_Q1">'Variable Management'!$B$338</definedName>
    <definedName name="Gfs_Q2">'Variable Management'!$D$338</definedName>
    <definedName name="gm">'Variable Management'!$B$200</definedName>
    <definedName name="Gop_AEF">'Variable Management'!$B$289</definedName>
    <definedName name="Icoutrms">'Variable Management'!$B$111</definedName>
    <definedName name="Iin_Vinmax">'Variable Management'!$B$23</definedName>
    <definedName name="Iin_Vinmin">'Variable Management'!$B$21</definedName>
    <definedName name="Iin_Vinnom">'Variable Management'!$B$22</definedName>
    <definedName name="Ilimit_DC">'Variable Management'!$B$77</definedName>
    <definedName name="Ilimit2_DC">'Variable Management'!$D$77</definedName>
    <definedName name="INFILTER_TYPE">'Variable Management'!$X$28</definedName>
    <definedName name="Iout">'Variable Management'!$B$12</definedName>
    <definedName name="Iout_OCP_Vinmax">'Variable Management'!$B$99</definedName>
    <definedName name="Iout_OCP_Vinmin">'Variable Management'!$B$97</definedName>
    <definedName name="Iout_OCP_Vinnom">'Variable Management'!$B$98</definedName>
    <definedName name="Iout_threshold" localSheetId="8">'Variable Management'!#REF!</definedName>
    <definedName name="Iout2_OCP_Vinmax">'Variable Management'!$D$99</definedName>
    <definedName name="Iout2_OCP_Vinmin">'Variable Management'!$D$97</definedName>
    <definedName name="Iout2_OCP_Vinnom">'Variable Management'!$D$98</definedName>
    <definedName name="Iq">'Variable Management'!$B$327</definedName>
    <definedName name="Ireverse">'Variable Management'!$B$352</definedName>
    <definedName name="Iripple_Vinmax">'Variable Management'!$B$58</definedName>
    <definedName name="Iripple_Vinmin">'Variable Management'!$B$56</definedName>
    <definedName name="Iripple_Vinnom">'Variable Management'!$B$57</definedName>
    <definedName name="Iripple2_Vinmax">'Variable Management'!$D$58</definedName>
    <definedName name="Iripple2_Vinmin">'Variable Management'!$D$56</definedName>
    <definedName name="Iripple2_Vinnom">'Variable Management'!$D$57</definedName>
    <definedName name="Iss">'Variable Management'!$B$168</definedName>
    <definedName name="k">'Variable Management'!$B$214</definedName>
    <definedName name="k_buck">'Variable Management'!$B$211</definedName>
    <definedName name="k_Ch2">'Variable Management'!$D$214</definedName>
    <definedName name="L_infilter">'Variable Management'!$B$287</definedName>
    <definedName name="L_infilterStd">'Input Filter Calculations'!$D$3</definedName>
    <definedName name="LAEFCom">'Input Filter Calculations'!$AE$3</definedName>
    <definedName name="Lf">'Variable Management'!$B$46</definedName>
    <definedName name="LinfilterPssv">'Input Filter Calculations'!$M$3</definedName>
    <definedName name="Lo_2">'Variable Management'!$D$46</definedName>
    <definedName name="loopPM">'Stability Calculations'!$AI$9</definedName>
    <definedName name="loopxover">'Stability Calculations'!$AI$7</definedName>
    <definedName name="Lopt">'Variable Management'!$B$44</definedName>
    <definedName name="Lopt2">'Variable Management'!$D$44</definedName>
    <definedName name="Ltc">'Variable Management'!$B$312</definedName>
    <definedName name="mc">'Variable Management'!$B$213</definedName>
    <definedName name="mc_buck">'Variable Management'!$B$210</definedName>
    <definedName name="mc_buck_Ch2">'Variable Management'!$D$210</definedName>
    <definedName name="mc_Ch2">'Variable Management'!$D$213</definedName>
    <definedName name="MODE">'Variable Management'!$U$13</definedName>
    <definedName name="nAEF">'Variable Management'!$B$290</definedName>
    <definedName name="No_RT">'Variable Management'!$H$443</definedName>
    <definedName name="Number_of_Phases">'Variable Management'!$U$15</definedName>
    <definedName name="OSC">'Variable Management'!$X$21</definedName>
    <definedName name="Pi">'Variable Management'!$B$197</definedName>
    <definedName name="PICTURE">INDIRECT('Efficiency Plot Management'!$A$2)</definedName>
    <definedName name="PICTURE2" localSheetId="3">INDIRECT('Schematic Management'!$A$2)</definedName>
    <definedName name="PICTURE2" localSheetId="0">INDIRECT('Schematic Management'!$A$2)</definedName>
    <definedName name="PICTURE3">INDIRECT('Bode Plot Management'!$A$2)</definedName>
    <definedName name="Pin">'Variable Management'!$B$19</definedName>
    <definedName name="PLOT_TYPE">'Variable Management'!$L$10</definedName>
    <definedName name="pole1">'Stability Calculations'!$K$4</definedName>
    <definedName name="Pole2">'Stability Calculations'!$C$5</definedName>
    <definedName name="pole3">'Stability Calculations'!$N$3</definedName>
    <definedName name="pole4">'Stability Calculations'!$C$7</definedName>
    <definedName name="Pout">'Variable Management'!$B$16</definedName>
    <definedName name="_xlnm.Print_Area" localSheetId="3">'BOM &amp; Schematic'!$A$1:$J$61</definedName>
    <definedName name="_xlnm.Print_Area" localSheetId="0">'Design Regulator'!$A$1:$P$106</definedName>
    <definedName name="pterm1">'Stability Calculations'!$N$4</definedName>
    <definedName name="pterm2">'Stability Calculations'!$N$5</definedName>
    <definedName name="pterm3">'Stability Calculations'!$Q$4</definedName>
    <definedName name="pterm4">'Stability Calculations'!$Q$5</definedName>
    <definedName name="Q">'Variable Management'!$B$215</definedName>
    <definedName name="Q_Ch2">'Variable Management'!$D$215</definedName>
    <definedName name="Qg_Q1">'Variable Management'!$B$332</definedName>
    <definedName name="Qg_Q2">'Variable Management'!$D$332</definedName>
    <definedName name="Qgd_Q1">'Variable Management'!$B$333</definedName>
    <definedName name="Qgd_Q2">'Variable Management'!$D$333</definedName>
    <definedName name="Qgs_Q1">'Variable Management'!$B$334</definedName>
    <definedName name="Qgs_Q2">'Variable Management'!$D$334</definedName>
    <definedName name="Qoss_Q1">'Variable Management'!$B$335</definedName>
    <definedName name="Qoss_Q2">'Variable Management'!$D$335</definedName>
    <definedName name="Qrr_Q2">'Variable Management'!$D$343</definedName>
    <definedName name="QrrSky_Q2">'Variable Management'!$B$351</definedName>
    <definedName name="radconv">'Stability Calculations'!$U$6</definedName>
    <definedName name="Rcea1">'Variable Management'!$B$241</definedName>
    <definedName name="Rcea1_u">'Variable Management'!$B$247</definedName>
    <definedName name="Rcea2">'Variable Management'!$D$241</definedName>
    <definedName name="Rcea2_u">'Variable Management'!#REF!</definedName>
    <definedName name="RCinEsr">'Variable Management'!$B$156</definedName>
    <definedName name="Rcomp_AEF">'Variable Management'!$B$298</definedName>
    <definedName name="RCoutEsr">'Variable Management'!$B$126</definedName>
    <definedName name="Rdamp_AEFstd">'Standard Value Calculator'!$S$26</definedName>
    <definedName name="Rdamp_PassiveStd">'Standard Value Calculator'!$S$27</definedName>
    <definedName name="RdampCom">'Input Filter Calculations'!$AE$6</definedName>
    <definedName name="RdampPssv">'Input Filter Calculations'!$M$6</definedName>
    <definedName name="RdampSel">'Variable Management'!$D$296</definedName>
    <definedName name="Rdcr">'Variable Management'!$B$47</definedName>
    <definedName name="Rdcr2">'Variable Management'!$D$47</definedName>
    <definedName name="Rdson1">'Variable Management'!$B$330</definedName>
    <definedName name="Rdson2">'Variable Management'!$D$330</definedName>
    <definedName name="RdsonBotTc">'Variable Management'!$D$331</definedName>
    <definedName name="RdsonDRB">'Variable Management'!$B$322</definedName>
    <definedName name="RdsonDRB2">'Variable Management'!$B$323</definedName>
    <definedName name="RdsonDRT">'Variable Management'!$B$319</definedName>
    <definedName name="RdsonDRT2">'Variable Management'!$B$320</definedName>
    <definedName name="RdsonTopTc">'Variable Management'!$B$331</definedName>
    <definedName name="Rfadj">'Variable Management'!$B$31</definedName>
    <definedName name="Rfb1_">'Variable Management'!$B$255</definedName>
    <definedName name="Rfb2_">'Variable Management'!$B$256</definedName>
    <definedName name="Rfb2_u">'Variable Management'!$B$257</definedName>
    <definedName name="Rfb3_">'Variable Management'!$D$255</definedName>
    <definedName name="Rfb4_">'Variable Management'!$D$256</definedName>
    <definedName name="Rfb4_u">'Variable Management'!$D$257</definedName>
    <definedName name="Rfets">'Variable Management'!$B$274</definedName>
    <definedName name="Rff">'Variable Management'!$B$259</definedName>
    <definedName name="Rgate1">'Variable Management'!$B$337</definedName>
    <definedName name="Rgate2">'Variable Management'!$D$337</definedName>
    <definedName name="Ri">'Variable Management'!$B$199</definedName>
    <definedName name="Ri_Ch2">'Variable Management'!$D$199</definedName>
    <definedName name="Ro">'Variable Management'!$B$230</definedName>
    <definedName name="Ro_Ch2">'Variable Management'!$D$230</definedName>
    <definedName name="RoEA">'Variable Management'!$B$220</definedName>
    <definedName name="Rout">'Variable Management'!$B$14</definedName>
    <definedName name="Rout2">'Variable Management'!$B$15</definedName>
    <definedName name="Rpg">'Variable Management'!$B$177</definedName>
    <definedName name="Rs">'Variable Management'!$B$93</definedName>
    <definedName name="Rs_Ch2">'Variable Management'!$D$93</definedName>
    <definedName name="Rs_ideal">'Variable Management'!$B$92</definedName>
    <definedName name="Rs2_ideal">'Variable Management'!$D$92</definedName>
    <definedName name="Sch_AdjVout_ExtComp_AEF">'Schematic Management'!$B$21</definedName>
    <definedName name="Sch_AdjVout_ExtComp_nAEF">'Schematic Management'!$B$19</definedName>
    <definedName name="Sch_AdjVout_IntComp_AEF">'Schematic Management'!$B$17</definedName>
    <definedName name="Sch_AdjVout_IntComp_nAEF">'Schematic Management'!$B$14</definedName>
    <definedName name="SCH_MODE">'Variable Management'!$U$12</definedName>
    <definedName name="SCH_SETTING">'Variable Management'!$L$33</definedName>
    <definedName name="Sch_SetVout_ExtComp_AEF">'Schematic Management'!$B$12</definedName>
    <definedName name="Sch_SetVout_ExtComp_nAEF">'Schematic Management'!$B$10</definedName>
    <definedName name="Sch_SetVout_IntComp_AEF">'Schematic Management'!$B$8</definedName>
    <definedName name="Sch_SetVout_IntComp_nAEF">'Schematic Management'!$B$5</definedName>
    <definedName name="Se_ext">'Variable Management'!$B$202</definedName>
    <definedName name="Sf">'Variable Management'!$B$204</definedName>
    <definedName name="Sf_Ch2">'Variable Management'!$D$204</definedName>
    <definedName name="SINGLE_OUTPUT">'Variable Management'!$U$14</definedName>
    <definedName name="Sn">'Variable Management'!$B$203</definedName>
    <definedName name="Sn_Ch2">'Variable Management'!$D$203</definedName>
    <definedName name="Ta">'Variable Management'!$B$310</definedName>
    <definedName name="Tf_buck">'Variable Management'!$B$359</definedName>
    <definedName name="Tf_Ch2">'Variable Management'!$D$359</definedName>
    <definedName name="ThetaCa">'Variable Management'!$B$313</definedName>
    <definedName name="ThetaJA_Q1">'Variable Management'!$B$345</definedName>
    <definedName name="ThetaJA_Q2">'Variable Management'!$D$345</definedName>
    <definedName name="ThetaJaCtrl">'Variable Management'!$B$355</definedName>
    <definedName name="TL">'Variable Management'!$B$73</definedName>
    <definedName name="Tr_buck">'Variable Management'!$B$358</definedName>
    <definedName name="Tr_Ch2">'Variable Management'!$D$358</definedName>
    <definedName name="Tres">'Variable Management'!$B$173</definedName>
    <definedName name="Trr_Q1">'Variable Management'!$B$344</definedName>
    <definedName name="Trr_Q2">'Variable Management'!$D$344</definedName>
    <definedName name="Ts">'Variable Management'!$B$29</definedName>
    <definedName name="Tss">'Variable Management'!$B$167</definedName>
    <definedName name="UVLO_TYPE">'Variable Management'!$AA$27</definedName>
    <definedName name="VARIANT">'Variable Management'!$Q$29</definedName>
    <definedName name="VCC">'Variable Management'!$B$317</definedName>
    <definedName name="VfdSky_Q2">'Variable Management'!$B$350</definedName>
    <definedName name="Vin">'Variable Management'!$B$8</definedName>
    <definedName name="VIN_max">'Variable Management'!$B$9</definedName>
    <definedName name="VIN_MAX_RATING">'Variable Management'!$P$30</definedName>
    <definedName name="VIN_min">'Variable Management'!$B$7</definedName>
    <definedName name="VIN_nom">'Variable Management'!$B$8</definedName>
    <definedName name="VinRipple_dBuV">'Variable Management'!$B$282</definedName>
    <definedName name="Vinripple1">'Variable Management'!$B$140</definedName>
    <definedName name="Vinripple2">'Variable Management'!$B$162</definedName>
    <definedName name="Vo1_ripple">'Variable Management'!$B$116</definedName>
    <definedName name="Vo2_ripple">'Variable Management'!$D$116</definedName>
    <definedName name="Vout">'Variable Management'!$B$11</definedName>
    <definedName name="VOUT_MAX_RATING">'Variable Management'!$P$31</definedName>
    <definedName name="VOUT_setting">'Variable Management'!$L$17</definedName>
    <definedName name="Vout2">'Variable Management'!$B$13</definedName>
    <definedName name="Vref">'Variable Management'!$B$30</definedName>
    <definedName name="Vsd_Q1">'Variable Management'!$B$342</definedName>
    <definedName name="Vsd_Q2">'Variable Management'!$D$342</definedName>
    <definedName name="Vsp_Q1">'Variable Management'!$B$340</definedName>
    <definedName name="Vsp_Q2">'Variable Management'!$D$340</definedName>
    <definedName name="Vth_Q1">'Variable Management'!$B$339</definedName>
    <definedName name="Vth_Q2">'Variable Management'!$D$339</definedName>
    <definedName name="w_fbff">'Variable Management'!$B$266</definedName>
    <definedName name="w_fbffHz">'Variable Management'!$B$266</definedName>
    <definedName name="wfbbHz">'Variable Management'!$B$265</definedName>
    <definedName name="wfbtHz">'Variable Management'!$B$264</definedName>
    <definedName name="wffHz">'Variable Management'!$B$263</definedName>
    <definedName name="wfftHz">'Variable Management'!$B$267</definedName>
    <definedName name="z_RHP">'Stability Calculations'!$K$5</definedName>
    <definedName name="Zero1">'Stability Calculations'!$K$3</definedName>
    <definedName name="Zero2">'Stability Calculations'!$C$4</definedName>
    <definedName name="zterm1">'Stability Calculations'!$Q$3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6" i="16" l="1"/>
  <c r="D56" i="16"/>
  <c r="A452" i="2"/>
  <c r="B73" i="2"/>
  <c r="P29" i="2"/>
  <c r="C56" i="16" s="1"/>
  <c r="P31" i="2"/>
  <c r="P30" i="2"/>
  <c r="E404" i="2"/>
  <c r="B448" i="2"/>
  <c r="B395" i="2"/>
  <c r="B381" i="2"/>
  <c r="B379" i="2"/>
  <c r="B184" i="2" l="1"/>
  <c r="B441" i="2"/>
  <c r="D385" i="2" l="1"/>
  <c r="E104" i="1" l="1"/>
  <c r="AE6" i="27" l="1"/>
  <c r="AE5" i="27"/>
  <c r="AE4" i="27"/>
  <c r="AE3" i="27"/>
  <c r="C12" i="29"/>
  <c r="C11" i="29"/>
  <c r="C10" i="29"/>
  <c r="C9" i="29"/>
  <c r="D58" i="1" l="1"/>
  <c r="M6" i="27"/>
  <c r="M5" i="27"/>
  <c r="M4" i="27"/>
  <c r="M3" i="27"/>
  <c r="E57" i="1" l="1"/>
  <c r="B442" i="2" s="1"/>
  <c r="B186" i="2" l="1"/>
  <c r="B183" i="2"/>
  <c r="B187" i="2" l="1"/>
  <c r="R41" i="8" s="1"/>
  <c r="S41" i="8" s="1"/>
  <c r="B189" i="2" s="1"/>
  <c r="B422" i="2" s="1"/>
  <c r="R40" i="8"/>
  <c r="S40" i="8" s="1"/>
  <c r="B188" i="2" s="1"/>
  <c r="B421" i="2" s="1"/>
  <c r="E55" i="1" l="1"/>
  <c r="E56" i="1"/>
  <c r="B266" i="2"/>
  <c r="B263" i="2"/>
  <c r="B200" i="2" l="1"/>
  <c r="R13" i="8" l="1"/>
  <c r="D248" i="2" l="1"/>
  <c r="D249" i="2"/>
  <c r="A245" i="2"/>
  <c r="E385" i="2"/>
  <c r="C385" i="2"/>
  <c r="B385" i="2"/>
  <c r="A385" i="2"/>
  <c r="B13" i="27" l="1"/>
  <c r="B14" i="27"/>
  <c r="B15" i="27"/>
  <c r="B16" i="27"/>
  <c r="B17" i="27"/>
  <c r="B18" i="27"/>
  <c r="B19" i="27"/>
  <c r="B20" i="27"/>
  <c r="B21" i="27"/>
  <c r="B22" i="27"/>
  <c r="B23" i="27"/>
  <c r="B24" i="27"/>
  <c r="B25" i="27"/>
  <c r="B26" i="27"/>
  <c r="B27" i="27"/>
  <c r="B28" i="27"/>
  <c r="B29" i="27"/>
  <c r="B30" i="27"/>
  <c r="B31" i="27"/>
  <c r="B32" i="27"/>
  <c r="B33" i="27"/>
  <c r="B34" i="27"/>
  <c r="B35" i="27"/>
  <c r="B36" i="27"/>
  <c r="B37"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B64" i="27"/>
  <c r="B65" i="27"/>
  <c r="B66" i="27"/>
  <c r="B67" i="27"/>
  <c r="B68" i="27"/>
  <c r="B69" i="27"/>
  <c r="B70" i="27"/>
  <c r="B71" i="27"/>
  <c r="B72" i="27"/>
  <c r="B73" i="27"/>
  <c r="B74" i="27"/>
  <c r="B75" i="27"/>
  <c r="B76" i="27"/>
  <c r="B77" i="27"/>
  <c r="B78" i="27"/>
  <c r="B79" i="27"/>
  <c r="B80" i="27"/>
  <c r="B81" i="27"/>
  <c r="B82" i="27"/>
  <c r="B83" i="27"/>
  <c r="B84" i="27"/>
  <c r="B85" i="27"/>
  <c r="B86" i="27"/>
  <c r="B87" i="27"/>
  <c r="B88" i="27"/>
  <c r="B89" i="27"/>
  <c r="B90" i="27"/>
  <c r="B91" i="27"/>
  <c r="B92" i="27"/>
  <c r="B93" i="27"/>
  <c r="B94" i="27"/>
  <c r="B95" i="27"/>
  <c r="B96" i="27"/>
  <c r="D293" i="2" l="1"/>
  <c r="D296" i="2"/>
  <c r="D295" i="2"/>
  <c r="B287" i="2"/>
  <c r="B386" i="2" l="1"/>
  <c r="A386" i="2"/>
  <c r="B389" i="2"/>
  <c r="B387" i="2"/>
  <c r="C8" i="28"/>
  <c r="D292" i="2"/>
  <c r="F9" i="28"/>
  <c r="B9" i="28" l="1"/>
  <c r="E57" i="27"/>
  <c r="R57" i="27" s="1"/>
  <c r="E58" i="27"/>
  <c r="R58" i="27" s="1"/>
  <c r="E59" i="27"/>
  <c r="R59" i="27" s="1"/>
  <c r="E60" i="27"/>
  <c r="R60" i="27" s="1"/>
  <c r="E61" i="27"/>
  <c r="R61" i="27" s="1"/>
  <c r="E62" i="27"/>
  <c r="R62" i="27" s="1"/>
  <c r="E63" i="27"/>
  <c r="R63" i="27" s="1"/>
  <c r="E64" i="27"/>
  <c r="R64" i="27" s="1"/>
  <c r="E65" i="27"/>
  <c r="R65" i="27" s="1"/>
  <c r="E66" i="27"/>
  <c r="R66" i="27" s="1"/>
  <c r="E67" i="27"/>
  <c r="R67" i="27" s="1"/>
  <c r="E68" i="27"/>
  <c r="R68" i="27" s="1"/>
  <c r="D57" i="27"/>
  <c r="S57" i="27" s="1"/>
  <c r="D58" i="27"/>
  <c r="S58" i="27" s="1"/>
  <c r="D59" i="27"/>
  <c r="S59" i="27" s="1"/>
  <c r="D60" i="27"/>
  <c r="S60" i="27" s="1"/>
  <c r="D61" i="27"/>
  <c r="S61" i="27" s="1"/>
  <c r="D62" i="27"/>
  <c r="S62" i="27" s="1"/>
  <c r="D63" i="27"/>
  <c r="S63" i="27" s="1"/>
  <c r="D64" i="27"/>
  <c r="S64" i="27" s="1"/>
  <c r="D65" i="27"/>
  <c r="S65" i="27" s="1"/>
  <c r="D66" i="27"/>
  <c r="S66" i="27" s="1"/>
  <c r="D67" i="27"/>
  <c r="S67" i="27" s="1"/>
  <c r="D68" i="27"/>
  <c r="S68" i="27" s="1"/>
  <c r="C57" i="27"/>
  <c r="C58" i="27"/>
  <c r="C59" i="27"/>
  <c r="C60" i="27"/>
  <c r="C61" i="27"/>
  <c r="C62" i="27"/>
  <c r="C63" i="27"/>
  <c r="AD63" i="27" s="1"/>
  <c r="AE63" i="27" s="1"/>
  <c r="AH63" i="27" s="1"/>
  <c r="C64" i="27"/>
  <c r="C65" i="27"/>
  <c r="AD65" i="27" s="1"/>
  <c r="AE65" i="27" s="1"/>
  <c r="AH65" i="27" s="1"/>
  <c r="C66" i="27"/>
  <c r="C67" i="27"/>
  <c r="C68" i="27"/>
  <c r="AD68" i="27" s="1"/>
  <c r="AE68" i="27" s="1"/>
  <c r="AH68" i="27" s="1"/>
  <c r="Q67" i="27" l="1"/>
  <c r="AD67" i="27"/>
  <c r="AE67" i="27" s="1"/>
  <c r="AH67" i="27" s="1"/>
  <c r="Q59" i="27"/>
  <c r="AD59" i="27"/>
  <c r="AE59" i="27" s="1"/>
  <c r="AH59" i="27" s="1"/>
  <c r="Q66" i="27"/>
  <c r="AD66" i="27"/>
  <c r="AE66" i="27" s="1"/>
  <c r="AH66" i="27" s="1"/>
  <c r="Q58" i="27"/>
  <c r="AD58" i="27"/>
  <c r="AE58" i="27" s="1"/>
  <c r="AH58" i="27" s="1"/>
  <c r="Q62" i="27"/>
  <c r="AD62" i="27"/>
  <c r="AE62" i="27" s="1"/>
  <c r="AH62" i="27" s="1"/>
  <c r="Q61" i="27"/>
  <c r="AD61" i="27"/>
  <c r="AE61" i="27" s="1"/>
  <c r="AH61" i="27" s="1"/>
  <c r="Q57" i="27"/>
  <c r="AD57" i="27"/>
  <c r="AE57" i="27" s="1"/>
  <c r="AH57" i="27" s="1"/>
  <c r="Q64" i="27"/>
  <c r="AD64" i="27"/>
  <c r="AE64" i="27" s="1"/>
  <c r="AH64" i="27" s="1"/>
  <c r="Q60" i="27"/>
  <c r="AD60" i="27"/>
  <c r="AE60" i="27" s="1"/>
  <c r="AH60" i="27" s="1"/>
  <c r="I63" i="27"/>
  <c r="Q63" i="27"/>
  <c r="I68" i="27"/>
  <c r="Q68" i="27"/>
  <c r="I65" i="27"/>
  <c r="Q65" i="27"/>
  <c r="I66" i="27"/>
  <c r="I67" i="27"/>
  <c r="I60" i="27"/>
  <c r="I57" i="27"/>
  <c r="I64" i="27"/>
  <c r="I61" i="27"/>
  <c r="I58" i="27"/>
  <c r="I59" i="27"/>
  <c r="I62" i="27"/>
  <c r="C54" i="27"/>
  <c r="D54" i="27"/>
  <c r="S54" i="27" s="1"/>
  <c r="E54" i="27"/>
  <c r="R54" i="27" s="1"/>
  <c r="C55" i="27"/>
  <c r="D55" i="27"/>
  <c r="S55" i="27" s="1"/>
  <c r="E55" i="27"/>
  <c r="R55" i="27" s="1"/>
  <c r="C56" i="27"/>
  <c r="D56" i="27"/>
  <c r="S56" i="27" s="1"/>
  <c r="E56" i="27"/>
  <c r="R56" i="27" s="1"/>
  <c r="C78" i="27"/>
  <c r="D78" i="27"/>
  <c r="S78" i="27" s="1"/>
  <c r="E78" i="27"/>
  <c r="R78" i="27" s="1"/>
  <c r="C72" i="27"/>
  <c r="D72" i="27"/>
  <c r="S72" i="27" s="1"/>
  <c r="E72" i="27"/>
  <c r="R72" i="27" s="1"/>
  <c r="C73" i="27"/>
  <c r="D73" i="27"/>
  <c r="S73" i="27" s="1"/>
  <c r="E73" i="27"/>
  <c r="R73" i="27" s="1"/>
  <c r="C74" i="27"/>
  <c r="D74" i="27"/>
  <c r="S74" i="27" s="1"/>
  <c r="E74" i="27"/>
  <c r="R74" i="27" s="1"/>
  <c r="C75" i="27"/>
  <c r="D75" i="27"/>
  <c r="S75" i="27" s="1"/>
  <c r="E75" i="27"/>
  <c r="R75" i="27" s="1"/>
  <c r="C76" i="27"/>
  <c r="D76" i="27"/>
  <c r="S76" i="27" s="1"/>
  <c r="E76" i="27"/>
  <c r="R76" i="27" s="1"/>
  <c r="C77" i="27"/>
  <c r="D77" i="27"/>
  <c r="S77" i="27" s="1"/>
  <c r="E77" i="27"/>
  <c r="R77" i="27" s="1"/>
  <c r="C50" i="27"/>
  <c r="D50" i="27"/>
  <c r="S50" i="27" s="1"/>
  <c r="E50" i="27"/>
  <c r="R50" i="27" s="1"/>
  <c r="C51" i="27"/>
  <c r="D51" i="27"/>
  <c r="S51" i="27" s="1"/>
  <c r="E51" i="27"/>
  <c r="R51" i="27" s="1"/>
  <c r="C52" i="27"/>
  <c r="D52" i="27"/>
  <c r="S52" i="27" s="1"/>
  <c r="E52" i="27"/>
  <c r="R52" i="27" s="1"/>
  <c r="C53" i="27"/>
  <c r="D53" i="27"/>
  <c r="S53" i="27" s="1"/>
  <c r="E53" i="27"/>
  <c r="R53" i="27" s="1"/>
  <c r="Q50" i="27" l="1"/>
  <c r="AD50" i="27"/>
  <c r="AE50" i="27" s="1"/>
  <c r="AH50" i="27" s="1"/>
  <c r="Q74" i="27"/>
  <c r="AD74" i="27"/>
  <c r="AE74" i="27" s="1"/>
  <c r="AH74" i="27" s="1"/>
  <c r="Q56" i="27"/>
  <c r="AD56" i="27"/>
  <c r="AE56" i="27" s="1"/>
  <c r="AH56" i="27" s="1"/>
  <c r="Q51" i="27"/>
  <c r="AD51" i="27"/>
  <c r="AE51" i="27" s="1"/>
  <c r="AH51" i="27" s="1"/>
  <c r="Q75" i="27"/>
  <c r="AD75" i="27"/>
  <c r="AE75" i="27" s="1"/>
  <c r="AH75" i="27" s="1"/>
  <c r="Q78" i="27"/>
  <c r="AD78" i="27"/>
  <c r="AE78" i="27" s="1"/>
  <c r="AH78" i="27" s="1"/>
  <c r="Q52" i="27"/>
  <c r="AD52" i="27"/>
  <c r="AE52" i="27" s="1"/>
  <c r="AH52" i="27" s="1"/>
  <c r="Q76" i="27"/>
  <c r="AD76" i="27"/>
  <c r="AE76" i="27" s="1"/>
  <c r="AH76" i="27" s="1"/>
  <c r="Q72" i="27"/>
  <c r="AD72" i="27"/>
  <c r="AE72" i="27" s="1"/>
  <c r="AH72" i="27" s="1"/>
  <c r="Q54" i="27"/>
  <c r="AD54" i="27"/>
  <c r="AE54" i="27" s="1"/>
  <c r="AH54" i="27" s="1"/>
  <c r="Q53" i="27"/>
  <c r="AD53" i="27"/>
  <c r="AE53" i="27" s="1"/>
  <c r="AH53" i="27" s="1"/>
  <c r="Q77" i="27"/>
  <c r="AD77" i="27"/>
  <c r="AE77" i="27" s="1"/>
  <c r="AH77" i="27" s="1"/>
  <c r="Q73" i="27"/>
  <c r="AD73" i="27"/>
  <c r="AE73" i="27" s="1"/>
  <c r="AH73" i="27" s="1"/>
  <c r="Q55" i="27"/>
  <c r="AD55" i="27"/>
  <c r="AE55" i="27" s="1"/>
  <c r="AH55" i="27" s="1"/>
  <c r="I52" i="27"/>
  <c r="I53" i="27"/>
  <c r="I77" i="27"/>
  <c r="I73" i="27"/>
  <c r="I55" i="27"/>
  <c r="I74" i="27"/>
  <c r="I56" i="27"/>
  <c r="I50" i="27"/>
  <c r="I51" i="27"/>
  <c r="I75" i="27"/>
  <c r="I78" i="27"/>
  <c r="I76" i="27"/>
  <c r="I72" i="27"/>
  <c r="I54" i="27"/>
  <c r="E14" i="27"/>
  <c r="R14" i="27" s="1"/>
  <c r="E15" i="27"/>
  <c r="R15" i="27" s="1"/>
  <c r="E16" i="27"/>
  <c r="R16" i="27" s="1"/>
  <c r="E17" i="27"/>
  <c r="R17" i="27" s="1"/>
  <c r="E18" i="27"/>
  <c r="R18" i="27" s="1"/>
  <c r="E19" i="27"/>
  <c r="R19" i="27" s="1"/>
  <c r="E20" i="27"/>
  <c r="R20" i="27" s="1"/>
  <c r="E21" i="27"/>
  <c r="R21" i="27" s="1"/>
  <c r="E22" i="27"/>
  <c r="R22" i="27" s="1"/>
  <c r="E23" i="27"/>
  <c r="R23" i="27" s="1"/>
  <c r="E24" i="27"/>
  <c r="R24" i="27" s="1"/>
  <c r="E25" i="27"/>
  <c r="R25" i="27" s="1"/>
  <c r="E26" i="27"/>
  <c r="R26" i="27" s="1"/>
  <c r="E27" i="27"/>
  <c r="R27" i="27" s="1"/>
  <c r="E28" i="27"/>
  <c r="R28" i="27" s="1"/>
  <c r="E29" i="27"/>
  <c r="R29" i="27" s="1"/>
  <c r="E30" i="27"/>
  <c r="R30" i="27" s="1"/>
  <c r="E31" i="27"/>
  <c r="R31" i="27" s="1"/>
  <c r="E32" i="27"/>
  <c r="R32" i="27" s="1"/>
  <c r="E33" i="27"/>
  <c r="R33" i="27" s="1"/>
  <c r="E34" i="27"/>
  <c r="R34" i="27" s="1"/>
  <c r="E35" i="27"/>
  <c r="R35" i="27" s="1"/>
  <c r="E36" i="27"/>
  <c r="R36" i="27" s="1"/>
  <c r="E37" i="27"/>
  <c r="R37" i="27" s="1"/>
  <c r="E38" i="27"/>
  <c r="R38" i="27" s="1"/>
  <c r="E39" i="27"/>
  <c r="R39" i="27" s="1"/>
  <c r="E40" i="27"/>
  <c r="R40" i="27" s="1"/>
  <c r="E41" i="27"/>
  <c r="R41" i="27" s="1"/>
  <c r="E42" i="27"/>
  <c r="R42" i="27" s="1"/>
  <c r="E43" i="27"/>
  <c r="R43" i="27" s="1"/>
  <c r="E44" i="27"/>
  <c r="R44" i="27" s="1"/>
  <c r="E45" i="27"/>
  <c r="R45" i="27" s="1"/>
  <c r="E46" i="27"/>
  <c r="R46" i="27" s="1"/>
  <c r="E47" i="27"/>
  <c r="R47" i="27" s="1"/>
  <c r="E48" i="27"/>
  <c r="R48" i="27" s="1"/>
  <c r="E49" i="27"/>
  <c r="R49" i="27" s="1"/>
  <c r="E69" i="27"/>
  <c r="R69" i="27" s="1"/>
  <c r="E70" i="27"/>
  <c r="R70" i="27" s="1"/>
  <c r="E71" i="27"/>
  <c r="R71" i="27" s="1"/>
  <c r="E79" i="27"/>
  <c r="R79" i="27" s="1"/>
  <c r="E80" i="27"/>
  <c r="R80" i="27" s="1"/>
  <c r="E81" i="27"/>
  <c r="R81" i="27" s="1"/>
  <c r="E82" i="27"/>
  <c r="R82" i="27" s="1"/>
  <c r="E83" i="27"/>
  <c r="R83" i="27" s="1"/>
  <c r="E84" i="27"/>
  <c r="R84" i="27" s="1"/>
  <c r="E85" i="27"/>
  <c r="R85" i="27" s="1"/>
  <c r="E86" i="27"/>
  <c r="R86" i="27" s="1"/>
  <c r="E87" i="27"/>
  <c r="R87" i="27" s="1"/>
  <c r="E88" i="27"/>
  <c r="R88" i="27" s="1"/>
  <c r="E89" i="27"/>
  <c r="R89" i="27" s="1"/>
  <c r="E90" i="27"/>
  <c r="R90" i="27" s="1"/>
  <c r="E91" i="27"/>
  <c r="R91" i="27" s="1"/>
  <c r="E92" i="27"/>
  <c r="R92" i="27" s="1"/>
  <c r="E93" i="27"/>
  <c r="R93" i="27" s="1"/>
  <c r="E94" i="27"/>
  <c r="R94" i="27" s="1"/>
  <c r="E95" i="27"/>
  <c r="R95" i="27" s="1"/>
  <c r="E96" i="27"/>
  <c r="R96" i="27" s="1"/>
  <c r="E13" i="27"/>
  <c r="R13" i="27" s="1"/>
  <c r="D14" i="27"/>
  <c r="S14" i="27" s="1"/>
  <c r="D15" i="27"/>
  <c r="S15" i="27" s="1"/>
  <c r="D16" i="27"/>
  <c r="S16" i="27" s="1"/>
  <c r="D17" i="27"/>
  <c r="S17" i="27" s="1"/>
  <c r="D18" i="27"/>
  <c r="S18" i="27" s="1"/>
  <c r="D19" i="27"/>
  <c r="S19" i="27" s="1"/>
  <c r="D20" i="27"/>
  <c r="S20" i="27" s="1"/>
  <c r="D21" i="27"/>
  <c r="S21" i="27" s="1"/>
  <c r="D22" i="27"/>
  <c r="S22" i="27" s="1"/>
  <c r="D23" i="27"/>
  <c r="S23" i="27" s="1"/>
  <c r="D24" i="27"/>
  <c r="S24" i="27" s="1"/>
  <c r="D25" i="27"/>
  <c r="S25" i="27" s="1"/>
  <c r="D26" i="27"/>
  <c r="S26" i="27" s="1"/>
  <c r="D27" i="27"/>
  <c r="S27" i="27" s="1"/>
  <c r="D28" i="27"/>
  <c r="S28" i="27" s="1"/>
  <c r="D29" i="27"/>
  <c r="S29" i="27" s="1"/>
  <c r="D30" i="27"/>
  <c r="S30" i="27" s="1"/>
  <c r="D31" i="27"/>
  <c r="S31" i="27" s="1"/>
  <c r="D32" i="27"/>
  <c r="S32" i="27" s="1"/>
  <c r="D33" i="27"/>
  <c r="S33" i="27" s="1"/>
  <c r="D34" i="27"/>
  <c r="S34" i="27" s="1"/>
  <c r="D35" i="27"/>
  <c r="S35" i="27" s="1"/>
  <c r="D36" i="27"/>
  <c r="S36" i="27" s="1"/>
  <c r="D37" i="27"/>
  <c r="S37" i="27" s="1"/>
  <c r="D38" i="27"/>
  <c r="S38" i="27" s="1"/>
  <c r="D39" i="27"/>
  <c r="S39" i="27" s="1"/>
  <c r="D40" i="27"/>
  <c r="S40" i="27" s="1"/>
  <c r="D41" i="27"/>
  <c r="S41" i="27" s="1"/>
  <c r="D42" i="27"/>
  <c r="S42" i="27" s="1"/>
  <c r="D43" i="27"/>
  <c r="S43" i="27" s="1"/>
  <c r="D44" i="27"/>
  <c r="S44" i="27" s="1"/>
  <c r="D45" i="27"/>
  <c r="S45" i="27" s="1"/>
  <c r="D46" i="27"/>
  <c r="S46" i="27" s="1"/>
  <c r="D47" i="27"/>
  <c r="S47" i="27" s="1"/>
  <c r="D48" i="27"/>
  <c r="S48" i="27" s="1"/>
  <c r="D49" i="27"/>
  <c r="S49" i="27" s="1"/>
  <c r="D69" i="27"/>
  <c r="S69" i="27" s="1"/>
  <c r="D70" i="27"/>
  <c r="S70" i="27" s="1"/>
  <c r="D71" i="27"/>
  <c r="S71" i="27" s="1"/>
  <c r="D79" i="27"/>
  <c r="S79" i="27" s="1"/>
  <c r="D80" i="27"/>
  <c r="S80" i="27" s="1"/>
  <c r="D81" i="27"/>
  <c r="S81" i="27" s="1"/>
  <c r="D82" i="27"/>
  <c r="S82" i="27" s="1"/>
  <c r="D83" i="27"/>
  <c r="S83" i="27" s="1"/>
  <c r="D84" i="27"/>
  <c r="S84" i="27" s="1"/>
  <c r="D85" i="27"/>
  <c r="S85" i="27" s="1"/>
  <c r="D86" i="27"/>
  <c r="S86" i="27" s="1"/>
  <c r="D87" i="27"/>
  <c r="S87" i="27" s="1"/>
  <c r="D88" i="27"/>
  <c r="S88" i="27" s="1"/>
  <c r="D89" i="27"/>
  <c r="S89" i="27" s="1"/>
  <c r="D90" i="27"/>
  <c r="S90" i="27" s="1"/>
  <c r="D91" i="27"/>
  <c r="S91" i="27" s="1"/>
  <c r="D92" i="27"/>
  <c r="S92" i="27" s="1"/>
  <c r="D93" i="27"/>
  <c r="S93" i="27" s="1"/>
  <c r="D94" i="27"/>
  <c r="S94" i="27" s="1"/>
  <c r="D95" i="27"/>
  <c r="S95" i="27" s="1"/>
  <c r="D96" i="27"/>
  <c r="S96" i="27" s="1"/>
  <c r="D13" i="27"/>
  <c r="S13" i="27" s="1"/>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C43" i="27"/>
  <c r="C44" i="27"/>
  <c r="C45" i="27"/>
  <c r="C46" i="27"/>
  <c r="C47" i="27"/>
  <c r="C48" i="27"/>
  <c r="C49" i="27"/>
  <c r="C69" i="27"/>
  <c r="C70" i="27"/>
  <c r="C71" i="27"/>
  <c r="C79" i="27"/>
  <c r="C80" i="27"/>
  <c r="C81" i="27"/>
  <c r="C82" i="27"/>
  <c r="C83" i="27"/>
  <c r="C84" i="27"/>
  <c r="C85" i="27"/>
  <c r="C86" i="27"/>
  <c r="C87" i="27"/>
  <c r="C88" i="27"/>
  <c r="C89" i="27"/>
  <c r="C90" i="27"/>
  <c r="C91" i="27"/>
  <c r="C92" i="27"/>
  <c r="C93" i="27"/>
  <c r="C94" i="27"/>
  <c r="C95" i="27"/>
  <c r="C96" i="27"/>
  <c r="C13" i="27"/>
  <c r="Q13" i="27" l="1"/>
  <c r="AD13" i="27"/>
  <c r="Q89" i="27"/>
  <c r="AD89" i="27"/>
  <c r="AE89" i="27" s="1"/>
  <c r="AH89" i="27" s="1"/>
  <c r="Q81" i="27"/>
  <c r="AD81" i="27"/>
  <c r="AE81" i="27" s="1"/>
  <c r="AH81" i="27" s="1"/>
  <c r="Q47" i="27"/>
  <c r="AD47" i="27"/>
  <c r="AE47" i="27" s="1"/>
  <c r="AH47" i="27" s="1"/>
  <c r="Q43" i="27"/>
  <c r="AD43" i="27"/>
  <c r="AE43" i="27" s="1"/>
  <c r="AH43" i="27" s="1"/>
  <c r="Q35" i="27"/>
  <c r="AD35" i="27"/>
  <c r="AE35" i="27" s="1"/>
  <c r="AH35" i="27" s="1"/>
  <c r="Q27" i="27"/>
  <c r="AD27" i="27"/>
  <c r="AE27" i="27" s="1"/>
  <c r="AH27" i="27" s="1"/>
  <c r="Q19" i="27"/>
  <c r="AD19" i="27"/>
  <c r="AE19" i="27" s="1"/>
  <c r="AH19" i="27" s="1"/>
  <c r="Q15" i="27"/>
  <c r="AD15" i="27"/>
  <c r="AE15" i="27" s="1"/>
  <c r="AH15" i="27" s="1"/>
  <c r="Q96" i="27"/>
  <c r="AD96" i="27"/>
  <c r="AE96" i="27" s="1"/>
  <c r="AH96" i="27" s="1"/>
  <c r="Q88" i="27"/>
  <c r="AD88" i="27"/>
  <c r="AE88" i="27" s="1"/>
  <c r="AH88" i="27" s="1"/>
  <c r="Q80" i="27"/>
  <c r="AD80" i="27"/>
  <c r="AE80" i="27" s="1"/>
  <c r="AH80" i="27" s="1"/>
  <c r="Q69" i="27"/>
  <c r="AD69" i="27"/>
  <c r="AE69" i="27" s="1"/>
  <c r="AH69" i="27" s="1"/>
  <c r="Q42" i="27"/>
  <c r="AD42" i="27"/>
  <c r="AE42" i="27" s="1"/>
  <c r="AH42" i="27" s="1"/>
  <c r="Q34" i="27"/>
  <c r="AD34" i="27"/>
  <c r="AE34" i="27" s="1"/>
  <c r="AH34" i="27" s="1"/>
  <c r="Q30" i="27"/>
  <c r="AD30" i="27"/>
  <c r="AE30" i="27" s="1"/>
  <c r="AH30" i="27" s="1"/>
  <c r="Q22" i="27"/>
  <c r="AD22" i="27"/>
  <c r="AE22" i="27" s="1"/>
  <c r="AH22" i="27" s="1"/>
  <c r="Q18" i="27"/>
  <c r="AD18" i="27"/>
  <c r="AE18" i="27" s="1"/>
  <c r="AH18" i="27" s="1"/>
  <c r="Q14" i="27"/>
  <c r="AD14" i="27"/>
  <c r="AE14" i="27" s="1"/>
  <c r="AH14" i="27" s="1"/>
  <c r="Q95" i="27"/>
  <c r="AD95" i="27"/>
  <c r="AE95" i="27" s="1"/>
  <c r="AH95" i="27" s="1"/>
  <c r="Q91" i="27"/>
  <c r="AD91" i="27"/>
  <c r="AE91" i="27" s="1"/>
  <c r="AH91" i="27" s="1"/>
  <c r="Q87" i="27"/>
  <c r="AD87" i="27"/>
  <c r="AE87" i="27" s="1"/>
  <c r="AH87" i="27" s="1"/>
  <c r="Q83" i="27"/>
  <c r="AD83" i="27"/>
  <c r="AE83" i="27" s="1"/>
  <c r="AH83" i="27" s="1"/>
  <c r="Q79" i="27"/>
  <c r="AD79" i="27"/>
  <c r="AE79" i="27" s="1"/>
  <c r="AH79" i="27" s="1"/>
  <c r="Q49" i="27"/>
  <c r="AD49" i="27"/>
  <c r="AE49" i="27" s="1"/>
  <c r="AH49" i="27" s="1"/>
  <c r="Q45" i="27"/>
  <c r="AD45" i="27"/>
  <c r="AE45" i="27" s="1"/>
  <c r="AH45" i="27" s="1"/>
  <c r="Q41" i="27"/>
  <c r="AD41" i="27"/>
  <c r="AE41" i="27" s="1"/>
  <c r="AH41" i="27" s="1"/>
  <c r="Q37" i="27"/>
  <c r="AD37" i="27"/>
  <c r="AE37" i="27" s="1"/>
  <c r="AH37" i="27" s="1"/>
  <c r="Q33" i="27"/>
  <c r="AD33" i="27"/>
  <c r="AE33" i="27" s="1"/>
  <c r="AH33" i="27" s="1"/>
  <c r="Q29" i="27"/>
  <c r="AD29" i="27"/>
  <c r="AE29" i="27" s="1"/>
  <c r="AH29" i="27" s="1"/>
  <c r="Q25" i="27"/>
  <c r="AD25" i="27"/>
  <c r="AE25" i="27" s="1"/>
  <c r="AH25" i="27" s="1"/>
  <c r="Q21" i="27"/>
  <c r="AD21" i="27"/>
  <c r="AE21" i="27" s="1"/>
  <c r="AH21" i="27" s="1"/>
  <c r="Q17" i="27"/>
  <c r="AD17" i="27"/>
  <c r="AE17" i="27" s="1"/>
  <c r="AH17" i="27" s="1"/>
  <c r="Q93" i="27"/>
  <c r="AD93" i="27"/>
  <c r="AE93" i="27" s="1"/>
  <c r="AH93" i="27" s="1"/>
  <c r="Q85" i="27"/>
  <c r="AD85" i="27"/>
  <c r="AE85" i="27" s="1"/>
  <c r="AH85" i="27" s="1"/>
  <c r="Q70" i="27"/>
  <c r="AD70" i="27"/>
  <c r="AE70" i="27" s="1"/>
  <c r="AH70" i="27" s="1"/>
  <c r="Q39" i="27"/>
  <c r="AD39" i="27"/>
  <c r="AE39" i="27" s="1"/>
  <c r="AH39" i="27" s="1"/>
  <c r="Q31" i="27"/>
  <c r="AD31" i="27"/>
  <c r="AE31" i="27" s="1"/>
  <c r="AH31" i="27" s="1"/>
  <c r="Q23" i="27"/>
  <c r="AD23" i="27"/>
  <c r="AE23" i="27" s="1"/>
  <c r="AH23" i="27" s="1"/>
  <c r="Q92" i="27"/>
  <c r="AD92" i="27"/>
  <c r="AE92" i="27" s="1"/>
  <c r="AH92" i="27" s="1"/>
  <c r="Q84" i="27"/>
  <c r="AD84" i="27"/>
  <c r="AE84" i="27" s="1"/>
  <c r="AH84" i="27" s="1"/>
  <c r="Q46" i="27"/>
  <c r="AD46" i="27"/>
  <c r="AE46" i="27" s="1"/>
  <c r="AH46" i="27" s="1"/>
  <c r="Q38" i="27"/>
  <c r="AD38" i="27"/>
  <c r="AE38" i="27" s="1"/>
  <c r="AH38" i="27" s="1"/>
  <c r="Q26" i="27"/>
  <c r="AD26" i="27"/>
  <c r="AE26" i="27" s="1"/>
  <c r="AH26" i="27" s="1"/>
  <c r="Q94" i="27"/>
  <c r="AD94" i="27"/>
  <c r="AE94" i="27" s="1"/>
  <c r="AH94" i="27" s="1"/>
  <c r="Q90" i="27"/>
  <c r="AD90" i="27"/>
  <c r="AE90" i="27" s="1"/>
  <c r="AH90" i="27" s="1"/>
  <c r="Q86" i="27"/>
  <c r="AD86" i="27"/>
  <c r="AE86" i="27" s="1"/>
  <c r="AH86" i="27" s="1"/>
  <c r="Q82" i="27"/>
  <c r="AD82" i="27"/>
  <c r="AE82" i="27" s="1"/>
  <c r="AH82" i="27" s="1"/>
  <c r="Q71" i="27"/>
  <c r="AD71" i="27"/>
  <c r="AE71" i="27" s="1"/>
  <c r="AH71" i="27" s="1"/>
  <c r="Q48" i="27"/>
  <c r="AD48" i="27"/>
  <c r="AE48" i="27" s="1"/>
  <c r="AH48" i="27" s="1"/>
  <c r="Q44" i="27"/>
  <c r="AD44" i="27"/>
  <c r="AE44" i="27" s="1"/>
  <c r="AH44" i="27" s="1"/>
  <c r="Q40" i="27"/>
  <c r="AD40" i="27"/>
  <c r="AE40" i="27" s="1"/>
  <c r="AH40" i="27" s="1"/>
  <c r="Q36" i="27"/>
  <c r="AD36" i="27"/>
  <c r="AE36" i="27" s="1"/>
  <c r="AH36" i="27" s="1"/>
  <c r="Q32" i="27"/>
  <c r="AD32" i="27"/>
  <c r="AE32" i="27" s="1"/>
  <c r="AH32" i="27" s="1"/>
  <c r="Q28" i="27"/>
  <c r="AD28" i="27"/>
  <c r="AE28" i="27" s="1"/>
  <c r="AH28" i="27" s="1"/>
  <c r="Q24" i="27"/>
  <c r="AD24" i="27"/>
  <c r="AE24" i="27" s="1"/>
  <c r="AH24" i="27" s="1"/>
  <c r="Q20" i="27"/>
  <c r="AD20" i="27"/>
  <c r="AE20" i="27" s="1"/>
  <c r="AH20" i="27" s="1"/>
  <c r="Q16" i="27"/>
  <c r="AD16" i="27"/>
  <c r="AE16" i="27" s="1"/>
  <c r="AH16" i="27" s="1"/>
  <c r="I96" i="27"/>
  <c r="I88" i="27"/>
  <c r="I80" i="27"/>
  <c r="I46" i="27"/>
  <c r="I38" i="27"/>
  <c r="I30" i="27"/>
  <c r="I22" i="27"/>
  <c r="I18" i="27"/>
  <c r="I95" i="27"/>
  <c r="I91" i="27"/>
  <c r="I87" i="27"/>
  <c r="I83" i="27"/>
  <c r="I79" i="27"/>
  <c r="I49" i="27"/>
  <c r="I45" i="27"/>
  <c r="I41" i="27"/>
  <c r="I37" i="27"/>
  <c r="I33" i="27"/>
  <c r="I29" i="27"/>
  <c r="I25" i="27"/>
  <c r="I21" i="27"/>
  <c r="I17" i="27"/>
  <c r="I90" i="27"/>
  <c r="I82" i="27"/>
  <c r="I48" i="27"/>
  <c r="I40" i="27"/>
  <c r="I32" i="27"/>
  <c r="I24" i="27"/>
  <c r="I86" i="27"/>
  <c r="I71" i="27"/>
  <c r="I44" i="27"/>
  <c r="I36" i="27"/>
  <c r="I28" i="27"/>
  <c r="I20" i="27"/>
  <c r="I16" i="27"/>
  <c r="I13" i="27"/>
  <c r="I93" i="27"/>
  <c r="I89" i="27"/>
  <c r="I85" i="27"/>
  <c r="I81" i="27"/>
  <c r="I70" i="27"/>
  <c r="I47" i="27"/>
  <c r="I43" i="27"/>
  <c r="I39" i="27"/>
  <c r="I35" i="27"/>
  <c r="I31" i="27"/>
  <c r="I27" i="27"/>
  <c r="I23" i="27"/>
  <c r="I19" i="27"/>
  <c r="I15" i="27"/>
  <c r="I94" i="27"/>
  <c r="I92" i="27"/>
  <c r="I84" i="27"/>
  <c r="I69" i="27"/>
  <c r="I42" i="27"/>
  <c r="I34" i="27"/>
  <c r="I26" i="27"/>
  <c r="I14" i="27"/>
  <c r="D3" i="27"/>
  <c r="I33" i="16" l="1"/>
  <c r="A379" i="2" l="1"/>
  <c r="D336" i="2" l="1"/>
  <c r="D335" i="2"/>
  <c r="B336" i="2"/>
  <c r="B335" i="2"/>
  <c r="K37" i="1" l="1"/>
  <c r="P37" i="1"/>
  <c r="K35" i="1"/>
  <c r="K38" i="1"/>
  <c r="D70" i="1" l="1"/>
  <c r="U15" i="2"/>
  <c r="B397" i="2" s="1"/>
  <c r="B310" i="2" l="1"/>
  <c r="A2" i="19"/>
  <c r="A2" i="24"/>
  <c r="F6" i="24"/>
  <c r="Z8" i="2" l="1"/>
  <c r="K8" i="2"/>
  <c r="B12" i="2" l="1"/>
  <c r="A43" i="16"/>
  <c r="B137" i="2" l="1"/>
  <c r="J11" i="21"/>
  <c r="K24" i="21"/>
  <c r="K40" i="21"/>
  <c r="K56" i="21"/>
  <c r="K72" i="21"/>
  <c r="K88" i="21"/>
  <c r="K104" i="21"/>
  <c r="K21" i="21"/>
  <c r="K37" i="21"/>
  <c r="K101" i="21"/>
  <c r="K58" i="21"/>
  <c r="K10" i="21"/>
  <c r="K67" i="21"/>
  <c r="K43" i="21"/>
  <c r="K93" i="21"/>
  <c r="K71" i="21"/>
  <c r="K18" i="21"/>
  <c r="K30" i="21"/>
  <c r="K97" i="21"/>
  <c r="K54" i="21"/>
  <c r="K96" i="21"/>
  <c r="K45" i="21"/>
  <c r="K38" i="21"/>
  <c r="K78" i="21"/>
  <c r="K27" i="21"/>
  <c r="K34" i="21"/>
  <c r="K107" i="21"/>
  <c r="K86" i="21"/>
  <c r="K12" i="21"/>
  <c r="K28" i="21"/>
  <c r="K44" i="21"/>
  <c r="K60" i="21"/>
  <c r="K76" i="21"/>
  <c r="K92" i="21"/>
  <c r="K108" i="21"/>
  <c r="K25" i="21"/>
  <c r="K41" i="21"/>
  <c r="K90" i="21"/>
  <c r="K46" i="21"/>
  <c r="K105" i="21"/>
  <c r="K83" i="21"/>
  <c r="K62" i="21"/>
  <c r="K35" i="21"/>
  <c r="K109" i="21"/>
  <c r="K87" i="21"/>
  <c r="K66" i="21"/>
  <c r="K42" i="21"/>
  <c r="K9" i="21"/>
  <c r="K74" i="21"/>
  <c r="K22" i="21"/>
  <c r="K91" i="21"/>
  <c r="K70" i="21"/>
  <c r="K47" i="21"/>
  <c r="K15" i="21"/>
  <c r="K16" i="21"/>
  <c r="K32" i="21"/>
  <c r="K48" i="21"/>
  <c r="K64" i="21"/>
  <c r="K80" i="21"/>
  <c r="K13" i="21"/>
  <c r="K79" i="21"/>
  <c r="K57" i="21"/>
  <c r="K82" i="21"/>
  <c r="K63" i="21"/>
  <c r="K39" i="21"/>
  <c r="K20" i="21"/>
  <c r="K36" i="21"/>
  <c r="K52" i="21"/>
  <c r="K68" i="21"/>
  <c r="K84" i="21"/>
  <c r="K100" i="21"/>
  <c r="K17" i="21"/>
  <c r="K33" i="21"/>
  <c r="K49" i="21"/>
  <c r="K69" i="21"/>
  <c r="K14" i="21"/>
  <c r="K94" i="21"/>
  <c r="K73" i="21"/>
  <c r="K51" i="21"/>
  <c r="K19" i="21"/>
  <c r="K98" i="21"/>
  <c r="K77" i="21"/>
  <c r="K55" i="21"/>
  <c r="K26" i="21"/>
  <c r="K95" i="21"/>
  <c r="K53" i="21"/>
  <c r="K102" i="21"/>
  <c r="K81" i="21"/>
  <c r="K59" i="21"/>
  <c r="K31" i="21"/>
  <c r="K89" i="21"/>
  <c r="K11" i="21"/>
  <c r="K50" i="21"/>
  <c r="K85" i="21"/>
  <c r="K75" i="21"/>
  <c r="K23" i="21"/>
  <c r="K29" i="21"/>
  <c r="K99" i="21"/>
  <c r="K103" i="21"/>
  <c r="K61" i="21"/>
  <c r="K106" i="21"/>
  <c r="K65" i="21"/>
  <c r="J69" i="21"/>
  <c r="J105" i="21"/>
  <c r="J101" i="21"/>
  <c r="J37" i="21"/>
  <c r="J41" i="21"/>
  <c r="J73" i="21"/>
  <c r="J89" i="21"/>
  <c r="J57" i="21"/>
  <c r="J25" i="21"/>
  <c r="J85" i="21"/>
  <c r="J53" i="21"/>
  <c r="J21" i="21"/>
  <c r="J97" i="21"/>
  <c r="J81" i="21"/>
  <c r="J65" i="21"/>
  <c r="J49" i="21"/>
  <c r="J33" i="21"/>
  <c r="J109" i="21"/>
  <c r="J93" i="21"/>
  <c r="J77" i="21"/>
  <c r="J61" i="21"/>
  <c r="J45" i="21"/>
  <c r="J29" i="21"/>
  <c r="J13" i="21"/>
  <c r="J10" i="21"/>
  <c r="J106" i="21"/>
  <c r="J102" i="21"/>
  <c r="J98" i="21"/>
  <c r="J94" i="21"/>
  <c r="J90" i="21"/>
  <c r="J86" i="21"/>
  <c r="J82" i="21"/>
  <c r="J78" i="21"/>
  <c r="J74" i="21"/>
  <c r="J70" i="21"/>
  <c r="J66" i="21"/>
  <c r="J62" i="21"/>
  <c r="J58" i="21"/>
  <c r="J54" i="21"/>
  <c r="J50" i="21"/>
  <c r="J46" i="21"/>
  <c r="J42" i="21"/>
  <c r="J38" i="21"/>
  <c r="J34" i="21"/>
  <c r="J30" i="21"/>
  <c r="J26" i="21"/>
  <c r="J22" i="21"/>
  <c r="J18" i="21"/>
  <c r="J14" i="21"/>
  <c r="J17" i="21"/>
  <c r="J108" i="21"/>
  <c r="J104" i="21"/>
  <c r="J100" i="21"/>
  <c r="J96" i="21"/>
  <c r="J92" i="21"/>
  <c r="J88" i="21"/>
  <c r="J84" i="21"/>
  <c r="J80" i="21"/>
  <c r="J76" i="21"/>
  <c r="J72" i="21"/>
  <c r="J68" i="21"/>
  <c r="J64" i="21"/>
  <c r="J60" i="21"/>
  <c r="J56" i="21"/>
  <c r="J52" i="21"/>
  <c r="J48" i="21"/>
  <c r="J44" i="21"/>
  <c r="J40" i="21"/>
  <c r="J36" i="21"/>
  <c r="J32" i="21"/>
  <c r="J28" i="21"/>
  <c r="J24" i="21"/>
  <c r="J20" i="21"/>
  <c r="J16" i="21"/>
  <c r="J12" i="21"/>
  <c r="J107" i="21"/>
  <c r="J103" i="21"/>
  <c r="J99" i="21"/>
  <c r="J95" i="21"/>
  <c r="J91" i="21"/>
  <c r="J87" i="21"/>
  <c r="J83" i="21"/>
  <c r="J79" i="21"/>
  <c r="J75" i="21"/>
  <c r="J71" i="21"/>
  <c r="J67" i="21"/>
  <c r="J63" i="21"/>
  <c r="J59" i="21"/>
  <c r="J55" i="21"/>
  <c r="J51" i="21"/>
  <c r="J47" i="21"/>
  <c r="J43" i="21"/>
  <c r="J39" i="21"/>
  <c r="J35" i="21"/>
  <c r="J31" i="21"/>
  <c r="J27" i="21"/>
  <c r="J23" i="21"/>
  <c r="J19" i="21"/>
  <c r="J15" i="21"/>
  <c r="D417" i="2" l="1"/>
  <c r="T10" i="21" l="1"/>
  <c r="T11" i="21"/>
  <c r="T12" i="21"/>
  <c r="T13" i="21"/>
  <c r="T14" i="21"/>
  <c r="T15" i="21"/>
  <c r="T16" i="21"/>
  <c r="T17" i="21"/>
  <c r="T18" i="21"/>
  <c r="T19" i="21"/>
  <c r="T20" i="21"/>
  <c r="T21" i="21"/>
  <c r="T22" i="21"/>
  <c r="T23" i="21"/>
  <c r="T24" i="21"/>
  <c r="T25" i="21"/>
  <c r="T26" i="21"/>
  <c r="T27" i="21"/>
  <c r="T28" i="21"/>
  <c r="T29" i="21"/>
  <c r="T30" i="21"/>
  <c r="T31" i="21"/>
  <c r="T32" i="21"/>
  <c r="T33" i="21"/>
  <c r="T34" i="21"/>
  <c r="T35" i="21"/>
  <c r="T36" i="21"/>
  <c r="T37" i="21"/>
  <c r="T38" i="21"/>
  <c r="T39" i="21"/>
  <c r="T40" i="21"/>
  <c r="T41" i="21"/>
  <c r="T42" i="21"/>
  <c r="T43" i="21"/>
  <c r="T44" i="21"/>
  <c r="T45" i="21"/>
  <c r="T46" i="21"/>
  <c r="T47" i="21"/>
  <c r="T48" i="21"/>
  <c r="T49" i="21"/>
  <c r="T50" i="21"/>
  <c r="T51" i="21"/>
  <c r="T52" i="21"/>
  <c r="T53" i="21"/>
  <c r="T54" i="21"/>
  <c r="T55" i="21"/>
  <c r="T56" i="21"/>
  <c r="T57" i="21"/>
  <c r="T58" i="21"/>
  <c r="T59" i="21"/>
  <c r="T60" i="21"/>
  <c r="T61" i="21"/>
  <c r="T62" i="21"/>
  <c r="T63" i="21"/>
  <c r="T64" i="21"/>
  <c r="T65" i="21"/>
  <c r="T66" i="21"/>
  <c r="T67" i="21"/>
  <c r="T68" i="21"/>
  <c r="T69" i="21"/>
  <c r="T70" i="21"/>
  <c r="T71" i="21"/>
  <c r="T72" i="21"/>
  <c r="T73" i="21"/>
  <c r="T74" i="21"/>
  <c r="T75" i="21"/>
  <c r="T76" i="21"/>
  <c r="T77" i="21"/>
  <c r="T78" i="21"/>
  <c r="T79" i="21"/>
  <c r="T80" i="21"/>
  <c r="T81" i="21"/>
  <c r="T82" i="21"/>
  <c r="T83" i="21"/>
  <c r="T84" i="21"/>
  <c r="T85" i="21"/>
  <c r="T86" i="21"/>
  <c r="T87" i="21"/>
  <c r="T88" i="21"/>
  <c r="T89" i="21"/>
  <c r="T90" i="21"/>
  <c r="T91" i="21"/>
  <c r="T92" i="21"/>
  <c r="T93" i="21"/>
  <c r="T94" i="21"/>
  <c r="T95" i="21"/>
  <c r="T96" i="21"/>
  <c r="T97" i="21"/>
  <c r="T98" i="21"/>
  <c r="T99" i="21"/>
  <c r="T100" i="21"/>
  <c r="T101" i="21"/>
  <c r="T102" i="21"/>
  <c r="T103" i="21"/>
  <c r="T104" i="21"/>
  <c r="T105" i="21"/>
  <c r="T106" i="21"/>
  <c r="T107" i="21"/>
  <c r="T108" i="21"/>
  <c r="T109" i="21"/>
  <c r="T9" i="21"/>
  <c r="U14" i="2" l="1"/>
  <c r="B11" i="2"/>
  <c r="U13" i="2"/>
  <c r="Z9" i="2" s="1"/>
  <c r="B173" i="2"/>
  <c r="B174" i="2" s="1"/>
  <c r="R17" i="8" s="1"/>
  <c r="B93" i="2"/>
  <c r="E407" i="2" l="1"/>
  <c r="C407" i="2"/>
  <c r="D148" i="2"/>
  <c r="L17" i="2"/>
  <c r="L33" i="2"/>
  <c r="A2" i="22" s="1"/>
  <c r="C444" i="2"/>
  <c r="B16" i="2"/>
  <c r="K9" i="2"/>
  <c r="D395" i="2"/>
  <c r="D397" i="2"/>
  <c r="D381" i="2"/>
  <c r="D379" i="2"/>
  <c r="I88" i="21"/>
  <c r="I16" i="21"/>
  <c r="I56" i="21"/>
  <c r="I84" i="21"/>
  <c r="I104" i="21"/>
  <c r="I72" i="21"/>
  <c r="I40" i="21"/>
  <c r="I52" i="21"/>
  <c r="I100" i="21"/>
  <c r="I68" i="21"/>
  <c r="I24" i="21"/>
  <c r="I36" i="21"/>
  <c r="I20" i="21"/>
  <c r="I96" i="21"/>
  <c r="I80" i="21"/>
  <c r="I64" i="21"/>
  <c r="I48" i="21"/>
  <c r="I32" i="21"/>
  <c r="I13" i="21"/>
  <c r="I108" i="21"/>
  <c r="I92" i="21"/>
  <c r="I76" i="21"/>
  <c r="I60" i="21"/>
  <c r="I44" i="21"/>
  <c r="I28" i="21"/>
  <c r="I12" i="21"/>
  <c r="I109" i="21"/>
  <c r="I105" i="21"/>
  <c r="I101" i="21"/>
  <c r="I97" i="21"/>
  <c r="I93" i="21"/>
  <c r="I89" i="21"/>
  <c r="I85" i="21"/>
  <c r="I81" i="21"/>
  <c r="I77" i="21"/>
  <c r="I73" i="21"/>
  <c r="I69" i="21"/>
  <c r="I65" i="21"/>
  <c r="I61" i="21"/>
  <c r="I57" i="21"/>
  <c r="I53" i="21"/>
  <c r="I49" i="21"/>
  <c r="I45" i="21"/>
  <c r="I41" i="21"/>
  <c r="I37" i="21"/>
  <c r="I33" i="21"/>
  <c r="I29" i="21"/>
  <c r="I25" i="21"/>
  <c r="I21" i="21"/>
  <c r="I17" i="21"/>
  <c r="I107" i="21"/>
  <c r="I103" i="21"/>
  <c r="I99" i="21"/>
  <c r="I95" i="21"/>
  <c r="I91" i="21"/>
  <c r="I87" i="21"/>
  <c r="I83" i="21"/>
  <c r="I79" i="21"/>
  <c r="I75" i="21"/>
  <c r="I71" i="21"/>
  <c r="I67" i="21"/>
  <c r="I63" i="21"/>
  <c r="I59" i="21"/>
  <c r="I55" i="21"/>
  <c r="I51" i="21"/>
  <c r="I47" i="21"/>
  <c r="I43" i="21"/>
  <c r="I39" i="21"/>
  <c r="I35" i="21"/>
  <c r="I31" i="21"/>
  <c r="I27" i="21"/>
  <c r="I23" i="21"/>
  <c r="I19" i="21"/>
  <c r="I15" i="21"/>
  <c r="I11" i="21"/>
  <c r="I9" i="21"/>
  <c r="I106" i="21"/>
  <c r="I102" i="21"/>
  <c r="I98" i="21"/>
  <c r="I94" i="21"/>
  <c r="I90" i="21"/>
  <c r="I86" i="21"/>
  <c r="I82" i="21"/>
  <c r="I78" i="21"/>
  <c r="I74" i="21"/>
  <c r="I70" i="21"/>
  <c r="I66" i="21"/>
  <c r="I62" i="21"/>
  <c r="I58" i="21"/>
  <c r="I54" i="21"/>
  <c r="I50" i="21"/>
  <c r="I46" i="21"/>
  <c r="I42" i="21"/>
  <c r="I38" i="21"/>
  <c r="I34" i="21"/>
  <c r="I30" i="21"/>
  <c r="I26" i="21"/>
  <c r="I22" i="21"/>
  <c r="I18" i="21"/>
  <c r="I14" i="21"/>
  <c r="I10" i="21"/>
  <c r="O16" i="2"/>
  <c r="L21" i="2"/>
  <c r="G3" i="8"/>
  <c r="D67" i="1" l="1"/>
  <c r="B417" i="2"/>
  <c r="B255" i="2"/>
  <c r="B267" i="2" s="1"/>
  <c r="Q3" i="17" s="1"/>
  <c r="O13" i="17" s="1"/>
  <c r="A419" i="2"/>
  <c r="D65" i="1"/>
  <c r="D419" i="2"/>
  <c r="D66" i="1" s="1"/>
  <c r="D418" i="2"/>
  <c r="C416" i="2"/>
  <c r="B268" i="2" l="1"/>
  <c r="B264" i="2"/>
  <c r="I3" i="8"/>
  <c r="R8" i="8"/>
  <c r="S8" i="8" s="1"/>
  <c r="R36" i="8" s="1"/>
  <c r="B60" i="21"/>
  <c r="B55" i="21"/>
  <c r="B35" i="21"/>
  <c r="B33" i="21"/>
  <c r="B28" i="21"/>
  <c r="B21" i="21"/>
  <c r="B15" i="21"/>
  <c r="Q5" i="17" l="1"/>
  <c r="S36" i="8"/>
  <c r="D351" i="2"/>
  <c r="D350" i="2"/>
  <c r="D345" i="2"/>
  <c r="D343" i="2"/>
  <c r="D342" i="2"/>
  <c r="B53" i="21" s="1"/>
  <c r="D339" i="2"/>
  <c r="D338" i="2"/>
  <c r="D337" i="2"/>
  <c r="B52" i="21" s="1"/>
  <c r="D334" i="2"/>
  <c r="D333" i="2"/>
  <c r="D332" i="2"/>
  <c r="B51" i="21" s="1"/>
  <c r="D330" i="2"/>
  <c r="B49" i="21" s="1"/>
  <c r="P15" i="17" l="1"/>
  <c r="P31" i="17"/>
  <c r="P47" i="17"/>
  <c r="P63" i="17"/>
  <c r="P20" i="17"/>
  <c r="P36" i="17"/>
  <c r="P52" i="17"/>
  <c r="P68" i="17"/>
  <c r="P84" i="17"/>
  <c r="P100" i="17"/>
  <c r="P116" i="17"/>
  <c r="P132" i="17"/>
  <c r="P148" i="17"/>
  <c r="P164" i="17"/>
  <c r="P180" i="17"/>
  <c r="P196" i="17"/>
  <c r="P212" i="17"/>
  <c r="P228" i="17"/>
  <c r="P244" i="17"/>
  <c r="P260" i="17"/>
  <c r="P276" i="17"/>
  <c r="P292" i="17"/>
  <c r="P308" i="17"/>
  <c r="P324" i="17"/>
  <c r="P340" i="17"/>
  <c r="P17" i="17"/>
  <c r="P33" i="17"/>
  <c r="P49" i="17"/>
  <c r="P65" i="17"/>
  <c r="P81" i="17"/>
  <c r="P97" i="17"/>
  <c r="P113" i="17"/>
  <c r="P129" i="17"/>
  <c r="P145" i="17"/>
  <c r="P161" i="17"/>
  <c r="P177" i="17"/>
  <c r="P193" i="17"/>
  <c r="P209" i="17"/>
  <c r="P225" i="17"/>
  <c r="P241" i="17"/>
  <c r="P257" i="17"/>
  <c r="P273" i="17"/>
  <c r="P289" i="17"/>
  <c r="P305" i="17"/>
  <c r="P321" i="17"/>
  <c r="P337" i="17"/>
  <c r="P353" i="17"/>
  <c r="P30" i="17"/>
  <c r="P46" i="17"/>
  <c r="P62" i="17"/>
  <c r="P78" i="17"/>
  <c r="P94" i="17"/>
  <c r="P110" i="17"/>
  <c r="P126" i="17"/>
  <c r="P142" i="17"/>
  <c r="P158" i="17"/>
  <c r="P174" i="17"/>
  <c r="P190" i="17"/>
  <c r="P206" i="17"/>
  <c r="P222" i="17"/>
  <c r="P238" i="17"/>
  <c r="P254" i="17"/>
  <c r="P270" i="17"/>
  <c r="P286" i="17"/>
  <c r="P302" i="17"/>
  <c r="P318" i="17"/>
  <c r="P334" i="17"/>
  <c r="P107" i="17"/>
  <c r="P171" i="17"/>
  <c r="P235" i="17"/>
  <c r="P299" i="17"/>
  <c r="P351" i="17"/>
  <c r="P369" i="17"/>
  <c r="P385" i="17"/>
  <c r="P401" i="17"/>
  <c r="P417" i="17"/>
  <c r="P433" i="17"/>
  <c r="P449" i="17"/>
  <c r="P465" i="17"/>
  <c r="P481" i="17"/>
  <c r="P497" i="17"/>
  <c r="P513" i="17"/>
  <c r="P529" i="17"/>
  <c r="P545" i="17"/>
  <c r="P561" i="17"/>
  <c r="P19" i="17"/>
  <c r="P35" i="17"/>
  <c r="P51" i="17"/>
  <c r="P67" i="17"/>
  <c r="P24" i="17"/>
  <c r="P40" i="17"/>
  <c r="P56" i="17"/>
  <c r="P72" i="17"/>
  <c r="P88" i="17"/>
  <c r="P104" i="17"/>
  <c r="P120" i="17"/>
  <c r="P136" i="17"/>
  <c r="P152" i="17"/>
  <c r="P168" i="17"/>
  <c r="P184" i="17"/>
  <c r="P200" i="17"/>
  <c r="P216" i="17"/>
  <c r="P232" i="17"/>
  <c r="P248" i="17"/>
  <c r="P264" i="17"/>
  <c r="P280" i="17"/>
  <c r="P296" i="17"/>
  <c r="P312" i="17"/>
  <c r="P328" i="17"/>
  <c r="P344" i="17"/>
  <c r="P21" i="17"/>
  <c r="P37" i="17"/>
  <c r="P53" i="17"/>
  <c r="P69" i="17"/>
  <c r="P85" i="17"/>
  <c r="P101" i="17"/>
  <c r="P117" i="17"/>
  <c r="P133" i="17"/>
  <c r="P149" i="17"/>
  <c r="P165" i="17"/>
  <c r="P181" i="17"/>
  <c r="P197" i="17"/>
  <c r="P213" i="17"/>
  <c r="P229" i="17"/>
  <c r="P245" i="17"/>
  <c r="P261" i="17"/>
  <c r="P277" i="17"/>
  <c r="P293" i="17"/>
  <c r="P309" i="17"/>
  <c r="P325" i="17"/>
  <c r="P341" i="17"/>
  <c r="P18" i="17"/>
  <c r="P34" i="17"/>
  <c r="P50" i="17"/>
  <c r="P66" i="17"/>
  <c r="P82" i="17"/>
  <c r="P98" i="17"/>
  <c r="P114" i="17"/>
  <c r="P130" i="17"/>
  <c r="P146" i="17"/>
  <c r="P162" i="17"/>
  <c r="P178" i="17"/>
  <c r="P194" i="17"/>
  <c r="P210" i="17"/>
  <c r="P226" i="17"/>
  <c r="P242" i="17"/>
  <c r="P23" i="17"/>
  <c r="P39" i="17"/>
  <c r="P55" i="17"/>
  <c r="P71" i="17"/>
  <c r="P28" i="17"/>
  <c r="P44" i="17"/>
  <c r="P60" i="17"/>
  <c r="P76" i="17"/>
  <c r="P92" i="17"/>
  <c r="P108" i="17"/>
  <c r="P124" i="17"/>
  <c r="P140" i="17"/>
  <c r="P156" i="17"/>
  <c r="P172" i="17"/>
  <c r="P188" i="17"/>
  <c r="P204" i="17"/>
  <c r="P220" i="17"/>
  <c r="P236" i="17"/>
  <c r="P252" i="17"/>
  <c r="P268" i="17"/>
  <c r="P284" i="17"/>
  <c r="P300" i="17"/>
  <c r="P316" i="17"/>
  <c r="P332" i="17"/>
  <c r="P348" i="17"/>
  <c r="P25" i="17"/>
  <c r="P41" i="17"/>
  <c r="P57" i="17"/>
  <c r="P73" i="17"/>
  <c r="P89" i="17"/>
  <c r="P105" i="17"/>
  <c r="P121" i="17"/>
  <c r="P137" i="17"/>
  <c r="P153" i="17"/>
  <c r="P169" i="17"/>
  <c r="P185" i="17"/>
  <c r="P201" i="17"/>
  <c r="P217" i="17"/>
  <c r="P233" i="17"/>
  <c r="P249" i="17"/>
  <c r="P265" i="17"/>
  <c r="P281" i="17"/>
  <c r="P297" i="17"/>
  <c r="P313" i="17"/>
  <c r="P329" i="17"/>
  <c r="P345" i="17"/>
  <c r="P22" i="17"/>
  <c r="P38" i="17"/>
  <c r="P54" i="17"/>
  <c r="P70" i="17"/>
  <c r="P86" i="17"/>
  <c r="P102" i="17"/>
  <c r="P118" i="17"/>
  <c r="P134" i="17"/>
  <c r="P150" i="17"/>
  <c r="P166" i="17"/>
  <c r="P182" i="17"/>
  <c r="P198" i="17"/>
  <c r="P214" i="17"/>
  <c r="P230" i="17"/>
  <c r="P246" i="17"/>
  <c r="P262" i="17"/>
  <c r="P278" i="17"/>
  <c r="P294" i="17"/>
  <c r="P310" i="17"/>
  <c r="P326" i="17"/>
  <c r="P75" i="17"/>
  <c r="P139" i="17"/>
  <c r="P203" i="17"/>
  <c r="P267" i="17"/>
  <c r="P331" i="17"/>
  <c r="P361" i="17"/>
  <c r="P377" i="17"/>
  <c r="P393" i="17"/>
  <c r="P409" i="17"/>
  <c r="P425" i="17"/>
  <c r="P441" i="17"/>
  <c r="P457" i="17"/>
  <c r="P473" i="17"/>
  <c r="P489" i="17"/>
  <c r="P505" i="17"/>
  <c r="P521" i="17"/>
  <c r="P537" i="17"/>
  <c r="P553" i="17"/>
  <c r="P27" i="17"/>
  <c r="P32" i="17"/>
  <c r="P96" i="17"/>
  <c r="P160" i="17"/>
  <c r="P224" i="17"/>
  <c r="P288" i="17"/>
  <c r="P352" i="17"/>
  <c r="P77" i="17"/>
  <c r="P141" i="17"/>
  <c r="P205" i="17"/>
  <c r="P269" i="17"/>
  <c r="P333" i="17"/>
  <c r="P58" i="17"/>
  <c r="P122" i="17"/>
  <c r="P186" i="17"/>
  <c r="P250" i="17"/>
  <c r="P282" i="17"/>
  <c r="P314" i="17"/>
  <c r="P91" i="17"/>
  <c r="P219" i="17"/>
  <c r="P343" i="17"/>
  <c r="P381" i="17"/>
  <c r="P413" i="17"/>
  <c r="P445" i="17"/>
  <c r="P477" i="17"/>
  <c r="P509" i="17"/>
  <c r="P541" i="17"/>
  <c r="P569" i="17"/>
  <c r="P585" i="17"/>
  <c r="P601" i="17"/>
  <c r="O16" i="17"/>
  <c r="P127" i="17"/>
  <c r="P191" i="17"/>
  <c r="P255" i="17"/>
  <c r="P319" i="17"/>
  <c r="P358" i="17"/>
  <c r="P374" i="17"/>
  <c r="P390" i="17"/>
  <c r="P406" i="17"/>
  <c r="P422" i="17"/>
  <c r="P438" i="17"/>
  <c r="P454" i="17"/>
  <c r="P470" i="17"/>
  <c r="P486" i="17"/>
  <c r="P502" i="17"/>
  <c r="P518" i="17"/>
  <c r="P534" i="17"/>
  <c r="P550" i="17"/>
  <c r="P566" i="17"/>
  <c r="P582" i="17"/>
  <c r="P131" i="17"/>
  <c r="P195" i="17"/>
  <c r="P259" i="17"/>
  <c r="P323" i="17"/>
  <c r="P359" i="17"/>
  <c r="P375" i="17"/>
  <c r="P391" i="17"/>
  <c r="P407" i="17"/>
  <c r="P423" i="17"/>
  <c r="P439" i="17"/>
  <c r="P455" i="17"/>
  <c r="P471" i="17"/>
  <c r="P487" i="17"/>
  <c r="P503" i="17"/>
  <c r="P519" i="17"/>
  <c r="P535" i="17"/>
  <c r="P551" i="17"/>
  <c r="P567" i="17"/>
  <c r="P583" i="17"/>
  <c r="P599" i="17"/>
  <c r="P279" i="17"/>
  <c r="P396" i="17"/>
  <c r="P460" i="17"/>
  <c r="P524" i="17"/>
  <c r="P586" i="17"/>
  <c r="P612" i="17"/>
  <c r="O29" i="17"/>
  <c r="O45" i="17"/>
  <c r="O61" i="17"/>
  <c r="O77" i="17"/>
  <c r="O93" i="17"/>
  <c r="O109" i="17"/>
  <c r="O125" i="17"/>
  <c r="O141" i="17"/>
  <c r="O157" i="17"/>
  <c r="O173" i="17"/>
  <c r="O189" i="17"/>
  <c r="O205" i="17"/>
  <c r="O221" i="17"/>
  <c r="O237" i="17"/>
  <c r="O253" i="17"/>
  <c r="P43" i="17"/>
  <c r="P48" i="17"/>
  <c r="P112" i="17"/>
  <c r="P176" i="17"/>
  <c r="P240" i="17"/>
  <c r="P304" i="17"/>
  <c r="P29" i="17"/>
  <c r="P93" i="17"/>
  <c r="P157" i="17"/>
  <c r="P221" i="17"/>
  <c r="P285" i="17"/>
  <c r="P349" i="17"/>
  <c r="P74" i="17"/>
  <c r="P138" i="17"/>
  <c r="P202" i="17"/>
  <c r="P258" i="17"/>
  <c r="P290" i="17"/>
  <c r="P322" i="17"/>
  <c r="P123" i="17"/>
  <c r="P251" i="17"/>
  <c r="P357" i="17"/>
  <c r="P389" i="17"/>
  <c r="P421" i="17"/>
  <c r="P453" i="17"/>
  <c r="P485" i="17"/>
  <c r="P517" i="17"/>
  <c r="P549" i="17"/>
  <c r="P573" i="17"/>
  <c r="P589" i="17"/>
  <c r="P605" i="17"/>
  <c r="P79" i="17"/>
  <c r="P143" i="17"/>
  <c r="P207" i="17"/>
  <c r="P271" i="17"/>
  <c r="P335" i="17"/>
  <c r="P362" i="17"/>
  <c r="P378" i="17"/>
  <c r="P394" i="17"/>
  <c r="P410" i="17"/>
  <c r="P426" i="17"/>
  <c r="P442" i="17"/>
  <c r="P458" i="17"/>
  <c r="P474" i="17"/>
  <c r="P490" i="17"/>
  <c r="P506" i="17"/>
  <c r="P522" i="17"/>
  <c r="P538" i="17"/>
  <c r="P554" i="17"/>
  <c r="P570" i="17"/>
  <c r="P83" i="17"/>
  <c r="P147" i="17"/>
  <c r="P211" i="17"/>
  <c r="P275" i="17"/>
  <c r="P339" i="17"/>
  <c r="P363" i="17"/>
  <c r="P379" i="17"/>
  <c r="P395" i="17"/>
  <c r="P411" i="17"/>
  <c r="P427" i="17"/>
  <c r="P443" i="17"/>
  <c r="P459" i="17"/>
  <c r="P475" i="17"/>
  <c r="P491" i="17"/>
  <c r="P507" i="17"/>
  <c r="P523" i="17"/>
  <c r="P539" i="17"/>
  <c r="P555" i="17"/>
  <c r="P571" i="17"/>
  <c r="P587" i="17"/>
  <c r="P59" i="17"/>
  <c r="P64" i="17"/>
  <c r="P128" i="17"/>
  <c r="P192" i="17"/>
  <c r="P256" i="17"/>
  <c r="P320" i="17"/>
  <c r="P45" i="17"/>
  <c r="P109" i="17"/>
  <c r="P173" i="17"/>
  <c r="P237" i="17"/>
  <c r="P301" i="17"/>
  <c r="P26" i="17"/>
  <c r="P90" i="17"/>
  <c r="P154" i="17"/>
  <c r="P218" i="17"/>
  <c r="P266" i="17"/>
  <c r="P298" i="17"/>
  <c r="P330" i="17"/>
  <c r="P155" i="17"/>
  <c r="P283" i="17"/>
  <c r="P365" i="17"/>
  <c r="P397" i="17"/>
  <c r="P429" i="17"/>
  <c r="P461" i="17"/>
  <c r="P493" i="17"/>
  <c r="P525" i="17"/>
  <c r="P557" i="17"/>
  <c r="P577" i="17"/>
  <c r="P593" i="17"/>
  <c r="P609" i="17"/>
  <c r="P95" i="17"/>
  <c r="P159" i="17"/>
  <c r="P223" i="17"/>
  <c r="P287" i="17"/>
  <c r="P346" i="17"/>
  <c r="P366" i="17"/>
  <c r="P382" i="17"/>
  <c r="P398" i="17"/>
  <c r="P414" i="17"/>
  <c r="P430" i="17"/>
  <c r="P446" i="17"/>
  <c r="P462" i="17"/>
  <c r="P478" i="17"/>
  <c r="P494" i="17"/>
  <c r="P510" i="17"/>
  <c r="P526" i="17"/>
  <c r="P542" i="17"/>
  <c r="P558" i="17"/>
  <c r="P574" i="17"/>
  <c r="P99" i="17"/>
  <c r="P163" i="17"/>
  <c r="P227" i="17"/>
  <c r="P291" i="17"/>
  <c r="P347" i="17"/>
  <c r="P367" i="17"/>
  <c r="P383" i="17"/>
  <c r="P399" i="17"/>
  <c r="P415" i="17"/>
  <c r="P431" i="17"/>
  <c r="P447" i="17"/>
  <c r="P463" i="17"/>
  <c r="P479" i="17"/>
  <c r="P495" i="17"/>
  <c r="P511" i="17"/>
  <c r="P527" i="17"/>
  <c r="P543" i="17"/>
  <c r="P559" i="17"/>
  <c r="P575" i="17"/>
  <c r="P591" i="17"/>
  <c r="P151" i="17"/>
  <c r="P364" i="17"/>
  <c r="P428" i="17"/>
  <c r="P492" i="17"/>
  <c r="P556" i="17"/>
  <c r="P602" i="17"/>
  <c r="O21" i="17"/>
  <c r="O37" i="17"/>
  <c r="O53" i="17"/>
  <c r="O69" i="17"/>
  <c r="O85" i="17"/>
  <c r="O101" i="17"/>
  <c r="O117" i="17"/>
  <c r="O133" i="17"/>
  <c r="O149" i="17"/>
  <c r="O165" i="17"/>
  <c r="P16" i="17"/>
  <c r="P272" i="17"/>
  <c r="P189" i="17"/>
  <c r="P106" i="17"/>
  <c r="P306" i="17"/>
  <c r="P373" i="17"/>
  <c r="P501" i="17"/>
  <c r="P597" i="17"/>
  <c r="P239" i="17"/>
  <c r="P386" i="17"/>
  <c r="P450" i="17"/>
  <c r="P514" i="17"/>
  <c r="P578" i="17"/>
  <c r="P307" i="17"/>
  <c r="P403" i="17"/>
  <c r="P467" i="17"/>
  <c r="P531" i="17"/>
  <c r="P595" i="17"/>
  <c r="P380" i="17"/>
  <c r="P508" i="17"/>
  <c r="P607" i="17"/>
  <c r="O41" i="17"/>
  <c r="O73" i="17"/>
  <c r="O105" i="17"/>
  <c r="O137" i="17"/>
  <c r="O169" i="17"/>
  <c r="O193" i="17"/>
  <c r="O213" i="17"/>
  <c r="O233" i="17"/>
  <c r="O257" i="17"/>
  <c r="O273" i="17"/>
  <c r="O289" i="17"/>
  <c r="O305" i="17"/>
  <c r="O321" i="17"/>
  <c r="O337" i="17"/>
  <c r="P103" i="17"/>
  <c r="P350" i="17"/>
  <c r="P416" i="17"/>
  <c r="P480" i="17"/>
  <c r="P544" i="17"/>
  <c r="P596" i="17"/>
  <c r="O18" i="17"/>
  <c r="O34" i="17"/>
  <c r="O50" i="17"/>
  <c r="O66" i="17"/>
  <c r="O82" i="17"/>
  <c r="O98" i="17"/>
  <c r="O114" i="17"/>
  <c r="O130" i="17"/>
  <c r="O146" i="17"/>
  <c r="O162" i="17"/>
  <c r="O178" i="17"/>
  <c r="O194" i="17"/>
  <c r="O210" i="17"/>
  <c r="O226" i="17"/>
  <c r="O242" i="17"/>
  <c r="O258" i="17"/>
  <c r="O274" i="17"/>
  <c r="O290" i="17"/>
  <c r="O306" i="17"/>
  <c r="P183" i="17"/>
  <c r="P372" i="17"/>
  <c r="P436" i="17"/>
  <c r="P500" i="17"/>
  <c r="P564" i="17"/>
  <c r="P604" i="17"/>
  <c r="O23" i="17"/>
  <c r="O39" i="17"/>
  <c r="O55" i="17"/>
  <c r="O71" i="17"/>
  <c r="P80" i="17"/>
  <c r="P336" i="17"/>
  <c r="P253" i="17"/>
  <c r="P170" i="17"/>
  <c r="P338" i="17"/>
  <c r="P405" i="17"/>
  <c r="P533" i="17"/>
  <c r="P613" i="17"/>
  <c r="P303" i="17"/>
  <c r="P402" i="17"/>
  <c r="P466" i="17"/>
  <c r="P530" i="17"/>
  <c r="P115" i="17"/>
  <c r="P355" i="17"/>
  <c r="P419" i="17"/>
  <c r="P483" i="17"/>
  <c r="P547" i="17"/>
  <c r="P87" i="17"/>
  <c r="P412" i="17"/>
  <c r="P540" i="17"/>
  <c r="O17" i="17"/>
  <c r="O49" i="17"/>
  <c r="O81" i="17"/>
  <c r="O113" i="17"/>
  <c r="O145" i="17"/>
  <c r="O177" i="17"/>
  <c r="O197" i="17"/>
  <c r="O217" i="17"/>
  <c r="O241" i="17"/>
  <c r="O261" i="17"/>
  <c r="O277" i="17"/>
  <c r="O293" i="17"/>
  <c r="O309" i="17"/>
  <c r="O325" i="17"/>
  <c r="O341" i="17"/>
  <c r="P167" i="17"/>
  <c r="P368" i="17"/>
  <c r="P432" i="17"/>
  <c r="P496" i="17"/>
  <c r="P560" i="17"/>
  <c r="P603" i="17"/>
  <c r="O22" i="17"/>
  <c r="O38" i="17"/>
  <c r="O54" i="17"/>
  <c r="O70" i="17"/>
  <c r="O86" i="17"/>
  <c r="O102" i="17"/>
  <c r="O118" i="17"/>
  <c r="O134" i="17"/>
  <c r="O150" i="17"/>
  <c r="O166" i="17"/>
  <c r="O182" i="17"/>
  <c r="O198" i="17"/>
  <c r="O214" i="17"/>
  <c r="O230" i="17"/>
  <c r="O246" i="17"/>
  <c r="O262" i="17"/>
  <c r="O278" i="17"/>
  <c r="O294" i="17"/>
  <c r="O310" i="17"/>
  <c r="P247" i="17"/>
  <c r="P388" i="17"/>
  <c r="P452" i="17"/>
  <c r="P516" i="17"/>
  <c r="P580" i="17"/>
  <c r="P610" i="17"/>
  <c r="O27" i="17"/>
  <c r="O43" i="17"/>
  <c r="O59" i="17"/>
  <c r="O75" i="17"/>
  <c r="O91" i="17"/>
  <c r="O107" i="17"/>
  <c r="O123" i="17"/>
  <c r="O139" i="17"/>
  <c r="O155" i="17"/>
  <c r="O171" i="17"/>
  <c r="O187" i="17"/>
  <c r="O203" i="17"/>
  <c r="O219" i="17"/>
  <c r="O235" i="17"/>
  <c r="O251" i="17"/>
  <c r="P360" i="17"/>
  <c r="P600" i="17"/>
  <c r="O68" i="17"/>
  <c r="O132" i="17"/>
  <c r="P144" i="17"/>
  <c r="P61" i="17"/>
  <c r="P317" i="17"/>
  <c r="P234" i="17"/>
  <c r="P187" i="17"/>
  <c r="P437" i="17"/>
  <c r="P565" i="17"/>
  <c r="P111" i="17"/>
  <c r="P354" i="17"/>
  <c r="P418" i="17"/>
  <c r="P482" i="17"/>
  <c r="P546" i="17"/>
  <c r="P179" i="17"/>
  <c r="P371" i="17"/>
  <c r="P435" i="17"/>
  <c r="P499" i="17"/>
  <c r="P563" i="17"/>
  <c r="P215" i="17"/>
  <c r="P444" i="17"/>
  <c r="P572" i="17"/>
  <c r="O25" i="17"/>
  <c r="O57" i="17"/>
  <c r="O89" i="17"/>
  <c r="O121" i="17"/>
  <c r="O153" i="17"/>
  <c r="O181" i="17"/>
  <c r="O201" i="17"/>
  <c r="O225" i="17"/>
  <c r="O245" i="17"/>
  <c r="O265" i="17"/>
  <c r="O281" i="17"/>
  <c r="O297" i="17"/>
  <c r="O313" i="17"/>
  <c r="O329" i="17"/>
  <c r="O345" i="17"/>
  <c r="P231" i="17"/>
  <c r="P384" i="17"/>
  <c r="P448" i="17"/>
  <c r="P512" i="17"/>
  <c r="P576" i="17"/>
  <c r="P608" i="17"/>
  <c r="O26" i="17"/>
  <c r="O42" i="17"/>
  <c r="O58" i="17"/>
  <c r="O74" i="17"/>
  <c r="O90" i="17"/>
  <c r="O106" i="17"/>
  <c r="O122" i="17"/>
  <c r="O138" i="17"/>
  <c r="O154" i="17"/>
  <c r="O170" i="17"/>
  <c r="O186" i="17"/>
  <c r="O202" i="17"/>
  <c r="O218" i="17"/>
  <c r="O234" i="17"/>
  <c r="O250" i="17"/>
  <c r="O266" i="17"/>
  <c r="O282" i="17"/>
  <c r="O298" i="17"/>
  <c r="O314" i="17"/>
  <c r="P311" i="17"/>
  <c r="P404" i="17"/>
  <c r="P468" i="17"/>
  <c r="P532" i="17"/>
  <c r="P590" i="17"/>
  <c r="P13" i="17"/>
  <c r="O31" i="17"/>
  <c r="O47" i="17"/>
  <c r="O63" i="17"/>
  <c r="O79" i="17"/>
  <c r="O95" i="17"/>
  <c r="O111" i="17"/>
  <c r="O127" i="17"/>
  <c r="O143" i="17"/>
  <c r="O159" i="17"/>
  <c r="O175" i="17"/>
  <c r="O191" i="17"/>
  <c r="O207" i="17"/>
  <c r="O223" i="17"/>
  <c r="O239" i="17"/>
  <c r="O255" i="17"/>
  <c r="P424" i="17"/>
  <c r="O20" i="17"/>
  <c r="O84" i="17"/>
  <c r="O148" i="17"/>
  <c r="O212" i="17"/>
  <c r="O268" i="17"/>
  <c r="O300" i="17"/>
  <c r="O327" i="17"/>
  <c r="O348" i="17"/>
  <c r="O365" i="17"/>
  <c r="O381" i="17"/>
  <c r="O397" i="17"/>
  <c r="O413" i="17"/>
  <c r="O429" i="17"/>
  <c r="O445" i="17"/>
  <c r="O461" i="17"/>
  <c r="O477" i="17"/>
  <c r="O493" i="17"/>
  <c r="O509" i="17"/>
  <c r="O525" i="17"/>
  <c r="O541" i="17"/>
  <c r="P208" i="17"/>
  <c r="P315" i="17"/>
  <c r="P370" i="17"/>
  <c r="P243" i="17"/>
  <c r="P579" i="17"/>
  <c r="O33" i="17"/>
  <c r="O161" i="17"/>
  <c r="O249" i="17"/>
  <c r="O317" i="17"/>
  <c r="P400" i="17"/>
  <c r="P14" i="17"/>
  <c r="O78" i="17"/>
  <c r="O142" i="17"/>
  <c r="O206" i="17"/>
  <c r="O270" i="17"/>
  <c r="P356" i="17"/>
  <c r="P598" i="17"/>
  <c r="O67" i="17"/>
  <c r="O103" i="17"/>
  <c r="O135" i="17"/>
  <c r="O167" i="17"/>
  <c r="O199" i="17"/>
  <c r="O231" i="17"/>
  <c r="P135" i="17"/>
  <c r="O52" i="17"/>
  <c r="O180" i="17"/>
  <c r="O260" i="17"/>
  <c r="O308" i="17"/>
  <c r="O338" i="17"/>
  <c r="O361" i="17"/>
  <c r="O385" i="17"/>
  <c r="O405" i="17"/>
  <c r="O425" i="17"/>
  <c r="O449" i="17"/>
  <c r="O469" i="17"/>
  <c r="O489" i="17"/>
  <c r="O513" i="17"/>
  <c r="O533" i="17"/>
  <c r="O553" i="17"/>
  <c r="O569" i="17"/>
  <c r="O585" i="17"/>
  <c r="O601" i="17"/>
  <c r="P199" i="17"/>
  <c r="P568" i="17"/>
  <c r="O56" i="17"/>
  <c r="O120" i="17"/>
  <c r="O184" i="17"/>
  <c r="O248" i="17"/>
  <c r="O287" i="17"/>
  <c r="O318" i="17"/>
  <c r="O339" i="17"/>
  <c r="O358" i="17"/>
  <c r="O374" i="17"/>
  <c r="O390" i="17"/>
  <c r="O406" i="17"/>
  <c r="O422" i="17"/>
  <c r="O438" i="17"/>
  <c r="O454" i="17"/>
  <c r="O470" i="17"/>
  <c r="O486" i="17"/>
  <c r="O502" i="17"/>
  <c r="O518" i="17"/>
  <c r="O534" i="17"/>
  <c r="O550" i="17"/>
  <c r="O566" i="17"/>
  <c r="O582" i="17"/>
  <c r="O598" i="17"/>
  <c r="P456" i="17"/>
  <c r="O28" i="17"/>
  <c r="O92" i="17"/>
  <c r="O156" i="17"/>
  <c r="O220" i="17"/>
  <c r="O272" i="17"/>
  <c r="O304" i="17"/>
  <c r="O330" i="17"/>
  <c r="O351" i="17"/>
  <c r="O367" i="17"/>
  <c r="O383" i="17"/>
  <c r="O399" i="17"/>
  <c r="O415" i="17"/>
  <c r="O431" i="17"/>
  <c r="O447" i="17"/>
  <c r="O463" i="17"/>
  <c r="O479" i="17"/>
  <c r="O495" i="17"/>
  <c r="O511" i="17"/>
  <c r="O527" i="17"/>
  <c r="O543" i="17"/>
  <c r="O559" i="17"/>
  <c r="O575" i="17"/>
  <c r="O591" i="17"/>
  <c r="O607" i="17"/>
  <c r="P327" i="17"/>
  <c r="O192" i="17"/>
  <c r="O342" i="17"/>
  <c r="O408" i="17"/>
  <c r="O472" i="17"/>
  <c r="O536" i="17"/>
  <c r="O600" i="17"/>
  <c r="P125" i="17"/>
  <c r="P469" i="17"/>
  <c r="P434" i="17"/>
  <c r="P387" i="17"/>
  <c r="P342" i="17"/>
  <c r="O65" i="17"/>
  <c r="O185" i="17"/>
  <c r="O269" i="17"/>
  <c r="O333" i="17"/>
  <c r="P464" i="17"/>
  <c r="O30" i="17"/>
  <c r="O94" i="17"/>
  <c r="O158" i="17"/>
  <c r="O222" i="17"/>
  <c r="O286" i="17"/>
  <c r="P420" i="17"/>
  <c r="O19" i="17"/>
  <c r="O83" i="17"/>
  <c r="O115" i="17"/>
  <c r="O147" i="17"/>
  <c r="O179" i="17"/>
  <c r="O211" i="17"/>
  <c r="O243" i="17"/>
  <c r="P488" i="17"/>
  <c r="O100" i="17"/>
  <c r="O196" i="17"/>
  <c r="O276" i="17"/>
  <c r="O316" i="17"/>
  <c r="O343" i="17"/>
  <c r="O369" i="17"/>
  <c r="O389" i="17"/>
  <c r="O409" i="17"/>
  <c r="O433" i="17"/>
  <c r="O453" i="17"/>
  <c r="O473" i="17"/>
  <c r="O497" i="17"/>
  <c r="O517" i="17"/>
  <c r="O537" i="17"/>
  <c r="O557" i="17"/>
  <c r="O573" i="17"/>
  <c r="O589" i="17"/>
  <c r="O605" i="17"/>
  <c r="P376" i="17"/>
  <c r="P606" i="17"/>
  <c r="O72" i="17"/>
  <c r="O136" i="17"/>
  <c r="O200" i="17"/>
  <c r="O263" i="17"/>
  <c r="O295" i="17"/>
  <c r="O323" i="17"/>
  <c r="O344" i="17"/>
  <c r="O362" i="17"/>
  <c r="O378" i="17"/>
  <c r="O394" i="17"/>
  <c r="O410" i="17"/>
  <c r="O426" i="17"/>
  <c r="O442" i="17"/>
  <c r="O458" i="17"/>
  <c r="O474" i="17"/>
  <c r="O490" i="17"/>
  <c r="O506" i="17"/>
  <c r="O522" i="17"/>
  <c r="O538" i="17"/>
  <c r="O554" i="17"/>
  <c r="O570" i="17"/>
  <c r="O586" i="17"/>
  <c r="O602" i="17"/>
  <c r="P520" i="17"/>
  <c r="O44" i="17"/>
  <c r="O108" i="17"/>
  <c r="O172" i="17"/>
  <c r="O236" i="17"/>
  <c r="O280" i="17"/>
  <c r="O312" i="17"/>
  <c r="O335" i="17"/>
  <c r="O355" i="17"/>
  <c r="O371" i="17"/>
  <c r="O387" i="17"/>
  <c r="O403" i="17"/>
  <c r="O419" i="17"/>
  <c r="O435" i="17"/>
  <c r="O451" i="17"/>
  <c r="O467" i="17"/>
  <c r="O483" i="17"/>
  <c r="O499" i="17"/>
  <c r="O515" i="17"/>
  <c r="O531" i="17"/>
  <c r="O547" i="17"/>
  <c r="O563" i="17"/>
  <c r="O579" i="17"/>
  <c r="O595" i="17"/>
  <c r="O611" i="17"/>
  <c r="P592" i="17"/>
  <c r="O256" i="17"/>
  <c r="O360" i="17"/>
  <c r="O424" i="17"/>
  <c r="O488" i="17"/>
  <c r="O552" i="17"/>
  <c r="P42" i="17"/>
  <c r="P498" i="17"/>
  <c r="P476" i="17"/>
  <c r="O209" i="17"/>
  <c r="O349" i="17"/>
  <c r="O46" i="17"/>
  <c r="O174" i="17"/>
  <c r="O302" i="17"/>
  <c r="O35" i="17"/>
  <c r="O119" i="17"/>
  <c r="O183" i="17"/>
  <c r="O247" i="17"/>
  <c r="O116" i="17"/>
  <c r="O284" i="17"/>
  <c r="O353" i="17"/>
  <c r="O393" i="17"/>
  <c r="O437" i="17"/>
  <c r="O481" i="17"/>
  <c r="O521" i="17"/>
  <c r="O561" i="17"/>
  <c r="O593" i="17"/>
  <c r="O24" i="17"/>
  <c r="O152" i="17"/>
  <c r="O271" i="17"/>
  <c r="O328" i="17"/>
  <c r="O366" i="17"/>
  <c r="O398" i="17"/>
  <c r="O430" i="17"/>
  <c r="O462" i="17"/>
  <c r="O494" i="17"/>
  <c r="O526" i="17"/>
  <c r="O558" i="17"/>
  <c r="O590" i="17"/>
  <c r="P584" i="17"/>
  <c r="O124" i="17"/>
  <c r="O252" i="17"/>
  <c r="O319" i="17"/>
  <c r="O359" i="17"/>
  <c r="O391" i="17"/>
  <c r="O423" i="17"/>
  <c r="O455" i="17"/>
  <c r="O487" i="17"/>
  <c r="O519" i="17"/>
  <c r="O551" i="17"/>
  <c r="O583" i="17"/>
  <c r="O64" i="17"/>
  <c r="O376" i="17"/>
  <c r="O504" i="17"/>
  <c r="P408" i="17"/>
  <c r="O208" i="17"/>
  <c r="O347" i="17"/>
  <c r="O412" i="17"/>
  <c r="O476" i="17"/>
  <c r="O540" i="17"/>
  <c r="O604" i="17"/>
  <c r="O96" i="17"/>
  <c r="O307" i="17"/>
  <c r="O384" i="17"/>
  <c r="O448" i="17"/>
  <c r="O512" i="17"/>
  <c r="O576" i="17"/>
  <c r="P274" i="17"/>
  <c r="P562" i="17"/>
  <c r="P594" i="17"/>
  <c r="O229" i="17"/>
  <c r="P295" i="17"/>
  <c r="O62" i="17"/>
  <c r="O190" i="17"/>
  <c r="P119" i="17"/>
  <c r="O51" i="17"/>
  <c r="O131" i="17"/>
  <c r="O195" i="17"/>
  <c r="O259" i="17"/>
  <c r="O164" i="17"/>
  <c r="O292" i="17"/>
  <c r="O357" i="17"/>
  <c r="O401" i="17"/>
  <c r="O441" i="17"/>
  <c r="O485" i="17"/>
  <c r="O529" i="17"/>
  <c r="O565" i="17"/>
  <c r="O597" i="17"/>
  <c r="O40" i="17"/>
  <c r="O168" i="17"/>
  <c r="O279" i="17"/>
  <c r="O334" i="17"/>
  <c r="O370" i="17"/>
  <c r="O402" i="17"/>
  <c r="O434" i="17"/>
  <c r="O466" i="17"/>
  <c r="O498" i="17"/>
  <c r="O530" i="17"/>
  <c r="O562" i="17"/>
  <c r="O594" i="17"/>
  <c r="P611" i="17"/>
  <c r="O140" i="17"/>
  <c r="O264" i="17"/>
  <c r="O324" i="17"/>
  <c r="O363" i="17"/>
  <c r="O395" i="17"/>
  <c r="O427" i="17"/>
  <c r="O459" i="17"/>
  <c r="O491" i="17"/>
  <c r="O523" i="17"/>
  <c r="O555" i="17"/>
  <c r="O587" i="17"/>
  <c r="O128" i="17"/>
  <c r="O392" i="17"/>
  <c r="O520" i="17"/>
  <c r="O15" i="17"/>
  <c r="O267" i="17"/>
  <c r="O364" i="17"/>
  <c r="O428" i="17"/>
  <c r="O492" i="17"/>
  <c r="O556" i="17"/>
  <c r="O160" i="17"/>
  <c r="O331" i="17"/>
  <c r="O400" i="17"/>
  <c r="O464" i="17"/>
  <c r="O528" i="17"/>
  <c r="O592" i="17"/>
  <c r="P581" i="17"/>
  <c r="O97" i="17"/>
  <c r="P528" i="17"/>
  <c r="O238" i="17"/>
  <c r="O87" i="17"/>
  <c r="O215" i="17"/>
  <c r="O228" i="17"/>
  <c r="O373" i="17"/>
  <c r="O457" i="17"/>
  <c r="O545" i="17"/>
  <c r="O609" i="17"/>
  <c r="O88" i="17"/>
  <c r="O303" i="17"/>
  <c r="O382" i="17"/>
  <c r="O446" i="17"/>
  <c r="O510" i="17"/>
  <c r="O574" i="17"/>
  <c r="P263" i="17"/>
  <c r="O188" i="17"/>
  <c r="O340" i="17"/>
  <c r="O407" i="17"/>
  <c r="O471" i="17"/>
  <c r="O535" i="17"/>
  <c r="O599" i="17"/>
  <c r="O291" i="17"/>
  <c r="O568" i="17"/>
  <c r="O299" i="17"/>
  <c r="O444" i="17"/>
  <c r="O572" i="17"/>
  <c r="O224" i="17"/>
  <c r="O416" i="17"/>
  <c r="O544" i="17"/>
  <c r="O420" i="17"/>
  <c r="O48" i="17"/>
  <c r="O500" i="17"/>
  <c r="O336" i="17"/>
  <c r="O388" i="17"/>
  <c r="O596" i="17"/>
  <c r="P451" i="17"/>
  <c r="O110" i="17"/>
  <c r="P552" i="17"/>
  <c r="O417" i="17"/>
  <c r="O577" i="17"/>
  <c r="O216" i="17"/>
  <c r="O414" i="17"/>
  <c r="O542" i="17"/>
  <c r="O60" i="17"/>
  <c r="O439" i="17"/>
  <c r="O567" i="17"/>
  <c r="O380" i="17"/>
  <c r="P472" i="17"/>
  <c r="O480" i="17"/>
  <c r="O240" i="17"/>
  <c r="O532" i="17"/>
  <c r="P175" i="17"/>
  <c r="O129" i="17"/>
  <c r="P588" i="17"/>
  <c r="O254" i="17"/>
  <c r="O99" i="17"/>
  <c r="O227" i="17"/>
  <c r="O244" i="17"/>
  <c r="O377" i="17"/>
  <c r="O465" i="17"/>
  <c r="O549" i="17"/>
  <c r="O613" i="17"/>
  <c r="O104" i="17"/>
  <c r="O311" i="17"/>
  <c r="O386" i="17"/>
  <c r="O450" i="17"/>
  <c r="O514" i="17"/>
  <c r="O578" i="17"/>
  <c r="P392" i="17"/>
  <c r="O204" i="17"/>
  <c r="O346" i="17"/>
  <c r="O411" i="17"/>
  <c r="O475" i="17"/>
  <c r="O539" i="17"/>
  <c r="O603" i="17"/>
  <c r="O320" i="17"/>
  <c r="O584" i="17"/>
  <c r="O326" i="17"/>
  <c r="O460" i="17"/>
  <c r="O588" i="17"/>
  <c r="O275" i="17"/>
  <c r="O432" i="17"/>
  <c r="O560" i="17"/>
  <c r="P536" i="17"/>
  <c r="O484" i="17"/>
  <c r="O283" i="17"/>
  <c r="O564" i="17"/>
  <c r="O468" i="17"/>
  <c r="O452" i="17"/>
  <c r="O285" i="17"/>
  <c r="P484" i="17"/>
  <c r="O151" i="17"/>
  <c r="O322" i="17"/>
  <c r="O501" i="17"/>
  <c r="P440" i="17"/>
  <c r="O350" i="17"/>
  <c r="O478" i="17"/>
  <c r="O606" i="17"/>
  <c r="O288" i="17"/>
  <c r="O375" i="17"/>
  <c r="O503" i="17"/>
  <c r="O440" i="17"/>
  <c r="O80" i="17"/>
  <c r="O508" i="17"/>
  <c r="O352" i="17"/>
  <c r="O608" i="17"/>
  <c r="O548" i="17"/>
  <c r="O372" i="17"/>
  <c r="P515" i="17"/>
  <c r="O163" i="17"/>
  <c r="O505" i="17"/>
  <c r="O418" i="17"/>
  <c r="O76" i="17"/>
  <c r="O507" i="17"/>
  <c r="O524" i="17"/>
  <c r="O368" i="17"/>
  <c r="O612" i="17"/>
  <c r="O436" i="17"/>
  <c r="O516" i="17"/>
  <c r="O332" i="17"/>
  <c r="O546" i="17"/>
  <c r="O379" i="17"/>
  <c r="O144" i="17"/>
  <c r="O14" i="17"/>
  <c r="P548" i="17"/>
  <c r="O421" i="17"/>
  <c r="O610" i="17"/>
  <c r="O443" i="17"/>
  <c r="O32" i="17"/>
  <c r="O356" i="17"/>
  <c r="O315" i="17"/>
  <c r="O301" i="17"/>
  <c r="O36" i="17"/>
  <c r="O581" i="17"/>
  <c r="P504" i="17"/>
  <c r="O482" i="17"/>
  <c r="O296" i="17"/>
  <c r="O571" i="17"/>
  <c r="O496" i="17"/>
  <c r="O580" i="17"/>
  <c r="O126" i="17"/>
  <c r="O232" i="17"/>
  <c r="O112" i="17"/>
  <c r="O176" i="17"/>
  <c r="O354" i="17"/>
  <c r="O456" i="17"/>
  <c r="O396" i="17"/>
  <c r="O404" i="17"/>
  <c r="D340" i="2"/>
  <c r="B54" i="21"/>
  <c r="B56" i="21"/>
  <c r="K128" i="2"/>
  <c r="B402" i="2"/>
  <c r="A42" i="16"/>
  <c r="B377" i="2" l="1"/>
  <c r="A377" i="2"/>
  <c r="D376" i="2"/>
  <c r="B398" i="2"/>
  <c r="A397" i="2"/>
  <c r="Z13" i="17"/>
  <c r="Z14" i="17"/>
  <c r="Z15" i="17"/>
  <c r="Z16" i="17"/>
  <c r="Z17" i="17"/>
  <c r="Z18" i="17"/>
  <c r="Z19" i="17"/>
  <c r="Z20" i="17"/>
  <c r="Z21" i="17"/>
  <c r="Z22" i="17"/>
  <c r="Z23" i="17"/>
  <c r="Z24" i="17"/>
  <c r="Z25" i="17"/>
  <c r="Z26" i="17"/>
  <c r="Z27" i="17"/>
  <c r="Z28" i="17"/>
  <c r="Z29" i="17"/>
  <c r="Z30" i="17"/>
  <c r="Z31" i="17"/>
  <c r="Z32" i="17"/>
  <c r="Z33" i="17"/>
  <c r="Z34" i="17"/>
  <c r="Z35" i="17"/>
  <c r="Z36" i="17"/>
  <c r="Z37" i="17"/>
  <c r="Z38" i="17"/>
  <c r="Z39" i="17"/>
  <c r="Z40" i="17"/>
  <c r="Z41" i="17"/>
  <c r="Z42" i="17"/>
  <c r="Z43" i="17"/>
  <c r="Z44" i="17"/>
  <c r="Z45" i="17"/>
  <c r="Z46" i="17"/>
  <c r="Z47" i="17"/>
  <c r="Z48" i="17"/>
  <c r="Z49" i="17"/>
  <c r="Z50" i="17"/>
  <c r="Z51" i="17"/>
  <c r="Z52" i="17"/>
  <c r="Z53" i="17"/>
  <c r="Z54" i="17"/>
  <c r="Z55" i="17"/>
  <c r="Z56" i="17"/>
  <c r="Z57" i="17"/>
  <c r="Z58" i="17"/>
  <c r="Z59" i="17"/>
  <c r="Z60" i="17"/>
  <c r="Z61" i="17"/>
  <c r="Z62" i="17"/>
  <c r="Z63" i="17"/>
  <c r="Z64" i="17"/>
  <c r="Z65" i="17"/>
  <c r="Z66" i="17"/>
  <c r="Z67" i="17"/>
  <c r="Z68" i="17"/>
  <c r="Z69" i="17"/>
  <c r="Z70" i="17"/>
  <c r="Z71" i="17"/>
  <c r="Z72" i="17"/>
  <c r="Z73" i="17"/>
  <c r="Z74" i="17"/>
  <c r="Z75" i="17"/>
  <c r="Z76" i="17"/>
  <c r="Z77" i="17"/>
  <c r="Z78" i="17"/>
  <c r="Z79" i="17"/>
  <c r="Z80" i="17"/>
  <c r="Z81" i="17"/>
  <c r="Z82" i="17"/>
  <c r="Z83" i="17"/>
  <c r="Z84" i="17"/>
  <c r="Z85" i="17"/>
  <c r="Z86" i="17"/>
  <c r="Z87" i="17"/>
  <c r="Z88" i="17"/>
  <c r="Z89" i="17"/>
  <c r="Z90" i="17"/>
  <c r="Z91" i="17"/>
  <c r="Z92" i="17"/>
  <c r="Z93" i="17"/>
  <c r="Z94" i="17"/>
  <c r="Z95" i="17"/>
  <c r="Z96" i="17"/>
  <c r="Z97" i="17"/>
  <c r="Z98" i="17"/>
  <c r="Z99" i="17"/>
  <c r="Z100" i="17"/>
  <c r="Z101" i="17"/>
  <c r="Z102" i="17"/>
  <c r="Z103" i="17"/>
  <c r="Z104" i="17"/>
  <c r="Z105" i="17"/>
  <c r="Z106" i="17"/>
  <c r="Z107" i="17"/>
  <c r="Z108" i="17"/>
  <c r="Z109" i="17"/>
  <c r="Z110" i="17"/>
  <c r="Z111" i="17"/>
  <c r="Z112" i="17"/>
  <c r="Z113" i="17"/>
  <c r="Z114" i="17"/>
  <c r="Z115" i="17"/>
  <c r="Z116" i="17"/>
  <c r="Z117" i="17"/>
  <c r="Z118" i="17"/>
  <c r="Z119" i="17"/>
  <c r="Z120" i="17"/>
  <c r="Z121" i="17"/>
  <c r="Z122" i="17"/>
  <c r="Z123" i="17"/>
  <c r="Z124" i="17"/>
  <c r="Z125" i="17"/>
  <c r="Z126" i="17"/>
  <c r="Z127" i="17"/>
  <c r="Z128" i="17"/>
  <c r="Z129" i="17"/>
  <c r="Z130" i="17"/>
  <c r="Z131" i="17"/>
  <c r="Z132" i="17"/>
  <c r="Z133" i="17"/>
  <c r="Z134" i="17"/>
  <c r="Z135" i="17"/>
  <c r="Z136" i="17"/>
  <c r="Z137" i="17"/>
  <c r="Z138" i="17"/>
  <c r="Z139" i="17"/>
  <c r="Z140" i="17"/>
  <c r="Z141" i="17"/>
  <c r="Z142" i="17"/>
  <c r="Z143" i="17"/>
  <c r="Z144" i="17"/>
  <c r="Z145" i="17"/>
  <c r="Z146" i="17"/>
  <c r="Z147" i="17"/>
  <c r="Z148" i="17"/>
  <c r="Z149" i="17"/>
  <c r="Z150" i="17"/>
  <c r="Z151" i="17"/>
  <c r="Z152" i="17"/>
  <c r="Z153" i="17"/>
  <c r="Z154" i="17"/>
  <c r="Z155" i="17"/>
  <c r="Z156" i="17"/>
  <c r="Z157" i="17"/>
  <c r="Z158" i="17"/>
  <c r="Z159" i="17"/>
  <c r="Z160" i="17"/>
  <c r="Z161" i="17"/>
  <c r="Z162" i="17"/>
  <c r="Z163" i="17"/>
  <c r="Z164" i="17"/>
  <c r="Z165" i="17"/>
  <c r="Z166" i="17"/>
  <c r="Z167" i="17"/>
  <c r="Z168" i="17"/>
  <c r="Z169" i="17"/>
  <c r="Z170" i="17"/>
  <c r="Z171" i="17"/>
  <c r="Z172" i="17"/>
  <c r="Z173" i="17"/>
  <c r="Z174" i="17"/>
  <c r="Z175" i="17"/>
  <c r="Z176" i="17"/>
  <c r="Z177" i="17"/>
  <c r="Z178" i="17"/>
  <c r="Z179" i="17"/>
  <c r="Z180" i="17"/>
  <c r="Z181" i="17"/>
  <c r="Z182" i="17"/>
  <c r="Z183" i="17"/>
  <c r="Z184" i="17"/>
  <c r="Z185" i="17"/>
  <c r="Z186" i="17"/>
  <c r="Z187" i="17"/>
  <c r="Z188" i="17"/>
  <c r="Z189" i="17"/>
  <c r="Z190" i="17"/>
  <c r="Z191" i="17"/>
  <c r="Z192" i="17"/>
  <c r="Z193" i="17"/>
  <c r="Z194" i="17"/>
  <c r="Z195" i="17"/>
  <c r="Z196" i="17"/>
  <c r="Z197" i="17"/>
  <c r="Z198" i="17"/>
  <c r="Z199" i="17"/>
  <c r="Z200" i="17"/>
  <c r="Z201" i="17"/>
  <c r="Z202" i="17"/>
  <c r="Z203" i="17"/>
  <c r="Z204" i="17"/>
  <c r="Z205" i="17"/>
  <c r="Z206" i="17"/>
  <c r="Z207" i="17"/>
  <c r="Z208" i="17"/>
  <c r="Z209" i="17"/>
  <c r="Z210" i="17"/>
  <c r="Z211" i="17"/>
  <c r="Z212" i="17"/>
  <c r="Z213" i="17"/>
  <c r="Z214" i="17"/>
  <c r="Z215" i="17"/>
  <c r="Z216" i="17"/>
  <c r="Z217" i="17"/>
  <c r="Z218" i="17"/>
  <c r="Z219" i="17"/>
  <c r="Z220" i="17"/>
  <c r="Z221" i="17"/>
  <c r="Z222" i="17"/>
  <c r="Z223" i="17"/>
  <c r="Z224" i="17"/>
  <c r="Z225" i="17"/>
  <c r="Z226" i="17"/>
  <c r="Z227" i="17"/>
  <c r="Z228" i="17"/>
  <c r="Z229" i="17"/>
  <c r="Z230" i="17"/>
  <c r="Z231" i="17"/>
  <c r="Z232" i="17"/>
  <c r="Z233" i="17"/>
  <c r="Z234" i="17"/>
  <c r="Z235" i="17"/>
  <c r="Z236" i="17"/>
  <c r="Z237" i="17"/>
  <c r="Z238" i="17"/>
  <c r="Z239" i="17"/>
  <c r="Z240" i="17"/>
  <c r="Z241" i="17"/>
  <c r="Z242" i="17"/>
  <c r="Z243" i="17"/>
  <c r="Z244" i="17"/>
  <c r="Z245" i="17"/>
  <c r="Z246" i="17"/>
  <c r="Z247" i="17"/>
  <c r="Z248" i="17"/>
  <c r="Z249" i="17"/>
  <c r="Z250" i="17"/>
  <c r="Z251" i="17"/>
  <c r="Z252" i="17"/>
  <c r="Z253" i="17"/>
  <c r="Z254" i="17"/>
  <c r="Z255" i="17"/>
  <c r="Z256" i="17"/>
  <c r="Z257" i="17"/>
  <c r="Z258" i="17"/>
  <c r="Z259" i="17"/>
  <c r="Z260" i="17"/>
  <c r="Z261" i="17"/>
  <c r="Z262" i="17"/>
  <c r="Z263" i="17"/>
  <c r="Z264" i="17"/>
  <c r="Z265" i="17"/>
  <c r="Z266" i="17"/>
  <c r="Z267" i="17"/>
  <c r="Z268" i="17"/>
  <c r="Z269" i="17"/>
  <c r="Z270" i="17"/>
  <c r="Z271" i="17"/>
  <c r="Z272" i="17"/>
  <c r="Z273" i="17"/>
  <c r="Z274" i="17"/>
  <c r="Z275" i="17"/>
  <c r="Z276" i="17"/>
  <c r="Z277" i="17"/>
  <c r="Z278" i="17"/>
  <c r="Z279" i="17"/>
  <c r="Z280" i="17"/>
  <c r="Z281" i="17"/>
  <c r="Z282" i="17"/>
  <c r="Z283" i="17"/>
  <c r="Z284" i="17"/>
  <c r="Z285" i="17"/>
  <c r="Z286" i="17"/>
  <c r="Z287" i="17"/>
  <c r="Z288" i="17"/>
  <c r="Z289" i="17"/>
  <c r="Z290" i="17"/>
  <c r="Z291" i="17"/>
  <c r="Z292" i="17"/>
  <c r="Z293" i="17"/>
  <c r="Z294" i="17"/>
  <c r="Z295" i="17"/>
  <c r="Z296" i="17"/>
  <c r="Z297" i="17"/>
  <c r="Z298" i="17"/>
  <c r="Z299" i="17"/>
  <c r="Z300" i="17"/>
  <c r="Z301" i="17"/>
  <c r="Z302" i="17"/>
  <c r="Z303" i="17"/>
  <c r="Z304" i="17"/>
  <c r="Z305" i="17"/>
  <c r="Z306" i="17"/>
  <c r="Z307" i="17"/>
  <c r="Z308" i="17"/>
  <c r="Z309" i="17"/>
  <c r="Z310" i="17"/>
  <c r="Z311" i="17"/>
  <c r="Z312" i="17"/>
  <c r="Z313" i="17"/>
  <c r="Z314" i="17"/>
  <c r="Z315" i="17"/>
  <c r="Z316" i="17"/>
  <c r="Z317" i="17"/>
  <c r="Z318" i="17"/>
  <c r="Z319" i="17"/>
  <c r="Z320" i="17"/>
  <c r="Z321" i="17"/>
  <c r="Z322" i="17"/>
  <c r="Z323" i="17"/>
  <c r="Z324" i="17"/>
  <c r="Z325" i="17"/>
  <c r="Z326" i="17"/>
  <c r="Z327" i="17"/>
  <c r="Z328" i="17"/>
  <c r="Z329" i="17"/>
  <c r="Z330" i="17"/>
  <c r="Z331" i="17"/>
  <c r="Z332" i="17"/>
  <c r="Z333" i="17"/>
  <c r="Z334" i="17"/>
  <c r="Z335" i="17"/>
  <c r="Z336" i="17"/>
  <c r="Z337" i="17"/>
  <c r="Z338" i="17"/>
  <c r="Z339" i="17"/>
  <c r="Z340" i="17"/>
  <c r="Z341" i="17"/>
  <c r="Z342" i="17"/>
  <c r="Z343" i="17"/>
  <c r="Z344" i="17"/>
  <c r="Z345" i="17"/>
  <c r="Z346" i="17"/>
  <c r="Z347" i="17"/>
  <c r="Z348" i="17"/>
  <c r="Z349" i="17"/>
  <c r="Z350" i="17"/>
  <c r="Z351" i="17"/>
  <c r="Z352" i="17"/>
  <c r="Z353" i="17"/>
  <c r="Z354" i="17"/>
  <c r="Z355" i="17"/>
  <c r="Z356" i="17"/>
  <c r="Z357" i="17"/>
  <c r="Z358" i="17"/>
  <c r="Z359" i="17"/>
  <c r="Z360" i="17"/>
  <c r="Z361" i="17"/>
  <c r="Z362" i="17"/>
  <c r="Z363" i="17"/>
  <c r="Z364" i="17"/>
  <c r="Z365" i="17"/>
  <c r="Z366" i="17"/>
  <c r="Z367" i="17"/>
  <c r="Z368" i="17"/>
  <c r="Z369" i="17"/>
  <c r="Z370" i="17"/>
  <c r="Z371" i="17"/>
  <c r="Z372" i="17"/>
  <c r="Z373" i="17"/>
  <c r="Z374" i="17"/>
  <c r="Z375" i="17"/>
  <c r="Z376" i="17"/>
  <c r="Z377" i="17"/>
  <c r="Z378" i="17"/>
  <c r="Z379" i="17"/>
  <c r="Z380" i="17"/>
  <c r="Z381" i="17"/>
  <c r="Z382" i="17"/>
  <c r="Z383" i="17"/>
  <c r="Z384" i="17"/>
  <c r="Z385" i="17"/>
  <c r="Z386" i="17"/>
  <c r="Z387" i="17"/>
  <c r="Z388" i="17"/>
  <c r="Z389" i="17"/>
  <c r="Z390" i="17"/>
  <c r="Z391" i="17"/>
  <c r="Z392" i="17"/>
  <c r="Z393" i="17"/>
  <c r="Z394" i="17"/>
  <c r="Z395" i="17"/>
  <c r="Z396" i="17"/>
  <c r="Z397" i="17"/>
  <c r="Z398" i="17"/>
  <c r="Z399" i="17"/>
  <c r="Z400" i="17"/>
  <c r="Z401" i="17"/>
  <c r="Z402" i="17"/>
  <c r="Z403" i="17"/>
  <c r="Z404" i="17"/>
  <c r="Z405" i="17"/>
  <c r="Z406" i="17"/>
  <c r="Z407" i="17"/>
  <c r="Z408" i="17"/>
  <c r="Z409" i="17"/>
  <c r="Z410" i="17"/>
  <c r="Z411" i="17"/>
  <c r="Z412" i="17"/>
  <c r="Z413" i="17"/>
  <c r="Z414" i="17"/>
  <c r="Z415" i="17"/>
  <c r="Z416" i="17"/>
  <c r="Z417" i="17"/>
  <c r="Z418" i="17"/>
  <c r="Z419" i="17"/>
  <c r="Z420" i="17"/>
  <c r="Z421" i="17"/>
  <c r="Z422" i="17"/>
  <c r="Z423" i="17"/>
  <c r="Z424" i="17"/>
  <c r="Z425" i="17"/>
  <c r="Z426" i="17"/>
  <c r="Z427" i="17"/>
  <c r="Z428" i="17"/>
  <c r="Z429" i="17"/>
  <c r="Z430" i="17"/>
  <c r="Z431" i="17"/>
  <c r="Z432" i="17"/>
  <c r="Z433" i="17"/>
  <c r="Z434" i="17"/>
  <c r="Z435" i="17"/>
  <c r="Z436" i="17"/>
  <c r="Z437" i="17"/>
  <c r="Z438" i="17"/>
  <c r="Z439" i="17"/>
  <c r="Z440" i="17"/>
  <c r="Z441" i="17"/>
  <c r="Z442" i="17"/>
  <c r="Z443" i="17"/>
  <c r="Z444" i="17"/>
  <c r="Z445" i="17"/>
  <c r="Z446" i="17"/>
  <c r="Z447" i="17"/>
  <c r="Z448" i="17"/>
  <c r="Z449" i="17"/>
  <c r="Z450" i="17"/>
  <c r="Z451" i="17"/>
  <c r="Z452" i="17"/>
  <c r="Z453" i="17"/>
  <c r="Z454" i="17"/>
  <c r="Z455" i="17"/>
  <c r="Z456" i="17"/>
  <c r="Z457" i="17"/>
  <c r="Z458" i="17"/>
  <c r="Z459" i="17"/>
  <c r="Z460" i="17"/>
  <c r="Z461" i="17"/>
  <c r="Z462" i="17"/>
  <c r="Z463" i="17"/>
  <c r="Z464" i="17"/>
  <c r="Z465" i="17"/>
  <c r="Z466" i="17"/>
  <c r="Z467" i="17"/>
  <c r="Z468" i="17"/>
  <c r="Z469" i="17"/>
  <c r="Z470" i="17"/>
  <c r="Z471" i="17"/>
  <c r="Z472" i="17"/>
  <c r="Z473" i="17"/>
  <c r="Z474" i="17"/>
  <c r="Z475" i="17"/>
  <c r="Z476" i="17"/>
  <c r="Z477" i="17"/>
  <c r="Z478" i="17"/>
  <c r="Z479" i="17"/>
  <c r="Z480" i="17"/>
  <c r="Z481" i="17"/>
  <c r="Z482" i="17"/>
  <c r="Z483" i="17"/>
  <c r="Z484" i="17"/>
  <c r="Z485" i="17"/>
  <c r="Z486" i="17"/>
  <c r="Z487" i="17"/>
  <c r="Z488" i="17"/>
  <c r="Z489" i="17"/>
  <c r="Z490" i="17"/>
  <c r="Z491" i="17"/>
  <c r="Z492" i="17"/>
  <c r="Z493" i="17"/>
  <c r="Z494" i="17"/>
  <c r="Z495" i="17"/>
  <c r="Z496" i="17"/>
  <c r="Z497" i="17"/>
  <c r="Z498" i="17"/>
  <c r="Z499" i="17"/>
  <c r="Z500" i="17"/>
  <c r="Z501" i="17"/>
  <c r="Z502" i="17"/>
  <c r="Z503" i="17"/>
  <c r="Z504" i="17"/>
  <c r="Z505" i="17"/>
  <c r="Z506" i="17"/>
  <c r="Z507" i="17"/>
  <c r="Z508" i="17"/>
  <c r="Z509" i="17"/>
  <c r="Z510" i="17"/>
  <c r="Z511" i="17"/>
  <c r="Z512" i="17"/>
  <c r="Z513" i="17"/>
  <c r="Z514" i="17"/>
  <c r="Z515" i="17"/>
  <c r="Z516" i="17"/>
  <c r="Z517" i="17"/>
  <c r="Z518" i="17"/>
  <c r="Z519" i="17"/>
  <c r="Z520" i="17"/>
  <c r="Z521" i="17"/>
  <c r="Z522" i="17"/>
  <c r="Z523" i="17"/>
  <c r="Z524" i="17"/>
  <c r="Z525" i="17"/>
  <c r="Z526" i="17"/>
  <c r="Z527" i="17"/>
  <c r="Z528" i="17"/>
  <c r="Z529" i="17"/>
  <c r="Z530" i="17"/>
  <c r="Z531" i="17"/>
  <c r="Z532" i="17"/>
  <c r="Z533" i="17"/>
  <c r="Z534" i="17"/>
  <c r="Z535" i="17"/>
  <c r="Z536" i="17"/>
  <c r="Z537" i="17"/>
  <c r="Z538" i="17"/>
  <c r="Z539" i="17"/>
  <c r="Z540" i="17"/>
  <c r="Z541" i="17"/>
  <c r="Z542" i="17"/>
  <c r="Z543" i="17"/>
  <c r="Z544" i="17"/>
  <c r="Z545" i="17"/>
  <c r="Z546" i="17"/>
  <c r="Z547" i="17"/>
  <c r="Z548" i="17"/>
  <c r="Z549" i="17"/>
  <c r="Z550" i="17"/>
  <c r="Z551" i="17"/>
  <c r="Z552" i="17"/>
  <c r="Z553" i="17"/>
  <c r="Z554" i="17"/>
  <c r="Z555" i="17"/>
  <c r="Z556" i="17"/>
  <c r="Z557" i="17"/>
  <c r="Z558" i="17"/>
  <c r="Z559" i="17"/>
  <c r="Z560" i="17"/>
  <c r="Z561" i="17"/>
  <c r="Z562" i="17"/>
  <c r="Z563" i="17"/>
  <c r="Z564" i="17"/>
  <c r="Z565" i="17"/>
  <c r="Z566" i="17"/>
  <c r="Z567" i="17"/>
  <c r="Z568" i="17"/>
  <c r="Z569" i="17"/>
  <c r="Z570" i="17"/>
  <c r="Z571" i="17"/>
  <c r="Z572" i="17"/>
  <c r="Z573" i="17"/>
  <c r="Z574" i="17"/>
  <c r="Z575" i="17"/>
  <c r="Z576" i="17"/>
  <c r="Z577" i="17"/>
  <c r="Z578" i="17"/>
  <c r="Z579" i="17"/>
  <c r="Z580" i="17"/>
  <c r="Z581" i="17"/>
  <c r="Z582" i="17"/>
  <c r="Z583" i="17"/>
  <c r="Z584" i="17"/>
  <c r="Z585" i="17"/>
  <c r="Z586" i="17"/>
  <c r="Z587" i="17"/>
  <c r="Z588" i="17"/>
  <c r="Z589" i="17"/>
  <c r="Z590" i="17"/>
  <c r="Z591" i="17"/>
  <c r="Z592" i="17"/>
  <c r="Z593" i="17"/>
  <c r="Z594" i="17"/>
  <c r="Z595" i="17"/>
  <c r="Z596" i="17"/>
  <c r="Z597" i="17"/>
  <c r="Z598" i="17"/>
  <c r="Z599" i="17"/>
  <c r="Z600" i="17"/>
  <c r="Z601" i="17"/>
  <c r="Z602" i="17"/>
  <c r="Z603" i="17"/>
  <c r="Z604" i="17"/>
  <c r="Z605" i="17"/>
  <c r="Z606" i="17"/>
  <c r="Z607" i="17"/>
  <c r="Z608" i="17"/>
  <c r="Z609" i="17"/>
  <c r="Z610" i="17"/>
  <c r="Z611" i="17"/>
  <c r="Z612" i="17"/>
  <c r="Z613" i="17"/>
  <c r="I3" i="17" l="1"/>
  <c r="B413" i="2"/>
  <c r="A413" i="2"/>
  <c r="B219" i="2"/>
  <c r="B234" i="2" s="1"/>
  <c r="B95" i="2"/>
  <c r="E19" i="1" s="1"/>
  <c r="C49" i="16" l="1"/>
  <c r="B199" i="2"/>
  <c r="B412" i="2"/>
  <c r="A412" i="2"/>
  <c r="B411" i="2"/>
  <c r="A411" i="2"/>
  <c r="AI687" i="17" l="1"/>
  <c r="B14" i="17" l="1"/>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B47" i="17"/>
  <c r="B48" i="17"/>
  <c r="B49" i="17"/>
  <c r="B50" i="17"/>
  <c r="B51" i="17"/>
  <c r="B52" i="17"/>
  <c r="B53" i="17"/>
  <c r="B54" i="17"/>
  <c r="B55" i="17"/>
  <c r="B56" i="17"/>
  <c r="B57" i="17"/>
  <c r="B58" i="17"/>
  <c r="B59"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B90" i="17"/>
  <c r="B91" i="17"/>
  <c r="B92" i="17"/>
  <c r="B93" i="17"/>
  <c r="B94" i="17"/>
  <c r="B95" i="17"/>
  <c r="B96" i="17"/>
  <c r="B97" i="17"/>
  <c r="B98" i="17"/>
  <c r="B99" i="17"/>
  <c r="B100" i="17"/>
  <c r="B101" i="17"/>
  <c r="B102" i="17"/>
  <c r="B103" i="17"/>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03" i="17"/>
  <c r="B204" i="17"/>
  <c r="B205" i="17"/>
  <c r="B206" i="17"/>
  <c r="B207" i="17"/>
  <c r="B208" i="17"/>
  <c r="B209" i="17"/>
  <c r="B210" i="17"/>
  <c r="B211" i="17"/>
  <c r="B212" i="17"/>
  <c r="B213" i="17"/>
  <c r="B214" i="17"/>
  <c r="B215" i="17"/>
  <c r="B216" i="17"/>
  <c r="B217" i="17"/>
  <c r="B218" i="17"/>
  <c r="B219" i="17"/>
  <c r="B220" i="17"/>
  <c r="B221" i="17"/>
  <c r="B222" i="17"/>
  <c r="B223" i="17"/>
  <c r="B224" i="17"/>
  <c r="B225" i="17"/>
  <c r="B226" i="17"/>
  <c r="B227" i="17"/>
  <c r="B228" i="17"/>
  <c r="B229" i="17"/>
  <c r="B230" i="17"/>
  <c r="B231" i="17"/>
  <c r="B232" i="17"/>
  <c r="B233" i="17"/>
  <c r="B234" i="17"/>
  <c r="B235" i="17"/>
  <c r="B236" i="17"/>
  <c r="B237" i="17"/>
  <c r="B238" i="17"/>
  <c r="B239" i="17"/>
  <c r="B240" i="17"/>
  <c r="B241" i="17"/>
  <c r="B242" i="17"/>
  <c r="B243" i="17"/>
  <c r="B244" i="17"/>
  <c r="B245" i="17"/>
  <c r="B246" i="17"/>
  <c r="B247" i="17"/>
  <c r="B248" i="17"/>
  <c r="B249" i="17"/>
  <c r="B250" i="17"/>
  <c r="B251" i="17"/>
  <c r="B252" i="17"/>
  <c r="B253" i="17"/>
  <c r="B254" i="17"/>
  <c r="B255" i="17"/>
  <c r="B256" i="17"/>
  <c r="B257" i="17"/>
  <c r="B258" i="17"/>
  <c r="B259" i="17"/>
  <c r="B260" i="17"/>
  <c r="B261" i="17"/>
  <c r="B262" i="17"/>
  <c r="B263" i="17"/>
  <c r="B264" i="17"/>
  <c r="B265" i="17"/>
  <c r="B266" i="17"/>
  <c r="B267" i="17"/>
  <c r="B268" i="17"/>
  <c r="B269" i="17"/>
  <c r="B270" i="17"/>
  <c r="B271" i="17"/>
  <c r="B272" i="17"/>
  <c r="B273" i="17"/>
  <c r="B274" i="17"/>
  <c r="B275" i="17"/>
  <c r="B276" i="17"/>
  <c r="B277" i="17"/>
  <c r="B278" i="17"/>
  <c r="B279" i="17"/>
  <c r="B280" i="17"/>
  <c r="B281" i="17"/>
  <c r="B282" i="17"/>
  <c r="B283" i="17"/>
  <c r="B284" i="17"/>
  <c r="B285" i="17"/>
  <c r="B286" i="17"/>
  <c r="B287" i="17"/>
  <c r="B288" i="17"/>
  <c r="B289" i="17"/>
  <c r="B290" i="17"/>
  <c r="B291" i="17"/>
  <c r="B292" i="17"/>
  <c r="B293" i="17"/>
  <c r="B294" i="17"/>
  <c r="B295" i="17"/>
  <c r="B296" i="17"/>
  <c r="B297" i="17"/>
  <c r="B298" i="17"/>
  <c r="B299" i="17"/>
  <c r="B300" i="17"/>
  <c r="B301" i="17"/>
  <c r="B302" i="17"/>
  <c r="B303" i="17"/>
  <c r="B304" i="17"/>
  <c r="B305" i="17"/>
  <c r="B306" i="17"/>
  <c r="B307" i="17"/>
  <c r="B308" i="17"/>
  <c r="B309" i="17"/>
  <c r="B310" i="17"/>
  <c r="B311" i="17"/>
  <c r="B312" i="17"/>
  <c r="B313" i="17"/>
  <c r="B314" i="17"/>
  <c r="B315" i="17"/>
  <c r="B316" i="17"/>
  <c r="B317" i="17"/>
  <c r="B318" i="17"/>
  <c r="B319" i="17"/>
  <c r="B320" i="17"/>
  <c r="B321" i="17"/>
  <c r="B322" i="17"/>
  <c r="B323" i="17"/>
  <c r="B324" i="17"/>
  <c r="B325" i="17"/>
  <c r="B326" i="17"/>
  <c r="B327" i="17"/>
  <c r="B328" i="17"/>
  <c r="B329" i="17"/>
  <c r="B330" i="17"/>
  <c r="B331" i="17"/>
  <c r="B332" i="17"/>
  <c r="B333" i="17"/>
  <c r="B334" i="17"/>
  <c r="B335" i="17"/>
  <c r="B336" i="17"/>
  <c r="B337" i="17"/>
  <c r="B338" i="17"/>
  <c r="B339" i="17"/>
  <c r="B340" i="17"/>
  <c r="B341" i="17"/>
  <c r="B342" i="17"/>
  <c r="B343" i="17"/>
  <c r="B344" i="17"/>
  <c r="B345" i="17"/>
  <c r="B346" i="17"/>
  <c r="B347" i="17"/>
  <c r="B348" i="17"/>
  <c r="B349" i="17"/>
  <c r="B350" i="17"/>
  <c r="B351" i="17"/>
  <c r="B352" i="17"/>
  <c r="B353" i="17"/>
  <c r="B354" i="17"/>
  <c r="B355" i="17"/>
  <c r="B356" i="17"/>
  <c r="B357" i="17"/>
  <c r="B358" i="17"/>
  <c r="B359" i="17"/>
  <c r="B360" i="17"/>
  <c r="B361" i="17"/>
  <c r="B362" i="17"/>
  <c r="B363" i="17"/>
  <c r="B364" i="17"/>
  <c r="B365" i="17"/>
  <c r="B366" i="17"/>
  <c r="B367" i="17"/>
  <c r="B368" i="17"/>
  <c r="B369" i="17"/>
  <c r="B370" i="17"/>
  <c r="B371" i="17"/>
  <c r="B372" i="17"/>
  <c r="B373" i="17"/>
  <c r="B374" i="17"/>
  <c r="B375" i="17"/>
  <c r="B376" i="17"/>
  <c r="B377" i="17"/>
  <c r="B378" i="17"/>
  <c r="B379" i="17"/>
  <c r="B380" i="17"/>
  <c r="B381" i="17"/>
  <c r="B382" i="17"/>
  <c r="B383" i="17"/>
  <c r="B384" i="17"/>
  <c r="B385" i="17"/>
  <c r="B386" i="17"/>
  <c r="B387" i="17"/>
  <c r="B388" i="17"/>
  <c r="B389" i="17"/>
  <c r="B390" i="17"/>
  <c r="B391" i="17"/>
  <c r="B392" i="17"/>
  <c r="B393" i="17"/>
  <c r="B394" i="17"/>
  <c r="B395" i="17"/>
  <c r="B396" i="17"/>
  <c r="B397" i="17"/>
  <c r="B398" i="17"/>
  <c r="B399" i="17"/>
  <c r="B400" i="17"/>
  <c r="B401" i="17"/>
  <c r="B402" i="17"/>
  <c r="B403" i="17"/>
  <c r="B404" i="17"/>
  <c r="B405" i="17"/>
  <c r="B406" i="17"/>
  <c r="B407" i="17"/>
  <c r="B408" i="17"/>
  <c r="B409" i="17"/>
  <c r="B410" i="17"/>
  <c r="B411" i="17"/>
  <c r="B412" i="17"/>
  <c r="B413" i="17"/>
  <c r="B414" i="17"/>
  <c r="B415" i="17"/>
  <c r="B416" i="17"/>
  <c r="B417" i="17"/>
  <c r="B418" i="17"/>
  <c r="B419" i="17"/>
  <c r="B420" i="17"/>
  <c r="B421" i="17"/>
  <c r="B422" i="17"/>
  <c r="B423" i="17"/>
  <c r="B424" i="17"/>
  <c r="B425" i="17"/>
  <c r="B426" i="17"/>
  <c r="B427" i="17"/>
  <c r="B428" i="17"/>
  <c r="B429" i="17"/>
  <c r="B430" i="17"/>
  <c r="B431" i="17"/>
  <c r="B432" i="17"/>
  <c r="B433" i="17"/>
  <c r="B434" i="17"/>
  <c r="B435" i="17"/>
  <c r="B436" i="17"/>
  <c r="B437" i="17"/>
  <c r="B438" i="17"/>
  <c r="B439" i="17"/>
  <c r="B440" i="17"/>
  <c r="B441" i="17"/>
  <c r="B442" i="17"/>
  <c r="B443" i="17"/>
  <c r="B444" i="17"/>
  <c r="B445" i="17"/>
  <c r="B446" i="17"/>
  <c r="B447" i="17"/>
  <c r="B448" i="17"/>
  <c r="B449" i="17"/>
  <c r="B450" i="17"/>
  <c r="B451" i="17"/>
  <c r="B452" i="17"/>
  <c r="B453" i="17"/>
  <c r="B454" i="17"/>
  <c r="B455" i="17"/>
  <c r="B456" i="17"/>
  <c r="B457" i="17"/>
  <c r="B458" i="17"/>
  <c r="B459" i="17"/>
  <c r="B460" i="17"/>
  <c r="B461" i="17"/>
  <c r="B462" i="17"/>
  <c r="B463" i="17"/>
  <c r="B464" i="17"/>
  <c r="B465" i="17"/>
  <c r="B466" i="17"/>
  <c r="B467" i="17"/>
  <c r="B468" i="17"/>
  <c r="B469" i="17"/>
  <c r="B470" i="17"/>
  <c r="B471" i="17"/>
  <c r="B472" i="17"/>
  <c r="B473" i="17"/>
  <c r="B474" i="17"/>
  <c r="B475" i="17"/>
  <c r="B476" i="17"/>
  <c r="B477" i="17"/>
  <c r="B478" i="17"/>
  <c r="B479" i="17"/>
  <c r="B480" i="17"/>
  <c r="B481" i="17"/>
  <c r="B482" i="17"/>
  <c r="B483" i="17"/>
  <c r="B484" i="17"/>
  <c r="B485" i="17"/>
  <c r="B486" i="17"/>
  <c r="B487" i="17"/>
  <c r="B488" i="17"/>
  <c r="B489" i="17"/>
  <c r="B490" i="17"/>
  <c r="B491" i="17"/>
  <c r="B492" i="17"/>
  <c r="B493" i="17"/>
  <c r="B494" i="17"/>
  <c r="B495" i="17"/>
  <c r="B496" i="17"/>
  <c r="B497" i="17"/>
  <c r="B498" i="17"/>
  <c r="B499" i="17"/>
  <c r="B500" i="17"/>
  <c r="B501" i="17"/>
  <c r="B502" i="17"/>
  <c r="B503" i="17"/>
  <c r="B504" i="17"/>
  <c r="B505" i="17"/>
  <c r="B506" i="17"/>
  <c r="B507" i="17"/>
  <c r="B508" i="17"/>
  <c r="B509" i="17"/>
  <c r="B510" i="17"/>
  <c r="B511" i="17"/>
  <c r="B512" i="17"/>
  <c r="B513" i="17"/>
  <c r="B514" i="17"/>
  <c r="B515" i="17"/>
  <c r="B516" i="17"/>
  <c r="B517" i="17"/>
  <c r="B518" i="17"/>
  <c r="B519" i="17"/>
  <c r="B520" i="17"/>
  <c r="B521" i="17"/>
  <c r="B522" i="17"/>
  <c r="B523" i="17"/>
  <c r="B524" i="17"/>
  <c r="B525" i="17"/>
  <c r="B526" i="17"/>
  <c r="B527" i="17"/>
  <c r="B528" i="17"/>
  <c r="B529" i="17"/>
  <c r="B530" i="17"/>
  <c r="B531" i="17"/>
  <c r="B532" i="17"/>
  <c r="B533" i="17"/>
  <c r="B534" i="17"/>
  <c r="B535" i="17"/>
  <c r="B536" i="17"/>
  <c r="B537" i="17"/>
  <c r="B538" i="17"/>
  <c r="B539" i="17"/>
  <c r="B540" i="17"/>
  <c r="B541" i="17"/>
  <c r="B542" i="17"/>
  <c r="B543" i="17"/>
  <c r="B544" i="17"/>
  <c r="B545" i="17"/>
  <c r="B546" i="17"/>
  <c r="B547" i="17"/>
  <c r="B548" i="17"/>
  <c r="B549" i="17"/>
  <c r="B550" i="17"/>
  <c r="B551" i="17"/>
  <c r="B552" i="17"/>
  <c r="B553" i="17"/>
  <c r="B554" i="17"/>
  <c r="B555" i="17"/>
  <c r="B556" i="17"/>
  <c r="B557" i="17"/>
  <c r="B558" i="17"/>
  <c r="B559" i="17"/>
  <c r="B560" i="17"/>
  <c r="B561" i="17"/>
  <c r="B562" i="17"/>
  <c r="B563" i="17"/>
  <c r="B564" i="17"/>
  <c r="B565" i="17"/>
  <c r="B566" i="17"/>
  <c r="B567" i="17"/>
  <c r="B568" i="17"/>
  <c r="B569" i="17"/>
  <c r="B570" i="17"/>
  <c r="B571" i="17"/>
  <c r="B572" i="17"/>
  <c r="B573" i="17"/>
  <c r="B574" i="17"/>
  <c r="B575" i="17"/>
  <c r="B576" i="17"/>
  <c r="B577" i="17"/>
  <c r="B578" i="17"/>
  <c r="B579" i="17"/>
  <c r="B580" i="17"/>
  <c r="B581" i="17"/>
  <c r="B582" i="17"/>
  <c r="B583" i="17"/>
  <c r="B584" i="17"/>
  <c r="B585" i="17"/>
  <c r="B586" i="17"/>
  <c r="B587" i="17"/>
  <c r="B588" i="17"/>
  <c r="B589" i="17"/>
  <c r="B590" i="17"/>
  <c r="B591" i="17"/>
  <c r="B592" i="17"/>
  <c r="B593" i="17"/>
  <c r="B594" i="17"/>
  <c r="B595" i="17"/>
  <c r="B596" i="17"/>
  <c r="B597" i="17"/>
  <c r="B598" i="17"/>
  <c r="B599" i="17"/>
  <c r="B600" i="17"/>
  <c r="B601" i="17"/>
  <c r="B602" i="17"/>
  <c r="B603" i="17"/>
  <c r="B604" i="17"/>
  <c r="B605" i="17"/>
  <c r="B606" i="17"/>
  <c r="B607" i="17"/>
  <c r="B608" i="17"/>
  <c r="B609" i="17"/>
  <c r="B610" i="17"/>
  <c r="B611" i="17"/>
  <c r="B612" i="17"/>
  <c r="B613" i="17"/>
  <c r="B13" i="17"/>
  <c r="B221" i="2"/>
  <c r="U6" i="17"/>
  <c r="C6" i="17" l="1"/>
  <c r="A381" i="2"/>
  <c r="B191" i="2"/>
  <c r="B192" i="2" s="1"/>
  <c r="H3" i="8" s="1"/>
  <c r="B122" i="2"/>
  <c r="B77" i="2"/>
  <c r="B8" i="2"/>
  <c r="B449" i="2" s="1"/>
  <c r="B9" i="2"/>
  <c r="B383" i="2" l="1"/>
  <c r="F251" i="2"/>
  <c r="AO12" i="21"/>
  <c r="AO16" i="21"/>
  <c r="AO20" i="21"/>
  <c r="AO24" i="21"/>
  <c r="AO28" i="21"/>
  <c r="AO32" i="21"/>
  <c r="AO36" i="21"/>
  <c r="AO40" i="21"/>
  <c r="AO44" i="21"/>
  <c r="AO48" i="21"/>
  <c r="AO52" i="21"/>
  <c r="AO56" i="21"/>
  <c r="AO60" i="21"/>
  <c r="AO64" i="21"/>
  <c r="AO68" i="21"/>
  <c r="AO72" i="21"/>
  <c r="AO76" i="21"/>
  <c r="AO80" i="21"/>
  <c r="AO84" i="21"/>
  <c r="AO88" i="21"/>
  <c r="AO96" i="21"/>
  <c r="AO104" i="21"/>
  <c r="AO18" i="21"/>
  <c r="AO26" i="21"/>
  <c r="AO42" i="21"/>
  <c r="AO58" i="21"/>
  <c r="AO78" i="21"/>
  <c r="AO94" i="21"/>
  <c r="AO9" i="21"/>
  <c r="AO13" i="21"/>
  <c r="AO17" i="21"/>
  <c r="AO21" i="21"/>
  <c r="AO25" i="21"/>
  <c r="AO29" i="21"/>
  <c r="AO33" i="21"/>
  <c r="AO37" i="21"/>
  <c r="AO41" i="21"/>
  <c r="AO45" i="21"/>
  <c r="AO49" i="21"/>
  <c r="AO53" i="21"/>
  <c r="AO57" i="21"/>
  <c r="AO61" i="21"/>
  <c r="AO65" i="21"/>
  <c r="AO69" i="21"/>
  <c r="AO73" i="21"/>
  <c r="AO77" i="21"/>
  <c r="AO81" i="21"/>
  <c r="AO85" i="21"/>
  <c r="AO89" i="21"/>
  <c r="AO93" i="21"/>
  <c r="AO97" i="21"/>
  <c r="AO101" i="21"/>
  <c r="AO105" i="21"/>
  <c r="AO109" i="21"/>
  <c r="AO10" i="21"/>
  <c r="AO30" i="21"/>
  <c r="AO46" i="21"/>
  <c r="AO62" i="21"/>
  <c r="AO74" i="21"/>
  <c r="AO90" i="21"/>
  <c r="AO106" i="21"/>
  <c r="AO11" i="21"/>
  <c r="AO15" i="21"/>
  <c r="AO19" i="21"/>
  <c r="AO23" i="21"/>
  <c r="AO27" i="21"/>
  <c r="AO31" i="21"/>
  <c r="AO35" i="21"/>
  <c r="AO39" i="21"/>
  <c r="AO43" i="21"/>
  <c r="AO47" i="21"/>
  <c r="AO51" i="21"/>
  <c r="AO55" i="21"/>
  <c r="AO59" i="21"/>
  <c r="AO63" i="21"/>
  <c r="AO67" i="21"/>
  <c r="AO71" i="21"/>
  <c r="AO75" i="21"/>
  <c r="AO79" i="21"/>
  <c r="AO83" i="21"/>
  <c r="AO87" i="21"/>
  <c r="AO91" i="21"/>
  <c r="AO95" i="21"/>
  <c r="AO99" i="21"/>
  <c r="AO103" i="21"/>
  <c r="AO107" i="21"/>
  <c r="AO92" i="21"/>
  <c r="AO100" i="21"/>
  <c r="AO108" i="21"/>
  <c r="AO14" i="21"/>
  <c r="AO22" i="21"/>
  <c r="AO34" i="21"/>
  <c r="AO38" i="21"/>
  <c r="AO50" i="21"/>
  <c r="AO54" i="21"/>
  <c r="AO66" i="21"/>
  <c r="AO70" i="21"/>
  <c r="AO82" i="21"/>
  <c r="AO86" i="21"/>
  <c r="AO98" i="21"/>
  <c r="AO102" i="21"/>
  <c r="B39" i="2"/>
  <c r="D131" i="2" s="1"/>
  <c r="B38" i="2"/>
  <c r="H11" i="21"/>
  <c r="H13" i="21"/>
  <c r="H15" i="21"/>
  <c r="H17" i="21"/>
  <c r="H19" i="21"/>
  <c r="H21" i="21"/>
  <c r="H23" i="21"/>
  <c r="H25" i="21"/>
  <c r="H27" i="21"/>
  <c r="H29" i="21"/>
  <c r="H31" i="21"/>
  <c r="H33" i="21"/>
  <c r="H35" i="21"/>
  <c r="H37" i="21"/>
  <c r="H39" i="21"/>
  <c r="H41" i="21"/>
  <c r="H43" i="21"/>
  <c r="H45" i="21"/>
  <c r="H47" i="21"/>
  <c r="H49" i="21"/>
  <c r="H51" i="21"/>
  <c r="H53" i="21"/>
  <c r="H55" i="21"/>
  <c r="H57" i="21"/>
  <c r="H59" i="21"/>
  <c r="H61" i="21"/>
  <c r="H63" i="21"/>
  <c r="H65" i="21"/>
  <c r="H67" i="21"/>
  <c r="H69" i="21"/>
  <c r="H71" i="21"/>
  <c r="H73" i="21"/>
  <c r="H75" i="21"/>
  <c r="H77" i="21"/>
  <c r="H79" i="21"/>
  <c r="H81" i="21"/>
  <c r="H83" i="21"/>
  <c r="H85" i="21"/>
  <c r="H87" i="21"/>
  <c r="H89" i="21"/>
  <c r="H91" i="21"/>
  <c r="H93" i="21"/>
  <c r="H95" i="21"/>
  <c r="H97" i="21"/>
  <c r="H99" i="21"/>
  <c r="H101" i="21"/>
  <c r="H103" i="21"/>
  <c r="H105" i="21"/>
  <c r="H107" i="21"/>
  <c r="H109" i="21"/>
  <c r="H10" i="21"/>
  <c r="H12" i="21"/>
  <c r="H14" i="21"/>
  <c r="H16" i="21"/>
  <c r="H18" i="21"/>
  <c r="H20" i="21"/>
  <c r="H22" i="21"/>
  <c r="H24" i="21"/>
  <c r="H26" i="21"/>
  <c r="H28" i="21"/>
  <c r="H30" i="21"/>
  <c r="H32" i="21"/>
  <c r="H34" i="21"/>
  <c r="H36" i="21"/>
  <c r="H38" i="21"/>
  <c r="H40" i="21"/>
  <c r="H42" i="21"/>
  <c r="H44" i="21"/>
  <c r="H46" i="21"/>
  <c r="H48" i="21"/>
  <c r="H50" i="21"/>
  <c r="H52" i="21"/>
  <c r="H54" i="21"/>
  <c r="H56" i="21"/>
  <c r="H58" i="21"/>
  <c r="H60" i="21"/>
  <c r="H62" i="21"/>
  <c r="H64" i="21"/>
  <c r="H66" i="21"/>
  <c r="H68" i="21"/>
  <c r="H70" i="21"/>
  <c r="H72" i="21"/>
  <c r="H74" i="21"/>
  <c r="H76" i="21"/>
  <c r="H78" i="21"/>
  <c r="H80" i="21"/>
  <c r="H82" i="21"/>
  <c r="H84" i="21"/>
  <c r="H86" i="21"/>
  <c r="H88" i="21"/>
  <c r="H90" i="21"/>
  <c r="H92" i="21"/>
  <c r="H94" i="21"/>
  <c r="H96" i="21"/>
  <c r="H98" i="21"/>
  <c r="H100" i="21"/>
  <c r="H102" i="21"/>
  <c r="H104" i="21"/>
  <c r="H106" i="21"/>
  <c r="H108" i="21"/>
  <c r="H9" i="21"/>
  <c r="B11" i="21"/>
  <c r="B24" i="21"/>
  <c r="B436" i="2"/>
  <c r="B399" i="2"/>
  <c r="B227" i="2"/>
  <c r="B223" i="2"/>
  <c r="F135" i="2" l="1"/>
  <c r="F136" i="2"/>
  <c r="K132" i="2"/>
  <c r="K133" i="2"/>
  <c r="B16" i="21"/>
  <c r="A436" i="2"/>
  <c r="F3" i="17"/>
  <c r="B26" i="2" l="1"/>
  <c r="B42" i="2" s="1"/>
  <c r="B27" i="2" l="1"/>
  <c r="R12" i="8" s="1"/>
  <c r="B206" i="2"/>
  <c r="B202" i="2" s="1"/>
  <c r="B41" i="2"/>
  <c r="D240" i="2"/>
  <c r="B240" i="2" s="1"/>
  <c r="A97" i="27"/>
  <c r="B97" i="27" s="1"/>
  <c r="F443" i="2"/>
  <c r="D443" i="2"/>
  <c r="S13" i="8"/>
  <c r="B44" i="2"/>
  <c r="B13" i="21"/>
  <c r="B78" i="21"/>
  <c r="B29" i="2"/>
  <c r="B367" i="2"/>
  <c r="B238" i="2"/>
  <c r="N3" i="17"/>
  <c r="R21" i="8"/>
  <c r="D47" i="16"/>
  <c r="H22" i="2" l="1"/>
  <c r="B430" i="2"/>
  <c r="C97" i="27"/>
  <c r="H23" i="2"/>
  <c r="E97" i="27"/>
  <c r="R97" i="27" s="1"/>
  <c r="H443" i="2"/>
  <c r="B388" i="2"/>
  <c r="D97" i="27"/>
  <c r="S97" i="27" s="1"/>
  <c r="B289" i="2"/>
  <c r="B283" i="2"/>
  <c r="B297" i="2"/>
  <c r="D297" i="2" s="1"/>
  <c r="B391" i="2" s="1"/>
  <c r="B298" i="2"/>
  <c r="B25" i="2"/>
  <c r="N5" i="17"/>
  <c r="S12" i="8"/>
  <c r="J3" i="8"/>
  <c r="E26" i="1"/>
  <c r="A626" i="17"/>
  <c r="C636" i="17"/>
  <c r="I47" i="16"/>
  <c r="H24" i="2" l="1"/>
  <c r="Q97" i="27"/>
  <c r="AD97" i="27"/>
  <c r="AE97" i="27" s="1"/>
  <c r="AH97" i="27" s="1"/>
  <c r="I97" i="27"/>
  <c r="P626" i="17"/>
  <c r="O626" i="17"/>
  <c r="B31" i="2"/>
  <c r="B443" i="2" s="1"/>
  <c r="A390" i="2"/>
  <c r="B390" i="2"/>
  <c r="A391" i="2"/>
  <c r="B299" i="2"/>
  <c r="D299" i="2" s="1"/>
  <c r="C51" i="16"/>
  <c r="D51" i="16" s="1"/>
  <c r="D53" i="16"/>
  <c r="D55" i="16"/>
  <c r="C46" i="16"/>
  <c r="D45" i="16"/>
  <c r="D43" i="16"/>
  <c r="D42" i="16"/>
  <c r="D44" i="16"/>
  <c r="D39" i="16"/>
  <c r="F31" i="2" l="1"/>
  <c r="C443" i="2"/>
  <c r="E12" i="1" s="1"/>
  <c r="G59" i="27"/>
  <c r="A392" i="2"/>
  <c r="B392" i="2"/>
  <c r="G20" i="27"/>
  <c r="G42" i="27"/>
  <c r="L42" i="27" s="1"/>
  <c r="G54" i="27"/>
  <c r="G24" i="27"/>
  <c r="G48" i="27"/>
  <c r="G29" i="27"/>
  <c r="G49" i="27"/>
  <c r="G97" i="27"/>
  <c r="G34" i="27"/>
  <c r="G64" i="27"/>
  <c r="G33" i="27"/>
  <c r="G43" i="27"/>
  <c r="G65" i="27"/>
  <c r="G67" i="27"/>
  <c r="M67" i="27" s="1"/>
  <c r="G91" i="27"/>
  <c r="G73" i="27"/>
  <c r="G17" i="27"/>
  <c r="G63" i="27"/>
  <c r="M63" i="27" s="1"/>
  <c r="G32" i="27"/>
  <c r="G19" i="27"/>
  <c r="G68" i="27"/>
  <c r="G35" i="27"/>
  <c r="G92" i="27"/>
  <c r="G78" i="27"/>
  <c r="G87" i="27"/>
  <c r="G71" i="27"/>
  <c r="G16" i="27"/>
  <c r="G58" i="27"/>
  <c r="G60" i="27"/>
  <c r="G37" i="27"/>
  <c r="G86" i="27"/>
  <c r="G89" i="27"/>
  <c r="G80" i="27"/>
  <c r="G31" i="27"/>
  <c r="G50" i="27"/>
  <c r="G95" i="27"/>
  <c r="G51" i="27"/>
  <c r="G41" i="27"/>
  <c r="G40" i="27"/>
  <c r="G15" i="27"/>
  <c r="G52" i="27"/>
  <c r="G39" i="27"/>
  <c r="G47" i="27"/>
  <c r="G61" i="27"/>
  <c r="G28" i="27"/>
  <c r="G81" i="27"/>
  <c r="G21" i="27"/>
  <c r="G30" i="27"/>
  <c r="G25" i="27"/>
  <c r="G93" i="27"/>
  <c r="G57" i="27"/>
  <c r="G74" i="27"/>
  <c r="G55" i="27"/>
  <c r="G85" i="27"/>
  <c r="G72" i="27"/>
  <c r="G79" i="27"/>
  <c r="G69" i="27"/>
  <c r="G36" i="27"/>
  <c r="G27" i="27"/>
  <c r="G88" i="27"/>
  <c r="G22" i="27"/>
  <c r="G83" i="27"/>
  <c r="G62" i="27"/>
  <c r="G96" i="27"/>
  <c r="G18" i="27"/>
  <c r="G70" i="27"/>
  <c r="G76" i="27"/>
  <c r="G53" i="27"/>
  <c r="G45" i="27"/>
  <c r="G13" i="27"/>
  <c r="G82" i="27"/>
  <c r="G38" i="27"/>
  <c r="G77" i="27"/>
  <c r="G66" i="27"/>
  <c r="G90" i="27"/>
  <c r="G75" i="27"/>
  <c r="G23" i="27"/>
  <c r="G14" i="27"/>
  <c r="G94" i="27"/>
  <c r="G44" i="27"/>
  <c r="G26" i="27"/>
  <c r="G84" i="27"/>
  <c r="G46" i="27"/>
  <c r="G56" i="27"/>
  <c r="F63" i="1"/>
  <c r="L87" i="27" l="1"/>
  <c r="AF87" i="27"/>
  <c r="AG87" i="27"/>
  <c r="L65" i="27"/>
  <c r="AF65" i="27"/>
  <c r="AG65" i="27"/>
  <c r="L20" i="27"/>
  <c r="AF20" i="27"/>
  <c r="AG20" i="27"/>
  <c r="AF94" i="27"/>
  <c r="AG94" i="27"/>
  <c r="AF82" i="27"/>
  <c r="AG82" i="27"/>
  <c r="AF79" i="27"/>
  <c r="AG79" i="27"/>
  <c r="AF25" i="27"/>
  <c r="AG25" i="27"/>
  <c r="AF52" i="27"/>
  <c r="AG52" i="27"/>
  <c r="M71" i="27"/>
  <c r="AF71" i="27"/>
  <c r="AG71" i="27"/>
  <c r="L63" i="27"/>
  <c r="AF63" i="27"/>
  <c r="AG63" i="27"/>
  <c r="M64" i="27"/>
  <c r="AF64" i="27"/>
  <c r="AG64" i="27"/>
  <c r="M42" i="27"/>
  <c r="AF42" i="27"/>
  <c r="AG42" i="27"/>
  <c r="AF84" i="27"/>
  <c r="AG84" i="27"/>
  <c r="AF66" i="27"/>
  <c r="AG66" i="27"/>
  <c r="AF70" i="27"/>
  <c r="AG70" i="27"/>
  <c r="AF27" i="27"/>
  <c r="AG27" i="27"/>
  <c r="AF30" i="27"/>
  <c r="AG30" i="27"/>
  <c r="AF15" i="27"/>
  <c r="AG15" i="27"/>
  <c r="AF95" i="27"/>
  <c r="AG95" i="27"/>
  <c r="L80" i="27"/>
  <c r="AF80" i="27"/>
  <c r="AG80" i="27"/>
  <c r="M60" i="27"/>
  <c r="AF60" i="27"/>
  <c r="AG60" i="27"/>
  <c r="M68" i="27"/>
  <c r="AF68" i="27"/>
  <c r="AG68" i="27"/>
  <c r="L17" i="27"/>
  <c r="AF17" i="27"/>
  <c r="AG17" i="27"/>
  <c r="L34" i="27"/>
  <c r="AF34" i="27"/>
  <c r="AG34" i="27"/>
  <c r="L48" i="27"/>
  <c r="AF48" i="27"/>
  <c r="AG48" i="27"/>
  <c r="AF26" i="27"/>
  <c r="AG26" i="27"/>
  <c r="AF23" i="27"/>
  <c r="AG23" i="27"/>
  <c r="AF77" i="27"/>
  <c r="AG77" i="27"/>
  <c r="AF45" i="27"/>
  <c r="AG45" i="27"/>
  <c r="AF18" i="27"/>
  <c r="AG18" i="27"/>
  <c r="AF83" i="27"/>
  <c r="AG83" i="27"/>
  <c r="AF36" i="27"/>
  <c r="AG36" i="27"/>
  <c r="AF85" i="27"/>
  <c r="AG85" i="27"/>
  <c r="AF57" i="27"/>
  <c r="AG57" i="27"/>
  <c r="AF21" i="27"/>
  <c r="AG21" i="27"/>
  <c r="AF47" i="27"/>
  <c r="AG47" i="27"/>
  <c r="AF40" i="27"/>
  <c r="AG40" i="27"/>
  <c r="AF50" i="27"/>
  <c r="AG50" i="27"/>
  <c r="M89" i="27"/>
  <c r="AF89" i="27"/>
  <c r="AG89" i="27"/>
  <c r="M58" i="27"/>
  <c r="AF58" i="27"/>
  <c r="AG58" i="27"/>
  <c r="L78" i="27"/>
  <c r="AF78" i="27"/>
  <c r="AG78" i="27"/>
  <c r="M19" i="27"/>
  <c r="AF19" i="27"/>
  <c r="AG19" i="27"/>
  <c r="M73" i="27"/>
  <c r="AF73" i="27"/>
  <c r="AG73" i="27"/>
  <c r="L43" i="27"/>
  <c r="AF43" i="27"/>
  <c r="AG43" i="27"/>
  <c r="M97" i="27"/>
  <c r="AF97" i="27"/>
  <c r="AG97" i="27"/>
  <c r="M24" i="27"/>
  <c r="AF24" i="27"/>
  <c r="AG24" i="27"/>
  <c r="AF46" i="27"/>
  <c r="AG46" i="27"/>
  <c r="AF90" i="27"/>
  <c r="AG90" i="27"/>
  <c r="AF76" i="27"/>
  <c r="AG76" i="27"/>
  <c r="AF88" i="27"/>
  <c r="AG88" i="27"/>
  <c r="AF28" i="27"/>
  <c r="AG28" i="27"/>
  <c r="AF51" i="27"/>
  <c r="AG51" i="27"/>
  <c r="L37" i="27"/>
  <c r="AF37" i="27"/>
  <c r="AG37" i="27"/>
  <c r="M35" i="27"/>
  <c r="AF35" i="27"/>
  <c r="AG35" i="27"/>
  <c r="L67" i="27"/>
  <c r="AF67" i="27"/>
  <c r="AG67" i="27"/>
  <c r="L29" i="27"/>
  <c r="AF29" i="27"/>
  <c r="AG29" i="27"/>
  <c r="L59" i="27"/>
  <c r="AF59" i="27"/>
  <c r="AG59" i="27"/>
  <c r="AF14" i="27"/>
  <c r="AG14" i="27"/>
  <c r="AF13" i="27"/>
  <c r="AG13" i="27"/>
  <c r="AF62" i="27"/>
  <c r="AG62" i="27"/>
  <c r="AF72" i="27"/>
  <c r="AG72" i="27"/>
  <c r="AF74" i="27"/>
  <c r="AG74" i="27"/>
  <c r="AF61" i="27"/>
  <c r="AG61" i="27"/>
  <c r="AF56" i="27"/>
  <c r="AG56" i="27"/>
  <c r="AF44" i="27"/>
  <c r="AG44" i="27"/>
  <c r="AF75" i="27"/>
  <c r="AG75" i="27"/>
  <c r="AF38" i="27"/>
  <c r="AG38" i="27"/>
  <c r="AF53" i="27"/>
  <c r="AG53" i="27"/>
  <c r="AF96" i="27"/>
  <c r="AG96" i="27"/>
  <c r="AF22" i="27"/>
  <c r="AG22" i="27"/>
  <c r="AF69" i="27"/>
  <c r="AG69" i="27"/>
  <c r="AF55" i="27"/>
  <c r="AG55" i="27"/>
  <c r="AF93" i="27"/>
  <c r="AG93" i="27"/>
  <c r="AF81" i="27"/>
  <c r="AG81" i="27"/>
  <c r="AF39" i="27"/>
  <c r="AG39" i="27"/>
  <c r="AF41" i="27"/>
  <c r="AG41" i="27"/>
  <c r="AF31" i="27"/>
  <c r="AG31" i="27"/>
  <c r="L86" i="27"/>
  <c r="AF86" i="27"/>
  <c r="AG86" i="27"/>
  <c r="L16" i="27"/>
  <c r="AF16" i="27"/>
  <c r="AG16" i="27"/>
  <c r="L92" i="27"/>
  <c r="AF92" i="27"/>
  <c r="AG92" i="27"/>
  <c r="L32" i="27"/>
  <c r="AF32" i="27"/>
  <c r="AG32" i="27"/>
  <c r="L91" i="27"/>
  <c r="AF91" i="27"/>
  <c r="AG91" i="27"/>
  <c r="L33" i="27"/>
  <c r="AF33" i="27"/>
  <c r="AG33" i="27"/>
  <c r="L49" i="27"/>
  <c r="AF49" i="27"/>
  <c r="AG49" i="27"/>
  <c r="L54" i="27"/>
  <c r="AF54" i="27"/>
  <c r="AG54" i="27"/>
  <c r="L64" i="27"/>
  <c r="M59" i="27"/>
  <c r="M37" i="27"/>
  <c r="L35" i="27"/>
  <c r="L71" i="27"/>
  <c r="M29" i="27"/>
  <c r="M54" i="27"/>
  <c r="M34" i="27"/>
  <c r="M17" i="27"/>
  <c r="M48" i="27"/>
  <c r="L68" i="27"/>
  <c r="M87" i="27"/>
  <c r="M65" i="27"/>
  <c r="M20" i="27"/>
  <c r="M80" i="27"/>
  <c r="L60" i="27"/>
  <c r="M49" i="27"/>
  <c r="M33" i="27"/>
  <c r="M32" i="27"/>
  <c r="M92" i="27"/>
  <c r="L89" i="27"/>
  <c r="M43" i="27"/>
  <c r="L19" i="27"/>
  <c r="M78" i="27"/>
  <c r="L58" i="27"/>
  <c r="L24" i="27"/>
  <c r="L97" i="27"/>
  <c r="L73" i="27"/>
  <c r="M91" i="27"/>
  <c r="M16" i="27"/>
  <c r="M86" i="27"/>
  <c r="M66" i="27"/>
  <c r="L66" i="27"/>
  <c r="L52" i="27"/>
  <c r="M52" i="27"/>
  <c r="M26" i="27"/>
  <c r="L26" i="27"/>
  <c r="L45" i="27"/>
  <c r="M45" i="27"/>
  <c r="L22" i="27"/>
  <c r="M22" i="27"/>
  <c r="L30" i="27"/>
  <c r="M30" i="27"/>
  <c r="L61" i="27"/>
  <c r="M61" i="27"/>
  <c r="L15" i="27"/>
  <c r="M15" i="27"/>
  <c r="M95" i="27"/>
  <c r="L95" i="27"/>
  <c r="L84" i="27"/>
  <c r="M84" i="27"/>
  <c r="M13" i="27"/>
  <c r="L13" i="27"/>
  <c r="L83" i="27"/>
  <c r="M83" i="27"/>
  <c r="L85" i="27"/>
  <c r="M85" i="27"/>
  <c r="L25" i="27"/>
  <c r="M25" i="27"/>
  <c r="L51" i="27"/>
  <c r="M51" i="27"/>
  <c r="M23" i="27"/>
  <c r="L23" i="27"/>
  <c r="M18" i="27"/>
  <c r="L18" i="27"/>
  <c r="M69" i="27"/>
  <c r="L69" i="27"/>
  <c r="M56" i="27"/>
  <c r="L56" i="27"/>
  <c r="M44" i="27"/>
  <c r="L44" i="27"/>
  <c r="M75" i="27"/>
  <c r="L75" i="27"/>
  <c r="M38" i="27"/>
  <c r="L38" i="27"/>
  <c r="L53" i="27"/>
  <c r="M53" i="27"/>
  <c r="M96" i="27"/>
  <c r="L96" i="27"/>
  <c r="M88" i="27"/>
  <c r="L88" i="27"/>
  <c r="L79" i="27"/>
  <c r="M79" i="27"/>
  <c r="M57" i="27"/>
  <c r="L57" i="27"/>
  <c r="L21" i="27"/>
  <c r="M21" i="27"/>
  <c r="L47" i="27"/>
  <c r="M47" i="27"/>
  <c r="M40" i="27"/>
  <c r="L40" i="27"/>
  <c r="M50" i="27"/>
  <c r="L50" i="27"/>
  <c r="M14" i="27"/>
  <c r="L14" i="27"/>
  <c r="M70" i="27"/>
  <c r="L70" i="27"/>
  <c r="L36" i="27"/>
  <c r="M36" i="27"/>
  <c r="M28" i="27"/>
  <c r="L28" i="27"/>
  <c r="L77" i="27"/>
  <c r="M77" i="27"/>
  <c r="M55" i="27"/>
  <c r="L55" i="27"/>
  <c r="L74" i="27"/>
  <c r="M74" i="27"/>
  <c r="M46" i="27"/>
  <c r="L46" i="27"/>
  <c r="L94" i="27"/>
  <c r="M94" i="27"/>
  <c r="M90" i="27"/>
  <c r="L90" i="27"/>
  <c r="M82" i="27"/>
  <c r="L82" i="27"/>
  <c r="M76" i="27"/>
  <c r="L76" i="27"/>
  <c r="L62" i="27"/>
  <c r="M62" i="27"/>
  <c r="L27" i="27"/>
  <c r="M27" i="27"/>
  <c r="M72" i="27"/>
  <c r="L72" i="27"/>
  <c r="L93" i="27"/>
  <c r="M93" i="27"/>
  <c r="L81" i="27"/>
  <c r="M81" i="27"/>
  <c r="L39" i="27"/>
  <c r="M39" i="27"/>
  <c r="M41" i="27"/>
  <c r="L41" i="27"/>
  <c r="M31" i="27"/>
  <c r="L31" i="27"/>
  <c r="B126" i="2"/>
  <c r="B46" i="2"/>
  <c r="B140" i="2"/>
  <c r="B351" i="2"/>
  <c r="AM42" i="21" s="1"/>
  <c r="B337" i="2"/>
  <c r="B42" i="21" s="1"/>
  <c r="B47" i="2"/>
  <c r="B380" i="2" s="1"/>
  <c r="B7" i="2"/>
  <c r="B150" i="2"/>
  <c r="B330" i="2"/>
  <c r="R10" i="8"/>
  <c r="B350" i="2"/>
  <c r="B167" i="2"/>
  <c r="B332" i="2"/>
  <c r="B362" i="2" s="1"/>
  <c r="B342" i="2"/>
  <c r="B333" i="2"/>
  <c r="B334" i="2"/>
  <c r="B41" i="21" s="1"/>
  <c r="B339" i="2"/>
  <c r="B338" i="2"/>
  <c r="B43" i="21" s="1"/>
  <c r="B345" i="2"/>
  <c r="B312" i="2"/>
  <c r="B156" i="2"/>
  <c r="B331" i="2"/>
  <c r="D7" i="6"/>
  <c r="D6" i="6"/>
  <c r="D10" i="6"/>
  <c r="D9" i="6"/>
  <c r="D2" i="11"/>
  <c r="D3" i="11"/>
  <c r="B5" i="11"/>
  <c r="D5" i="11" s="1"/>
  <c r="A34" i="8"/>
  <c r="A46" i="8" s="1"/>
  <c r="A58" i="8" s="1"/>
  <c r="A70" i="8" s="1"/>
  <c r="A82" i="8" s="1"/>
  <c r="A94" i="8" s="1"/>
  <c r="A106" i="8" s="1"/>
  <c r="A118" i="8" s="1"/>
  <c r="A130" i="8" s="1"/>
  <c r="A142" i="8" s="1"/>
  <c r="A154" i="8" s="1"/>
  <c r="A35" i="8"/>
  <c r="A47" i="8" s="1"/>
  <c r="A59" i="8" s="1"/>
  <c r="A71" i="8" s="1"/>
  <c r="A83" i="8" s="1"/>
  <c r="A95" i="8" s="1"/>
  <c r="A107" i="8" s="1"/>
  <c r="A119" i="8" s="1"/>
  <c r="A131" i="8" s="1"/>
  <c r="A143" i="8" s="1"/>
  <c r="A155" i="8" s="1"/>
  <c r="A36" i="8"/>
  <c r="A48" i="8" s="1"/>
  <c r="A60" i="8" s="1"/>
  <c r="A72" i="8" s="1"/>
  <c r="A84" i="8" s="1"/>
  <c r="A96" i="8" s="1"/>
  <c r="A108" i="8" s="1"/>
  <c r="A120" i="8" s="1"/>
  <c r="A132" i="8" s="1"/>
  <c r="A144" i="8" s="1"/>
  <c r="A156" i="8" s="1"/>
  <c r="A37" i="8"/>
  <c r="A49" i="8" s="1"/>
  <c r="A61" i="8" s="1"/>
  <c r="A73" i="8" s="1"/>
  <c r="A85" i="8" s="1"/>
  <c r="A97" i="8" s="1"/>
  <c r="A109" i="8" s="1"/>
  <c r="A121" i="8" s="1"/>
  <c r="A133" i="8" s="1"/>
  <c r="A145" i="8" s="1"/>
  <c r="A157" i="8" s="1"/>
  <c r="A38" i="8"/>
  <c r="A50" i="8" s="1"/>
  <c r="A62" i="8" s="1"/>
  <c r="A74" i="8" s="1"/>
  <c r="A86" i="8" s="1"/>
  <c r="A98" i="8" s="1"/>
  <c r="A110" i="8" s="1"/>
  <c r="A122" i="8" s="1"/>
  <c r="A134" i="8" s="1"/>
  <c r="A146" i="8" s="1"/>
  <c r="A158" i="8" s="1"/>
  <c r="A39" i="8"/>
  <c r="A51" i="8" s="1"/>
  <c r="A63" i="8" s="1"/>
  <c r="A75" i="8" s="1"/>
  <c r="A87" i="8" s="1"/>
  <c r="A99" i="8" s="1"/>
  <c r="A111" i="8" s="1"/>
  <c r="A123" i="8" s="1"/>
  <c r="A135" i="8" s="1"/>
  <c r="A147" i="8" s="1"/>
  <c r="A159" i="8" s="1"/>
  <c r="A40" i="8"/>
  <c r="A52" i="8" s="1"/>
  <c r="A64" i="8" s="1"/>
  <c r="A76" i="8" s="1"/>
  <c r="A88" i="8" s="1"/>
  <c r="A100" i="8" s="1"/>
  <c r="A112" i="8" s="1"/>
  <c r="A124" i="8" s="1"/>
  <c r="A136" i="8" s="1"/>
  <c r="A148" i="8" s="1"/>
  <c r="A41" i="8"/>
  <c r="A53" i="8" s="1"/>
  <c r="A65" i="8" s="1"/>
  <c r="A77" i="8" s="1"/>
  <c r="A89" i="8" s="1"/>
  <c r="A101" i="8" s="1"/>
  <c r="A113" i="8" s="1"/>
  <c r="A125" i="8" s="1"/>
  <c r="A137" i="8" s="1"/>
  <c r="A149" i="8" s="1"/>
  <c r="A42" i="8"/>
  <c r="A54" i="8" s="1"/>
  <c r="A66" i="8" s="1"/>
  <c r="A78" i="8" s="1"/>
  <c r="A90" i="8" s="1"/>
  <c r="A102" i="8" s="1"/>
  <c r="A114" i="8" s="1"/>
  <c r="A126" i="8" s="1"/>
  <c r="A138" i="8" s="1"/>
  <c r="A150" i="8" s="1"/>
  <c r="A43" i="8"/>
  <c r="A55" i="8" s="1"/>
  <c r="A67" i="8" s="1"/>
  <c r="A79" i="8" s="1"/>
  <c r="A91" i="8" s="1"/>
  <c r="A103" i="8" s="1"/>
  <c r="A115" i="8" s="1"/>
  <c r="A127" i="8" s="1"/>
  <c r="A139" i="8" s="1"/>
  <c r="A151" i="8" s="1"/>
  <c r="A44" i="8"/>
  <c r="A56" i="8" s="1"/>
  <c r="A68" i="8" s="1"/>
  <c r="A80" i="8" s="1"/>
  <c r="A92" i="8" s="1"/>
  <c r="A104" i="8" s="1"/>
  <c r="A116" i="8" s="1"/>
  <c r="A128" i="8" s="1"/>
  <c r="A140" i="8" s="1"/>
  <c r="A152" i="8" s="1"/>
  <c r="A45" i="8"/>
  <c r="A57" i="8" s="1"/>
  <c r="A69" i="8" s="1"/>
  <c r="A81" i="8" s="1"/>
  <c r="A93" i="8" s="1"/>
  <c r="A105" i="8" s="1"/>
  <c r="A117" i="8" s="1"/>
  <c r="A129" i="8" s="1"/>
  <c r="A141" i="8" s="1"/>
  <c r="A153" i="8" s="1"/>
  <c r="B116" i="2"/>
  <c r="A395" i="2"/>
  <c r="A417" i="2"/>
  <c r="B447" i="2"/>
  <c r="A36" i="16" l="1"/>
  <c r="B146" i="2"/>
  <c r="B143" i="2"/>
  <c r="D147" i="2"/>
  <c r="B404" i="2"/>
  <c r="B301" i="2"/>
  <c r="R14" i="8" s="1"/>
  <c r="S14" i="8" s="1"/>
  <c r="D301" i="2" s="1"/>
  <c r="B405" i="2" s="1"/>
  <c r="AI49" i="27"/>
  <c r="AK49" i="27" s="1"/>
  <c r="AM49" i="27" s="1"/>
  <c r="AI92" i="27"/>
  <c r="AK92" i="27" s="1"/>
  <c r="AM92" i="27" s="1"/>
  <c r="AI29" i="27"/>
  <c r="AK29" i="27" s="1"/>
  <c r="AM29" i="27" s="1"/>
  <c r="AI51" i="27"/>
  <c r="AK51" i="27" s="1"/>
  <c r="AM51" i="27" s="1"/>
  <c r="AI88" i="27"/>
  <c r="AK88" i="27" s="1"/>
  <c r="AM88" i="27" s="1"/>
  <c r="AI90" i="27"/>
  <c r="AK90" i="27" s="1"/>
  <c r="AN90" i="27" s="1"/>
  <c r="AI24" i="27"/>
  <c r="AK24" i="27" s="1"/>
  <c r="AN24" i="27" s="1"/>
  <c r="AI19" i="27"/>
  <c r="AK19" i="27" s="1"/>
  <c r="AN19" i="27" s="1"/>
  <c r="AI50" i="27"/>
  <c r="AK50" i="27" s="1"/>
  <c r="AN50" i="27" s="1"/>
  <c r="AI47" i="27"/>
  <c r="AK47" i="27" s="1"/>
  <c r="AN47" i="27" s="1"/>
  <c r="AI57" i="27"/>
  <c r="AK57" i="27" s="1"/>
  <c r="AN57" i="27" s="1"/>
  <c r="AI36" i="27"/>
  <c r="AK36" i="27" s="1"/>
  <c r="AN36" i="27" s="1"/>
  <c r="AI18" i="27"/>
  <c r="AK18" i="27" s="1"/>
  <c r="AM18" i="27" s="1"/>
  <c r="AI77" i="27"/>
  <c r="AK77" i="27" s="1"/>
  <c r="AN77" i="27" s="1"/>
  <c r="AI26" i="27"/>
  <c r="AK26" i="27" s="1"/>
  <c r="AM26" i="27" s="1"/>
  <c r="AI17" i="27"/>
  <c r="AK17" i="27" s="1"/>
  <c r="AN17" i="27" s="1"/>
  <c r="AI95" i="27"/>
  <c r="AK95" i="27" s="1"/>
  <c r="AN95" i="27" s="1"/>
  <c r="AI30" i="27"/>
  <c r="AK30" i="27" s="1"/>
  <c r="AM30" i="27" s="1"/>
  <c r="AI70" i="27"/>
  <c r="AK70" i="27" s="1"/>
  <c r="AM70" i="27" s="1"/>
  <c r="AI84" i="27"/>
  <c r="AK84" i="27" s="1"/>
  <c r="AM84" i="27" s="1"/>
  <c r="AI91" i="27"/>
  <c r="AK91" i="27" s="1"/>
  <c r="AM91" i="27" s="1"/>
  <c r="AI86" i="27"/>
  <c r="AK86" i="27" s="1"/>
  <c r="AM86" i="27" s="1"/>
  <c r="AI35" i="27"/>
  <c r="AK35" i="27" s="1"/>
  <c r="AN35" i="27" s="1"/>
  <c r="AI76" i="27"/>
  <c r="AK76" i="27" s="1"/>
  <c r="AM76" i="27" s="1"/>
  <c r="AI46" i="27"/>
  <c r="AK46" i="27" s="1"/>
  <c r="AN46" i="27" s="1"/>
  <c r="AI43" i="27"/>
  <c r="AK43" i="27" s="1"/>
  <c r="AN43" i="27" s="1"/>
  <c r="AI58" i="27"/>
  <c r="AK58" i="27" s="1"/>
  <c r="AM58" i="27" s="1"/>
  <c r="AI40" i="27"/>
  <c r="AK40" i="27" s="1"/>
  <c r="AN40" i="27" s="1"/>
  <c r="AI21" i="27"/>
  <c r="AK21" i="27" s="1"/>
  <c r="AM21" i="27" s="1"/>
  <c r="AI85" i="27"/>
  <c r="AK85" i="27" s="1"/>
  <c r="AM85" i="27" s="1"/>
  <c r="AI83" i="27"/>
  <c r="AK83" i="27" s="1"/>
  <c r="AM83" i="27" s="1"/>
  <c r="AI45" i="27"/>
  <c r="AK45" i="27" s="1"/>
  <c r="AM45" i="27" s="1"/>
  <c r="AI23" i="27"/>
  <c r="AK23" i="27" s="1"/>
  <c r="AN23" i="27" s="1"/>
  <c r="AI48" i="27"/>
  <c r="AK48" i="27" s="1"/>
  <c r="AN48" i="27" s="1"/>
  <c r="AI63" i="27"/>
  <c r="AK63" i="27" s="1"/>
  <c r="AM63" i="27" s="1"/>
  <c r="AI15" i="27"/>
  <c r="AK15" i="27" s="1"/>
  <c r="AN15" i="27" s="1"/>
  <c r="AI25" i="27"/>
  <c r="AK25" i="27" s="1"/>
  <c r="AM25" i="27" s="1"/>
  <c r="AI82" i="27"/>
  <c r="AK82" i="27" s="1"/>
  <c r="AN82" i="27" s="1"/>
  <c r="AI20" i="27"/>
  <c r="AK20" i="27" s="1"/>
  <c r="AN20" i="27" s="1"/>
  <c r="AI27" i="27"/>
  <c r="AK27" i="27" s="1"/>
  <c r="AM27" i="27" s="1"/>
  <c r="AI87" i="27"/>
  <c r="AK87" i="27" s="1"/>
  <c r="AN87" i="27" s="1"/>
  <c r="AI66" i="27"/>
  <c r="AK66" i="27" s="1"/>
  <c r="AN66" i="27" s="1"/>
  <c r="AI42" i="27"/>
  <c r="AK42" i="27" s="1"/>
  <c r="AM42" i="27" s="1"/>
  <c r="AI52" i="27"/>
  <c r="AK52" i="27" s="1"/>
  <c r="AN52" i="27" s="1"/>
  <c r="AI54" i="27"/>
  <c r="AK54" i="27" s="1"/>
  <c r="AI32" i="27"/>
  <c r="AK32" i="27" s="1"/>
  <c r="AI31" i="27"/>
  <c r="AK31" i="27" s="1"/>
  <c r="AI39" i="27"/>
  <c r="AK39" i="27" s="1"/>
  <c r="AI93" i="27"/>
  <c r="AK93" i="27" s="1"/>
  <c r="AI69" i="27"/>
  <c r="AK69" i="27" s="1"/>
  <c r="AI96" i="27"/>
  <c r="AK96" i="27" s="1"/>
  <c r="AI38" i="27"/>
  <c r="AK38" i="27" s="1"/>
  <c r="AI44" i="27"/>
  <c r="AK44" i="27" s="1"/>
  <c r="AI61" i="27"/>
  <c r="AK61" i="27" s="1"/>
  <c r="AI72" i="27"/>
  <c r="AK72" i="27" s="1"/>
  <c r="AI59" i="27"/>
  <c r="AK59" i="27" s="1"/>
  <c r="AI37" i="27"/>
  <c r="AK37" i="27" s="1"/>
  <c r="AI28" i="27"/>
  <c r="AK28" i="27" s="1"/>
  <c r="AI73" i="27"/>
  <c r="AK73" i="27" s="1"/>
  <c r="AI89" i="27"/>
  <c r="AK89" i="27" s="1"/>
  <c r="AI34" i="27"/>
  <c r="AK34" i="27" s="1"/>
  <c r="AI60" i="27"/>
  <c r="AK60" i="27" s="1"/>
  <c r="AI80" i="27"/>
  <c r="AK80" i="27" s="1"/>
  <c r="AI64" i="27"/>
  <c r="AK64" i="27" s="1"/>
  <c r="AI79" i="27"/>
  <c r="AK79" i="27" s="1"/>
  <c r="AI94" i="27"/>
  <c r="AK94" i="27" s="1"/>
  <c r="AI33" i="27"/>
  <c r="AK33" i="27" s="1"/>
  <c r="AI16" i="27"/>
  <c r="AK16" i="27" s="1"/>
  <c r="AI41" i="27"/>
  <c r="AK41" i="27" s="1"/>
  <c r="AI81" i="27"/>
  <c r="AK81" i="27" s="1"/>
  <c r="AI55" i="27"/>
  <c r="AK55" i="27" s="1"/>
  <c r="AI22" i="27"/>
  <c r="AK22" i="27" s="1"/>
  <c r="AI53" i="27"/>
  <c r="AK53" i="27" s="1"/>
  <c r="AI75" i="27"/>
  <c r="AK75" i="27" s="1"/>
  <c r="AI56" i="27"/>
  <c r="AK56" i="27" s="1"/>
  <c r="AI74" i="27"/>
  <c r="AK74" i="27" s="1"/>
  <c r="AI62" i="27"/>
  <c r="AK62" i="27" s="1"/>
  <c r="AI14" i="27"/>
  <c r="AK14" i="27" s="1"/>
  <c r="AI67" i="27"/>
  <c r="AK67" i="27" s="1"/>
  <c r="AI97" i="27"/>
  <c r="AK97" i="27" s="1"/>
  <c r="AI78" i="27"/>
  <c r="AK78" i="27" s="1"/>
  <c r="AI68" i="27"/>
  <c r="AK68" i="27" s="1"/>
  <c r="AI71" i="27"/>
  <c r="AK71" i="27" s="1"/>
  <c r="AI65" i="27"/>
  <c r="AK65" i="27" s="1"/>
  <c r="B169" i="2"/>
  <c r="B3" i="8" s="1"/>
  <c r="B159" i="8" s="1"/>
  <c r="B158" i="8" s="1"/>
  <c r="B157" i="8" s="1"/>
  <c r="B156" i="8" s="1"/>
  <c r="B155" i="8" s="1"/>
  <c r="B154" i="8" s="1"/>
  <c r="B153" i="8" s="1"/>
  <c r="B152" i="8" s="1"/>
  <c r="B151" i="8" s="1"/>
  <c r="B150" i="8" s="1"/>
  <c r="B149" i="8" s="1"/>
  <c r="B148" i="8" s="1"/>
  <c r="B147" i="8" s="1"/>
  <c r="B146" i="8" s="1"/>
  <c r="B145" i="8" s="1"/>
  <c r="B144" i="8" s="1"/>
  <c r="B143" i="8" s="1"/>
  <c r="B142" i="8" s="1"/>
  <c r="B141" i="8" s="1"/>
  <c r="B140" i="8" s="1"/>
  <c r="B139" i="8" s="1"/>
  <c r="B138" i="8" s="1"/>
  <c r="B137" i="8" s="1"/>
  <c r="B136" i="8" s="1"/>
  <c r="B135" i="8" s="1"/>
  <c r="B134" i="8" s="1"/>
  <c r="B133" i="8" s="1"/>
  <c r="B132" i="8" s="1"/>
  <c r="B131" i="8" s="1"/>
  <c r="B130" i="8" s="1"/>
  <c r="B129" i="8" s="1"/>
  <c r="B128" i="8" s="1"/>
  <c r="B127" i="8" s="1"/>
  <c r="B126" i="8" s="1"/>
  <c r="B125" i="8" s="1"/>
  <c r="B124" i="8" s="1"/>
  <c r="B123" i="8" s="1"/>
  <c r="B122" i="8" s="1"/>
  <c r="B121" i="8" s="1"/>
  <c r="B120" i="8" s="1"/>
  <c r="B119" i="8" s="1"/>
  <c r="B118" i="8" s="1"/>
  <c r="B117" i="8" s="1"/>
  <c r="B116" i="8" s="1"/>
  <c r="B115" i="8" s="1"/>
  <c r="B114" i="8" s="1"/>
  <c r="B113" i="8" s="1"/>
  <c r="B112" i="8" s="1"/>
  <c r="B111" i="8" s="1"/>
  <c r="B110" i="8" s="1"/>
  <c r="B109" i="8" s="1"/>
  <c r="B108" i="8" s="1"/>
  <c r="B107" i="8" s="1"/>
  <c r="B106" i="8" s="1"/>
  <c r="B105" i="8" s="1"/>
  <c r="B104" i="8" s="1"/>
  <c r="B103" i="8" s="1"/>
  <c r="B102" i="8" s="1"/>
  <c r="B101" i="8" s="1"/>
  <c r="B100" i="8" s="1"/>
  <c r="B99" i="8" s="1"/>
  <c r="B98" i="8" s="1"/>
  <c r="B97" i="8" s="1"/>
  <c r="B96" i="8" s="1"/>
  <c r="B95" i="8" s="1"/>
  <c r="B94" i="8" s="1"/>
  <c r="B93" i="8" s="1"/>
  <c r="B92" i="8" s="1"/>
  <c r="B91" i="8" s="1"/>
  <c r="B90" i="8" s="1"/>
  <c r="B89" i="8" s="1"/>
  <c r="B88" i="8" s="1"/>
  <c r="B87" i="8" s="1"/>
  <c r="B86" i="8" s="1"/>
  <c r="B85" i="8" s="1"/>
  <c r="B84" i="8" s="1"/>
  <c r="B83" i="8" s="1"/>
  <c r="B82" i="8" s="1"/>
  <c r="B81" i="8" s="1"/>
  <c r="B80" i="8" s="1"/>
  <c r="B79" i="8" s="1"/>
  <c r="B78" i="8" s="1"/>
  <c r="B77" i="8" s="1"/>
  <c r="B76" i="8" s="1"/>
  <c r="B75" i="8" s="1"/>
  <c r="B74" i="8" s="1"/>
  <c r="B73" i="8" s="1"/>
  <c r="B72" i="8" s="1"/>
  <c r="B71" i="8" s="1"/>
  <c r="B70" i="8" s="1"/>
  <c r="B69" i="8" s="1"/>
  <c r="B68" i="8" s="1"/>
  <c r="B67" i="8" s="1"/>
  <c r="B66" i="8" s="1"/>
  <c r="B65" i="8" s="1"/>
  <c r="B64" i="8" s="1"/>
  <c r="B63" i="8" s="1"/>
  <c r="B62" i="8" s="1"/>
  <c r="B61" i="8" s="1"/>
  <c r="B60" i="8" s="1"/>
  <c r="B59" i="8" s="1"/>
  <c r="B58" i="8" s="1"/>
  <c r="B57" i="8" s="1"/>
  <c r="B56" i="8" s="1"/>
  <c r="B55" i="8" s="1"/>
  <c r="B54" i="8" s="1"/>
  <c r="B53" i="8" s="1"/>
  <c r="B52" i="8" s="1"/>
  <c r="B51" i="8" s="1"/>
  <c r="B50" i="8" s="1"/>
  <c r="B49" i="8" s="1"/>
  <c r="B48" i="8" s="1"/>
  <c r="B47" i="8" s="1"/>
  <c r="B46" i="8" s="1"/>
  <c r="B45" i="8" s="1"/>
  <c r="B44" i="8" s="1"/>
  <c r="B43" i="8" s="1"/>
  <c r="B42" i="8" s="1"/>
  <c r="B41" i="8" s="1"/>
  <c r="B40" i="8" s="1"/>
  <c r="B39" i="8" s="1"/>
  <c r="B38" i="8" s="1"/>
  <c r="B37" i="8" s="1"/>
  <c r="B36" i="8" s="1"/>
  <c r="B35" i="8" s="1"/>
  <c r="B34" i="8" s="1"/>
  <c r="B33" i="8" s="1"/>
  <c r="B32" i="8" s="1"/>
  <c r="B31" i="8" s="1"/>
  <c r="B30" i="8" s="1"/>
  <c r="B29" i="8" s="1"/>
  <c r="B28" i="8" s="1"/>
  <c r="B27" i="8" s="1"/>
  <c r="B26" i="8" s="1"/>
  <c r="B25" i="8" s="1"/>
  <c r="B24" i="8" s="1"/>
  <c r="B23" i="8" s="1"/>
  <c r="B22" i="8" s="1"/>
  <c r="B21" i="8" s="1"/>
  <c r="B20" i="8" s="1"/>
  <c r="B19" i="8" s="1"/>
  <c r="B18" i="8" s="1"/>
  <c r="B17" i="8" s="1"/>
  <c r="B16" i="8" s="1"/>
  <c r="B15" i="8" s="1"/>
  <c r="B14" i="8" s="1"/>
  <c r="B13" i="8" s="1"/>
  <c r="B12" i="8" s="1"/>
  <c r="B11" i="8" s="1"/>
  <c r="B10" i="8" s="1"/>
  <c r="AM67" i="21"/>
  <c r="AM100" i="21"/>
  <c r="AM23" i="21"/>
  <c r="AM11" i="21"/>
  <c r="AM33" i="21"/>
  <c r="AM69" i="21"/>
  <c r="AM43" i="21"/>
  <c r="AM64" i="21"/>
  <c r="AM77" i="21"/>
  <c r="AM55" i="21"/>
  <c r="AM82" i="21"/>
  <c r="AM99" i="21"/>
  <c r="AM27" i="21"/>
  <c r="AM44" i="21"/>
  <c r="AM101" i="21"/>
  <c r="AM53" i="21"/>
  <c r="AM104" i="21"/>
  <c r="AM46" i="21"/>
  <c r="AM21" i="21"/>
  <c r="AM13" i="21"/>
  <c r="AM65" i="21"/>
  <c r="AM45" i="21"/>
  <c r="AM81" i="21"/>
  <c r="AM48" i="21"/>
  <c r="AM57" i="21"/>
  <c r="AM105" i="21"/>
  <c r="AM80" i="21"/>
  <c r="AM29" i="21"/>
  <c r="AM61" i="21"/>
  <c r="AM72" i="21"/>
  <c r="AM89" i="21"/>
  <c r="AM93" i="21"/>
  <c r="AM56" i="21"/>
  <c r="AM92" i="21"/>
  <c r="AM91" i="21"/>
  <c r="AM49" i="21"/>
  <c r="AM12" i="21"/>
  <c r="AM24" i="21"/>
  <c r="AM10" i="21"/>
  <c r="AM73" i="21"/>
  <c r="AM70" i="21"/>
  <c r="AM34" i="21"/>
  <c r="AM54" i="21"/>
  <c r="AM39" i="21"/>
  <c r="AM90" i="21"/>
  <c r="AM109" i="21"/>
  <c r="AM38" i="21"/>
  <c r="AM28" i="21"/>
  <c r="AM15" i="21"/>
  <c r="AM88" i="21"/>
  <c r="AM83" i="21"/>
  <c r="AM87" i="21"/>
  <c r="AM75" i="21"/>
  <c r="AM9" i="21"/>
  <c r="AM51" i="21"/>
  <c r="AM17" i="21"/>
  <c r="AM103" i="21"/>
  <c r="AM63" i="21"/>
  <c r="AM32" i="21"/>
  <c r="AM31" i="21"/>
  <c r="AM94" i="21"/>
  <c r="AM62" i="21"/>
  <c r="AM50" i="21"/>
  <c r="AM20" i="21"/>
  <c r="AM85" i="21"/>
  <c r="AM26" i="21"/>
  <c r="AM41" i="21"/>
  <c r="AM68" i="21"/>
  <c r="AM86" i="21"/>
  <c r="AM37" i="21"/>
  <c r="AM58" i="21"/>
  <c r="AM96" i="21"/>
  <c r="AM107" i="21"/>
  <c r="AM66" i="21"/>
  <c r="AM59" i="21"/>
  <c r="AM76" i="21"/>
  <c r="AM35" i="21"/>
  <c r="AM19" i="21"/>
  <c r="AM14" i="21"/>
  <c r="AM74" i="21"/>
  <c r="AM98" i="21"/>
  <c r="AM30" i="21"/>
  <c r="AM95" i="21"/>
  <c r="AM47" i="21"/>
  <c r="AM60" i="21"/>
  <c r="AM97" i="21"/>
  <c r="AM22" i="21"/>
  <c r="AM71" i="21"/>
  <c r="AM106" i="21"/>
  <c r="AM18" i="21"/>
  <c r="AM102" i="21"/>
  <c r="AM79" i="21"/>
  <c r="AM16" i="21"/>
  <c r="AM78" i="21"/>
  <c r="AM25" i="21"/>
  <c r="AM52" i="21"/>
  <c r="AM36" i="21"/>
  <c r="AM84" i="21"/>
  <c r="AM108" i="21"/>
  <c r="AM40" i="21"/>
  <c r="B144" i="2"/>
  <c r="B340" i="2"/>
  <c r="AP4" i="21"/>
  <c r="AR4" i="21" s="1"/>
  <c r="AP17" i="21"/>
  <c r="AP81" i="21"/>
  <c r="AP90" i="21"/>
  <c r="AP106" i="21"/>
  <c r="AP55" i="21"/>
  <c r="AP48" i="21"/>
  <c r="AP3" i="21"/>
  <c r="AP29" i="21"/>
  <c r="AP95" i="21"/>
  <c r="AP53" i="21"/>
  <c r="AP50" i="21"/>
  <c r="AR9" i="21"/>
  <c r="AP40" i="21"/>
  <c r="AP34" i="21"/>
  <c r="AP27" i="21"/>
  <c r="AP56" i="21"/>
  <c r="AP13" i="21"/>
  <c r="AP9" i="21"/>
  <c r="AP88" i="21"/>
  <c r="AP25" i="21"/>
  <c r="AP89" i="21"/>
  <c r="AP102" i="21"/>
  <c r="AP99" i="21"/>
  <c r="AP63" i="21"/>
  <c r="AP68" i="21"/>
  <c r="AP10" i="21"/>
  <c r="AP67" i="21"/>
  <c r="AP39" i="21"/>
  <c r="AP51" i="21"/>
  <c r="AP101" i="21"/>
  <c r="AP91" i="21"/>
  <c r="AP84" i="21"/>
  <c r="AP78" i="21"/>
  <c r="AP33" i="21"/>
  <c r="AP97" i="21"/>
  <c r="AP71" i="21"/>
  <c r="AP14" i="21"/>
  <c r="AP75" i="21"/>
  <c r="AP100" i="21"/>
  <c r="AP61" i="21"/>
  <c r="AP26" i="21"/>
  <c r="AP64" i="21"/>
  <c r="AP69" i="21"/>
  <c r="AP74" i="21"/>
  <c r="AP66" i="21"/>
  <c r="AP43" i="21"/>
  <c r="AP12" i="21"/>
  <c r="AP76" i="21"/>
  <c r="AP45" i="21"/>
  <c r="AP42" i="21"/>
  <c r="AP35" i="21"/>
  <c r="AP41" i="21"/>
  <c r="AP105" i="21"/>
  <c r="AP87" i="21"/>
  <c r="AP16" i="21"/>
  <c r="AP22" i="21"/>
  <c r="AP15" i="21"/>
  <c r="AP107" i="21"/>
  <c r="AP92" i="21"/>
  <c r="AP62" i="21"/>
  <c r="AP94" i="21"/>
  <c r="AP44" i="21"/>
  <c r="AP65" i="21"/>
  <c r="AP104" i="21"/>
  <c r="AP79" i="21"/>
  <c r="AP60" i="21"/>
  <c r="AP82" i="21"/>
  <c r="AP28" i="21"/>
  <c r="AP49" i="21"/>
  <c r="AP46" i="21"/>
  <c r="AP103" i="21"/>
  <c r="AP32" i="21"/>
  <c r="AP30" i="21"/>
  <c r="AP23" i="21"/>
  <c r="AP96" i="21"/>
  <c r="AP93" i="21"/>
  <c r="AP19" i="21"/>
  <c r="AP80" i="21"/>
  <c r="AP21" i="21"/>
  <c r="AP85" i="21"/>
  <c r="AP98" i="21"/>
  <c r="AP83" i="21"/>
  <c r="AP59" i="21"/>
  <c r="AP52" i="21"/>
  <c r="AP77" i="21"/>
  <c r="AP24" i="21"/>
  <c r="AP57" i="21"/>
  <c r="AP58" i="21"/>
  <c r="AP38" i="21"/>
  <c r="AP20" i="21"/>
  <c r="AP31" i="21"/>
  <c r="AP72" i="21"/>
  <c r="AP36" i="21"/>
  <c r="AP70" i="21"/>
  <c r="AP54" i="21"/>
  <c r="AP86" i="21"/>
  <c r="AP37" i="21"/>
  <c r="AP18" i="21"/>
  <c r="AP11" i="21"/>
  <c r="AP109" i="21"/>
  <c r="AP73" i="21"/>
  <c r="AP47" i="21"/>
  <c r="AP108" i="21"/>
  <c r="D380" i="2"/>
  <c r="B54" i="2"/>
  <c r="B53" i="2"/>
  <c r="B52" i="2"/>
  <c r="B164" i="2" s="1"/>
  <c r="B366" i="2"/>
  <c r="AR13" i="21"/>
  <c r="AR17" i="21"/>
  <c r="AR21" i="21"/>
  <c r="AR25" i="21"/>
  <c r="AR29" i="21"/>
  <c r="AR33" i="21"/>
  <c r="AR37" i="21"/>
  <c r="AR41" i="21"/>
  <c r="AR45" i="21"/>
  <c r="AR49" i="21"/>
  <c r="AR53" i="21"/>
  <c r="AR57" i="21"/>
  <c r="AR61" i="21"/>
  <c r="AR65" i="21"/>
  <c r="AR69" i="21"/>
  <c r="AR73" i="21"/>
  <c r="AR77" i="21"/>
  <c r="AR81" i="21"/>
  <c r="AR85" i="21"/>
  <c r="AR89" i="21"/>
  <c r="AR93" i="21"/>
  <c r="AR97" i="21"/>
  <c r="AR101" i="21"/>
  <c r="AR105" i="21"/>
  <c r="AR109" i="21"/>
  <c r="AR11" i="21"/>
  <c r="AR19" i="21"/>
  <c r="AR23" i="21"/>
  <c r="AR31" i="21"/>
  <c r="AR39" i="21"/>
  <c r="AR47" i="21"/>
  <c r="AR55" i="21"/>
  <c r="AR67" i="21"/>
  <c r="AR75" i="21"/>
  <c r="AR83" i="21"/>
  <c r="AR91" i="21"/>
  <c r="AR99" i="21"/>
  <c r="AR107" i="21"/>
  <c r="AR28" i="21"/>
  <c r="AR36" i="21"/>
  <c r="AR48" i="21"/>
  <c r="AR56" i="21"/>
  <c r="AR64" i="21"/>
  <c r="AR72" i="21"/>
  <c r="AR80" i="21"/>
  <c r="AR88" i="21"/>
  <c r="AR96" i="21"/>
  <c r="AR104" i="21"/>
  <c r="AR10" i="21"/>
  <c r="AR14" i="21"/>
  <c r="AR18" i="21"/>
  <c r="AR22" i="21"/>
  <c r="AR26" i="21"/>
  <c r="AR30" i="21"/>
  <c r="AR34" i="21"/>
  <c r="AR38" i="21"/>
  <c r="AR42" i="21"/>
  <c r="AR46" i="21"/>
  <c r="AR50" i="21"/>
  <c r="AR54" i="21"/>
  <c r="AR58" i="21"/>
  <c r="AR62" i="21"/>
  <c r="AR66" i="21"/>
  <c r="AR70" i="21"/>
  <c r="AR74" i="21"/>
  <c r="AR78" i="21"/>
  <c r="AR82" i="21"/>
  <c r="AR86" i="21"/>
  <c r="AR90" i="21"/>
  <c r="AR94" i="21"/>
  <c r="AR98" i="21"/>
  <c r="AR102" i="21"/>
  <c r="AR106" i="21"/>
  <c r="AR15" i="21"/>
  <c r="AR27" i="21"/>
  <c r="AR35" i="21"/>
  <c r="AR43" i="21"/>
  <c r="AR51" i="21"/>
  <c r="AR59" i="21"/>
  <c r="AR63" i="21"/>
  <c r="AR71" i="21"/>
  <c r="AR79" i="21"/>
  <c r="AR87" i="21"/>
  <c r="AR95" i="21"/>
  <c r="AR103" i="21"/>
  <c r="AR12" i="21"/>
  <c r="AR16" i="21"/>
  <c r="AR20" i="21"/>
  <c r="AR24" i="21"/>
  <c r="AR32" i="21"/>
  <c r="AR40" i="21"/>
  <c r="AR44" i="21"/>
  <c r="AR52" i="21"/>
  <c r="AR60" i="21"/>
  <c r="AR68" i="21"/>
  <c r="AR76" i="21"/>
  <c r="AR84" i="21"/>
  <c r="AR92" i="21"/>
  <c r="AR100" i="21"/>
  <c r="AR108" i="21"/>
  <c r="B19" i="21"/>
  <c r="D46" i="16"/>
  <c r="G251" i="2"/>
  <c r="B58" i="21"/>
  <c r="AL9" i="21"/>
  <c r="B37" i="21"/>
  <c r="M9" i="21"/>
  <c r="N9" i="21" s="1"/>
  <c r="B204" i="2"/>
  <c r="B203" i="2"/>
  <c r="B207" i="2" s="1"/>
  <c r="B118" i="2"/>
  <c r="B37" i="2"/>
  <c r="B19" i="2"/>
  <c r="B450" i="2"/>
  <c r="B4" i="11"/>
  <c r="D4" i="11" s="1"/>
  <c r="B6" i="11" s="1"/>
  <c r="D6" i="11" s="1"/>
  <c r="B38" i="21"/>
  <c r="B20" i="21"/>
  <c r="B44" i="21"/>
  <c r="B40" i="21"/>
  <c r="B39" i="21"/>
  <c r="B77" i="21"/>
  <c r="AQ108" i="21"/>
  <c r="AQ104" i="21"/>
  <c r="AQ100" i="21"/>
  <c r="AQ96" i="21"/>
  <c r="AQ92" i="21"/>
  <c r="AQ88" i="21"/>
  <c r="AQ84" i="21"/>
  <c r="AQ80" i="21"/>
  <c r="AQ79" i="21"/>
  <c r="AQ73" i="21"/>
  <c r="AQ59" i="21"/>
  <c r="AQ52" i="21"/>
  <c r="AQ45" i="21"/>
  <c r="AQ37" i="21"/>
  <c r="AQ28" i="21"/>
  <c r="AQ69" i="21"/>
  <c r="AQ64" i="21"/>
  <c r="AQ60" i="21"/>
  <c r="AQ51" i="21"/>
  <c r="AQ42" i="21"/>
  <c r="AQ35" i="21"/>
  <c r="AQ27" i="21"/>
  <c r="AQ20" i="21"/>
  <c r="AQ16" i="21"/>
  <c r="AQ14" i="21"/>
  <c r="AQ12" i="21"/>
  <c r="AQ9" i="21"/>
  <c r="AQ109" i="21"/>
  <c r="AQ105" i="21"/>
  <c r="AQ101" i="21"/>
  <c r="AQ97" i="21"/>
  <c r="AQ93" i="21"/>
  <c r="AQ89" i="21"/>
  <c r="AQ85" i="21"/>
  <c r="AQ81" i="21"/>
  <c r="AQ72" i="21"/>
  <c r="AQ74" i="21"/>
  <c r="AQ68" i="21"/>
  <c r="AQ54" i="21"/>
  <c r="AQ47" i="21"/>
  <c r="AQ39" i="21"/>
  <c r="AQ29" i="21"/>
  <c r="AQ23" i="21"/>
  <c r="AQ65" i="21"/>
  <c r="AQ61" i="21"/>
  <c r="AQ53" i="21"/>
  <c r="AQ44" i="21"/>
  <c r="AQ36" i="21"/>
  <c r="AQ30" i="21"/>
  <c r="AQ21" i="21"/>
  <c r="AQ17" i="21"/>
  <c r="AQ106" i="21"/>
  <c r="AQ102" i="21"/>
  <c r="AQ98" i="21"/>
  <c r="AQ94" i="21"/>
  <c r="AQ90" i="21"/>
  <c r="AQ86" i="21"/>
  <c r="AQ82" i="21"/>
  <c r="AQ75" i="21"/>
  <c r="AQ76" i="21"/>
  <c r="AQ70" i="21"/>
  <c r="AQ56" i="21"/>
  <c r="AQ48" i="21"/>
  <c r="AQ41" i="21"/>
  <c r="AQ33" i="21"/>
  <c r="AQ25" i="21"/>
  <c r="AQ66" i="21"/>
  <c r="AQ62" i="21"/>
  <c r="AQ55" i="21"/>
  <c r="AQ46" i="21"/>
  <c r="AQ38" i="21"/>
  <c r="AQ31" i="21"/>
  <c r="AQ22" i="21"/>
  <c r="AQ19" i="21"/>
  <c r="AQ15" i="21"/>
  <c r="AQ13" i="21"/>
  <c r="AQ11" i="21"/>
  <c r="AQ107" i="21"/>
  <c r="AQ103" i="21"/>
  <c r="AQ99" i="21"/>
  <c r="AQ95" i="21"/>
  <c r="AQ91" i="21"/>
  <c r="AQ87" i="21"/>
  <c r="AQ83" i="21"/>
  <c r="AQ77" i="21"/>
  <c r="AQ78" i="21"/>
  <c r="AQ71" i="21"/>
  <c r="AQ57" i="21"/>
  <c r="AQ50" i="21"/>
  <c r="AQ43" i="21"/>
  <c r="AQ34" i="21"/>
  <c r="AQ26" i="21"/>
  <c r="AQ67" i="21"/>
  <c r="AQ63" i="21"/>
  <c r="AQ58" i="21"/>
  <c r="AQ49" i="21"/>
  <c r="AQ40" i="21"/>
  <c r="AQ32" i="21"/>
  <c r="AQ24" i="21"/>
  <c r="AQ18" i="21"/>
  <c r="AQ10" i="21"/>
  <c r="B59" i="21"/>
  <c r="B18" i="21"/>
  <c r="B12" i="21"/>
  <c r="AU9" i="21"/>
  <c r="AX8" i="21"/>
  <c r="L9" i="21"/>
  <c r="AW8" i="21"/>
  <c r="B25" i="21"/>
  <c r="B50" i="21"/>
  <c r="B23" i="21"/>
  <c r="B47" i="21"/>
  <c r="B46" i="21"/>
  <c r="AL105" i="21"/>
  <c r="B14" i="21"/>
  <c r="AL42" i="21"/>
  <c r="AL50" i="21"/>
  <c r="B22" i="21"/>
  <c r="C368" i="2"/>
  <c r="B403" i="2"/>
  <c r="A380" i="2"/>
  <c r="B49" i="2"/>
  <c r="B256" i="2"/>
  <c r="R11" i="8" s="1"/>
  <c r="F3" i="8"/>
  <c r="F159" i="8" s="1"/>
  <c r="F158" i="8" s="1"/>
  <c r="F157" i="8" s="1"/>
  <c r="F156" i="8" s="1"/>
  <c r="F155" i="8" s="1"/>
  <c r="F154" i="8" s="1"/>
  <c r="F153" i="8" s="1"/>
  <c r="F152" i="8" s="1"/>
  <c r="F151" i="8" s="1"/>
  <c r="F150" i="8" s="1"/>
  <c r="F149" i="8" s="1"/>
  <c r="F148" i="8" s="1"/>
  <c r="F147" i="8" s="1"/>
  <c r="F146" i="8" s="1"/>
  <c r="F145" i="8" s="1"/>
  <c r="F144" i="8" s="1"/>
  <c r="F143" i="8" s="1"/>
  <c r="F142" i="8" s="1"/>
  <c r="F141" i="8" s="1"/>
  <c r="F140" i="8" s="1"/>
  <c r="F139" i="8" s="1"/>
  <c r="F138" i="8" s="1"/>
  <c r="F137" i="8" s="1"/>
  <c r="F136" i="8" s="1"/>
  <c r="F135" i="8" s="1"/>
  <c r="F134" i="8" s="1"/>
  <c r="F133" i="8" s="1"/>
  <c r="F132" i="8" s="1"/>
  <c r="F131" i="8" s="1"/>
  <c r="F130" i="8" s="1"/>
  <c r="F129" i="8" s="1"/>
  <c r="F128" i="8" s="1"/>
  <c r="F127" i="8" s="1"/>
  <c r="F126" i="8" s="1"/>
  <c r="F125" i="8" s="1"/>
  <c r="F124" i="8" s="1"/>
  <c r="F123" i="8" s="1"/>
  <c r="F122" i="8" s="1"/>
  <c r="F121" i="8" s="1"/>
  <c r="F120" i="8" s="1"/>
  <c r="F119" i="8" s="1"/>
  <c r="F118" i="8" s="1"/>
  <c r="F117" i="8" s="1"/>
  <c r="F116" i="8" s="1"/>
  <c r="F115" i="8" s="1"/>
  <c r="F114" i="8" s="1"/>
  <c r="F113" i="8" s="1"/>
  <c r="F112" i="8" s="1"/>
  <c r="F111" i="8" s="1"/>
  <c r="F110" i="8" s="1"/>
  <c r="F109" i="8" s="1"/>
  <c r="F108" i="8" s="1"/>
  <c r="F107" i="8" s="1"/>
  <c r="F106" i="8" s="1"/>
  <c r="F105" i="8" s="1"/>
  <c r="F104" i="8" s="1"/>
  <c r="F103" i="8" s="1"/>
  <c r="F102" i="8" s="1"/>
  <c r="F101" i="8" s="1"/>
  <c r="F100" i="8" s="1"/>
  <c r="F99" i="8" s="1"/>
  <c r="F98" i="8" s="1"/>
  <c r="F97" i="8" s="1"/>
  <c r="F96" i="8" s="1"/>
  <c r="F95" i="8" s="1"/>
  <c r="F94" i="8" s="1"/>
  <c r="F93" i="8" s="1"/>
  <c r="F92" i="8" s="1"/>
  <c r="F91" i="8" s="1"/>
  <c r="F90" i="8" s="1"/>
  <c r="F89" i="8" s="1"/>
  <c r="F88" i="8" s="1"/>
  <c r="F87" i="8" s="1"/>
  <c r="F86" i="8" s="1"/>
  <c r="F85" i="8" s="1"/>
  <c r="F84" i="8" s="1"/>
  <c r="F83" i="8" s="1"/>
  <c r="F82" i="8" s="1"/>
  <c r="F81" i="8" s="1"/>
  <c r="F80" i="8" s="1"/>
  <c r="F79" i="8" s="1"/>
  <c r="F78" i="8" s="1"/>
  <c r="F77" i="8" s="1"/>
  <c r="F76" i="8" s="1"/>
  <c r="F75" i="8" s="1"/>
  <c r="F74" i="8" s="1"/>
  <c r="F73" i="8" s="1"/>
  <c r="F72" i="8" s="1"/>
  <c r="F71" i="8" s="1"/>
  <c r="F70" i="8" s="1"/>
  <c r="F69" i="8" s="1"/>
  <c r="F68" i="8" s="1"/>
  <c r="F67" i="8" s="1"/>
  <c r="F66" i="8" s="1"/>
  <c r="F65" i="8" s="1"/>
  <c r="F64" i="8" s="1"/>
  <c r="F63" i="8" s="1"/>
  <c r="F62" i="8" s="1"/>
  <c r="F61" i="8" s="1"/>
  <c r="F60" i="8" s="1"/>
  <c r="F59" i="8" s="1"/>
  <c r="F58" i="8" s="1"/>
  <c r="F57" i="8" s="1"/>
  <c r="F56" i="8" s="1"/>
  <c r="F55" i="8" s="1"/>
  <c r="F54" i="8" s="1"/>
  <c r="F53" i="8" s="1"/>
  <c r="F52" i="8" s="1"/>
  <c r="F51" i="8" s="1"/>
  <c r="F50" i="8" s="1"/>
  <c r="F49" i="8" s="1"/>
  <c r="F48" i="8" s="1"/>
  <c r="F47" i="8" s="1"/>
  <c r="F46" i="8" s="1"/>
  <c r="F45" i="8" s="1"/>
  <c r="F44" i="8" s="1"/>
  <c r="F43" i="8" s="1"/>
  <c r="F42" i="8" s="1"/>
  <c r="F41" i="8" s="1"/>
  <c r="F40" i="8" s="1"/>
  <c r="F39" i="8" s="1"/>
  <c r="F38" i="8" s="1"/>
  <c r="F37" i="8" s="1"/>
  <c r="F36" i="8" s="1"/>
  <c r="F35" i="8" s="1"/>
  <c r="F34" i="8" s="1"/>
  <c r="F33" i="8" s="1"/>
  <c r="F32" i="8" s="1"/>
  <c r="F31" i="8" s="1"/>
  <c r="F30" i="8" s="1"/>
  <c r="F29" i="8" s="1"/>
  <c r="F28" i="8" s="1"/>
  <c r="F27" i="8" s="1"/>
  <c r="F26" i="8" s="1"/>
  <c r="F25" i="8" s="1"/>
  <c r="F24" i="8" s="1"/>
  <c r="F23" i="8" s="1"/>
  <c r="F22" i="8" s="1"/>
  <c r="F21" i="8" s="1"/>
  <c r="F20" i="8" s="1"/>
  <c r="F19" i="8" s="1"/>
  <c r="F18" i="8" s="1"/>
  <c r="F17" i="8" s="1"/>
  <c r="F16" i="8" s="1"/>
  <c r="F15" i="8" s="1"/>
  <c r="F14" i="8" s="1"/>
  <c r="F13" i="8" s="1"/>
  <c r="F12" i="8" s="1"/>
  <c r="F11" i="8" s="1"/>
  <c r="F10" i="8" s="1"/>
  <c r="F9" i="8" s="1"/>
  <c r="F8" i="8" s="1"/>
  <c r="F7" i="8" s="1"/>
  <c r="F6" i="8" s="1"/>
  <c r="F4" i="8" s="1"/>
  <c r="B14" i="2"/>
  <c r="B34" i="2"/>
  <c r="B401" i="2"/>
  <c r="R4" i="8"/>
  <c r="S4" i="8" s="1"/>
  <c r="S10" i="8"/>
  <c r="F66" i="1"/>
  <c r="B314" i="2"/>
  <c r="I159" i="8"/>
  <c r="I158" i="8" s="1"/>
  <c r="I157" i="8" s="1"/>
  <c r="I156" i="8" s="1"/>
  <c r="I155" i="8" s="1"/>
  <c r="I154" i="8" s="1"/>
  <c r="I153" i="8" s="1"/>
  <c r="I152" i="8" s="1"/>
  <c r="I151" i="8" s="1"/>
  <c r="I150" i="8" s="1"/>
  <c r="I149" i="8" s="1"/>
  <c r="I148" i="8" s="1"/>
  <c r="I147" i="8" s="1"/>
  <c r="I146" i="8" s="1"/>
  <c r="I145" i="8" s="1"/>
  <c r="I144" i="8" s="1"/>
  <c r="I143" i="8" s="1"/>
  <c r="I142" i="8" s="1"/>
  <c r="I141" i="8" s="1"/>
  <c r="I140" i="8" s="1"/>
  <c r="I139" i="8" s="1"/>
  <c r="I138" i="8" s="1"/>
  <c r="I137" i="8" s="1"/>
  <c r="I136" i="8" s="1"/>
  <c r="I135" i="8" s="1"/>
  <c r="I134" i="8" s="1"/>
  <c r="I133" i="8" s="1"/>
  <c r="I132" i="8" s="1"/>
  <c r="I131" i="8" s="1"/>
  <c r="I130" i="8" s="1"/>
  <c r="I129" i="8" s="1"/>
  <c r="I128" i="8" s="1"/>
  <c r="I127" i="8" s="1"/>
  <c r="I126" i="8" s="1"/>
  <c r="I125" i="8" s="1"/>
  <c r="I124" i="8" s="1"/>
  <c r="I123" i="8" s="1"/>
  <c r="I122" i="8" s="1"/>
  <c r="I121" i="8" s="1"/>
  <c r="I120" i="8" s="1"/>
  <c r="I119" i="8" s="1"/>
  <c r="I118" i="8" s="1"/>
  <c r="I117" i="8" s="1"/>
  <c r="I116" i="8" s="1"/>
  <c r="I115" i="8" s="1"/>
  <c r="I114" i="8" s="1"/>
  <c r="I113" i="8" s="1"/>
  <c r="I112" i="8" s="1"/>
  <c r="I111" i="8" s="1"/>
  <c r="I110" i="8" s="1"/>
  <c r="I109" i="8" s="1"/>
  <c r="I108" i="8" s="1"/>
  <c r="I107" i="8" s="1"/>
  <c r="I106" i="8" s="1"/>
  <c r="I105" i="8" s="1"/>
  <c r="I104" i="8" s="1"/>
  <c r="I103" i="8" s="1"/>
  <c r="I102" i="8" s="1"/>
  <c r="I101" i="8" s="1"/>
  <c r="I100" i="8" s="1"/>
  <c r="I99" i="8" s="1"/>
  <c r="I98" i="8" s="1"/>
  <c r="I97" i="8" s="1"/>
  <c r="I96" i="8" s="1"/>
  <c r="I95" i="8" s="1"/>
  <c r="I94" i="8" s="1"/>
  <c r="I93" i="8" s="1"/>
  <c r="I92" i="8" s="1"/>
  <c r="I91" i="8" s="1"/>
  <c r="I90" i="8" s="1"/>
  <c r="I89" i="8" s="1"/>
  <c r="I88" i="8" s="1"/>
  <c r="I87" i="8" s="1"/>
  <c r="I86" i="8" s="1"/>
  <c r="I85" i="8" s="1"/>
  <c r="I84" i="8" s="1"/>
  <c r="I83" i="8" s="1"/>
  <c r="I82" i="8" s="1"/>
  <c r="I81" i="8" s="1"/>
  <c r="I80" i="8" s="1"/>
  <c r="I79" i="8" s="1"/>
  <c r="I78" i="8" s="1"/>
  <c r="I77" i="8" s="1"/>
  <c r="I76" i="8" s="1"/>
  <c r="I75" i="8" s="1"/>
  <c r="I74" i="8" s="1"/>
  <c r="I73" i="8" s="1"/>
  <c r="I72" i="8" s="1"/>
  <c r="I71" i="8" s="1"/>
  <c r="I70" i="8" s="1"/>
  <c r="I69" i="8" s="1"/>
  <c r="I68" i="8" s="1"/>
  <c r="I67" i="8" s="1"/>
  <c r="I66" i="8" s="1"/>
  <c r="I65" i="8" s="1"/>
  <c r="I64" i="8" s="1"/>
  <c r="I63" i="8" s="1"/>
  <c r="I62" i="8" s="1"/>
  <c r="I61" i="8" s="1"/>
  <c r="I60" i="8" s="1"/>
  <c r="I59" i="8" s="1"/>
  <c r="I58" i="8" s="1"/>
  <c r="I57" i="8" s="1"/>
  <c r="I56" i="8" s="1"/>
  <c r="I55" i="8" s="1"/>
  <c r="I54" i="8" s="1"/>
  <c r="I53" i="8" s="1"/>
  <c r="I52" i="8" s="1"/>
  <c r="I51" i="8" s="1"/>
  <c r="I50" i="8" s="1"/>
  <c r="I49" i="8" s="1"/>
  <c r="I48" i="8" s="1"/>
  <c r="I47" i="8" s="1"/>
  <c r="I46" i="8" s="1"/>
  <c r="I45" i="8" s="1"/>
  <c r="I44" i="8" s="1"/>
  <c r="I43" i="8" s="1"/>
  <c r="I42" i="8" s="1"/>
  <c r="I41" i="8" s="1"/>
  <c r="I40" i="8" s="1"/>
  <c r="I39" i="8" s="1"/>
  <c r="I38" i="8" s="1"/>
  <c r="I37" i="8" s="1"/>
  <c r="I36" i="8" s="1"/>
  <c r="I35" i="8" s="1"/>
  <c r="I34" i="8" s="1"/>
  <c r="I33" i="8" s="1"/>
  <c r="I32" i="8" s="1"/>
  <c r="I31" i="8" s="1"/>
  <c r="I30" i="8" s="1"/>
  <c r="I29" i="8" s="1"/>
  <c r="I28" i="8" s="1"/>
  <c r="I27" i="8" s="1"/>
  <c r="I26" i="8" s="1"/>
  <c r="I25" i="8" s="1"/>
  <c r="I24" i="8" s="1"/>
  <c r="I23" i="8" s="1"/>
  <c r="I22" i="8" s="1"/>
  <c r="I21" i="8" s="1"/>
  <c r="I20" i="8" s="1"/>
  <c r="I19" i="8" s="1"/>
  <c r="I18" i="8" s="1"/>
  <c r="I17" i="8" s="1"/>
  <c r="I16" i="8" s="1"/>
  <c r="I15" i="8" s="1"/>
  <c r="I14" i="8" s="1"/>
  <c r="I13" i="8" s="1"/>
  <c r="I12" i="8" s="1"/>
  <c r="I11" i="8" s="1"/>
  <c r="I10" i="8" s="1"/>
  <c r="I9" i="8" s="1"/>
  <c r="I8" i="8" s="1"/>
  <c r="I7" i="8" s="1"/>
  <c r="I6" i="8" s="1"/>
  <c r="H159" i="8"/>
  <c r="H158" i="8" s="1"/>
  <c r="H157" i="8" s="1"/>
  <c r="H156" i="8" s="1"/>
  <c r="H155" i="8" s="1"/>
  <c r="H154" i="8" s="1"/>
  <c r="H153" i="8" s="1"/>
  <c r="H152" i="8" s="1"/>
  <c r="H151" i="8" s="1"/>
  <c r="H150" i="8" s="1"/>
  <c r="H149" i="8" s="1"/>
  <c r="H148" i="8" s="1"/>
  <c r="H147" i="8" s="1"/>
  <c r="H146" i="8" s="1"/>
  <c r="H145" i="8" s="1"/>
  <c r="H144" i="8" s="1"/>
  <c r="H143" i="8" s="1"/>
  <c r="H142" i="8" s="1"/>
  <c r="H141" i="8" s="1"/>
  <c r="H140" i="8" s="1"/>
  <c r="H139" i="8" s="1"/>
  <c r="H138" i="8" s="1"/>
  <c r="H137" i="8" s="1"/>
  <c r="H136" i="8" s="1"/>
  <c r="H135" i="8" s="1"/>
  <c r="H134" i="8" s="1"/>
  <c r="H133" i="8" s="1"/>
  <c r="H132" i="8" s="1"/>
  <c r="H131" i="8" s="1"/>
  <c r="H130" i="8" s="1"/>
  <c r="H129" i="8" s="1"/>
  <c r="H128" i="8" s="1"/>
  <c r="H127" i="8" s="1"/>
  <c r="H126" i="8" s="1"/>
  <c r="H125" i="8" s="1"/>
  <c r="H124" i="8" s="1"/>
  <c r="H123" i="8" s="1"/>
  <c r="H122" i="8" s="1"/>
  <c r="H121" i="8" s="1"/>
  <c r="H120" i="8" s="1"/>
  <c r="H119" i="8" s="1"/>
  <c r="H118" i="8" s="1"/>
  <c r="H117" i="8" s="1"/>
  <c r="H116" i="8" s="1"/>
  <c r="H115" i="8" s="1"/>
  <c r="H114" i="8" s="1"/>
  <c r="H113" i="8" s="1"/>
  <c r="H112" i="8" s="1"/>
  <c r="H111" i="8" s="1"/>
  <c r="H110" i="8" s="1"/>
  <c r="H109" i="8" s="1"/>
  <c r="H108" i="8" s="1"/>
  <c r="H107" i="8" s="1"/>
  <c r="H106" i="8" s="1"/>
  <c r="H105" i="8" s="1"/>
  <c r="H104" i="8" s="1"/>
  <c r="H103" i="8" s="1"/>
  <c r="H102" i="8" s="1"/>
  <c r="H101" i="8" s="1"/>
  <c r="H100" i="8" s="1"/>
  <c r="H99" i="8" s="1"/>
  <c r="H98" i="8" s="1"/>
  <c r="H97" i="8" s="1"/>
  <c r="H96" i="8" s="1"/>
  <c r="H95" i="8" s="1"/>
  <c r="H94" i="8" s="1"/>
  <c r="H93" i="8" s="1"/>
  <c r="H92" i="8" s="1"/>
  <c r="H91" i="8" s="1"/>
  <c r="H90" i="8" s="1"/>
  <c r="H89" i="8" s="1"/>
  <c r="H88" i="8" s="1"/>
  <c r="H87" i="8" s="1"/>
  <c r="H86" i="8" s="1"/>
  <c r="H85" i="8" s="1"/>
  <c r="H84" i="8" s="1"/>
  <c r="H83" i="8" s="1"/>
  <c r="H82" i="8" s="1"/>
  <c r="H81" i="8" s="1"/>
  <c r="H80" i="8" s="1"/>
  <c r="H79" i="8" s="1"/>
  <c r="H78" i="8" s="1"/>
  <c r="H77" i="8" s="1"/>
  <c r="H76" i="8" s="1"/>
  <c r="H75" i="8" s="1"/>
  <c r="H74" i="8" s="1"/>
  <c r="H73" i="8" s="1"/>
  <c r="H72" i="8" s="1"/>
  <c r="H71" i="8" s="1"/>
  <c r="H70" i="8" s="1"/>
  <c r="H69" i="8" s="1"/>
  <c r="H68" i="8" s="1"/>
  <c r="H67" i="8" s="1"/>
  <c r="H66" i="8" s="1"/>
  <c r="H65" i="8" s="1"/>
  <c r="H64" i="8" s="1"/>
  <c r="H63" i="8" s="1"/>
  <c r="H62" i="8" s="1"/>
  <c r="H61" i="8" s="1"/>
  <c r="H60" i="8" s="1"/>
  <c r="H59" i="8" s="1"/>
  <c r="H58" i="8" s="1"/>
  <c r="H57" i="8" s="1"/>
  <c r="H56" i="8" s="1"/>
  <c r="H55" i="8" s="1"/>
  <c r="H54" i="8" s="1"/>
  <c r="H53" i="8" s="1"/>
  <c r="H52" i="8" s="1"/>
  <c r="H51" i="8" s="1"/>
  <c r="H50" i="8" s="1"/>
  <c r="H49" i="8" s="1"/>
  <c r="H48" i="8" s="1"/>
  <c r="H47" i="8" s="1"/>
  <c r="H46" i="8" s="1"/>
  <c r="H45" i="8" s="1"/>
  <c r="H44" i="8" s="1"/>
  <c r="H43" i="8" s="1"/>
  <c r="H42" i="8" s="1"/>
  <c r="H41" i="8" s="1"/>
  <c r="H40" i="8" s="1"/>
  <c r="H39" i="8" s="1"/>
  <c r="H38" i="8" s="1"/>
  <c r="H37" i="8" s="1"/>
  <c r="H36" i="8" s="1"/>
  <c r="H35" i="8" s="1"/>
  <c r="H34" i="8" s="1"/>
  <c r="H33" i="8" s="1"/>
  <c r="H32" i="8" s="1"/>
  <c r="H31" i="8" s="1"/>
  <c r="H30" i="8" s="1"/>
  <c r="H29" i="8" s="1"/>
  <c r="H28" i="8" s="1"/>
  <c r="H27" i="8" s="1"/>
  <c r="H26" i="8" s="1"/>
  <c r="H25" i="8" s="1"/>
  <c r="H24" i="8" s="1"/>
  <c r="H23" i="8" s="1"/>
  <c r="H22" i="8" s="1"/>
  <c r="H21" i="8" s="1"/>
  <c r="H20" i="8" s="1"/>
  <c r="H19" i="8" s="1"/>
  <c r="H18" i="8" s="1"/>
  <c r="H17" i="8" s="1"/>
  <c r="H16" i="8" s="1"/>
  <c r="H15" i="8" s="1"/>
  <c r="H14" i="8" s="1"/>
  <c r="H13" i="8" s="1"/>
  <c r="H12" i="8" s="1"/>
  <c r="H11" i="8" s="1"/>
  <c r="H10" i="8" s="1"/>
  <c r="H9" i="8" s="1"/>
  <c r="H8" i="8" s="1"/>
  <c r="H7" i="8" s="1"/>
  <c r="H6" i="8" s="1"/>
  <c r="H4" i="8" s="1"/>
  <c r="S21" i="8" s="1"/>
  <c r="J159" i="8"/>
  <c r="J158" i="8" s="1"/>
  <c r="J157" i="8" s="1"/>
  <c r="J156" i="8" s="1"/>
  <c r="J155" i="8" s="1"/>
  <c r="J154" i="8" s="1"/>
  <c r="J153" i="8" s="1"/>
  <c r="J152" i="8" s="1"/>
  <c r="J151" i="8" s="1"/>
  <c r="J150" i="8" s="1"/>
  <c r="J149" i="8" s="1"/>
  <c r="J148" i="8" s="1"/>
  <c r="J147" i="8" s="1"/>
  <c r="J146" i="8" s="1"/>
  <c r="J145" i="8" s="1"/>
  <c r="J144" i="8" s="1"/>
  <c r="J143" i="8" s="1"/>
  <c r="J142" i="8" s="1"/>
  <c r="J141" i="8" s="1"/>
  <c r="J140" i="8" s="1"/>
  <c r="J139" i="8" s="1"/>
  <c r="J138" i="8" s="1"/>
  <c r="J137" i="8" s="1"/>
  <c r="J136" i="8" s="1"/>
  <c r="J135" i="8" s="1"/>
  <c r="J134" i="8" s="1"/>
  <c r="J133" i="8" s="1"/>
  <c r="J132" i="8" s="1"/>
  <c r="J131" i="8" s="1"/>
  <c r="J130" i="8" s="1"/>
  <c r="J129" i="8" s="1"/>
  <c r="J128" i="8" s="1"/>
  <c r="J127" i="8" s="1"/>
  <c r="J126" i="8" s="1"/>
  <c r="J125" i="8" s="1"/>
  <c r="J124" i="8" s="1"/>
  <c r="J123" i="8" s="1"/>
  <c r="J122" i="8" s="1"/>
  <c r="J121" i="8" s="1"/>
  <c r="J120" i="8" s="1"/>
  <c r="J119" i="8" s="1"/>
  <c r="J118" i="8" s="1"/>
  <c r="J117" i="8" s="1"/>
  <c r="J116" i="8" s="1"/>
  <c r="J115" i="8" s="1"/>
  <c r="J114" i="8" s="1"/>
  <c r="J113" i="8" s="1"/>
  <c r="J112" i="8" s="1"/>
  <c r="J111" i="8" s="1"/>
  <c r="J110" i="8" s="1"/>
  <c r="J109" i="8" s="1"/>
  <c r="J108" i="8" s="1"/>
  <c r="J107" i="8" s="1"/>
  <c r="J106" i="8" s="1"/>
  <c r="J105" i="8" s="1"/>
  <c r="J104" i="8" s="1"/>
  <c r="J103" i="8" s="1"/>
  <c r="J102" i="8" s="1"/>
  <c r="J101" i="8" s="1"/>
  <c r="J100" i="8" s="1"/>
  <c r="J99" i="8" s="1"/>
  <c r="J98" i="8" s="1"/>
  <c r="J97" i="8" s="1"/>
  <c r="J96" i="8" s="1"/>
  <c r="J95" i="8" s="1"/>
  <c r="J94" i="8" s="1"/>
  <c r="J93" i="8" s="1"/>
  <c r="J92" i="8" s="1"/>
  <c r="J91" i="8" s="1"/>
  <c r="J90" i="8" s="1"/>
  <c r="J89" i="8" s="1"/>
  <c r="J88" i="8" s="1"/>
  <c r="J87" i="8" s="1"/>
  <c r="J86" i="8" s="1"/>
  <c r="J85" i="8" s="1"/>
  <c r="J84" i="8" s="1"/>
  <c r="J83" i="8" s="1"/>
  <c r="J82" i="8" s="1"/>
  <c r="J81" i="8" s="1"/>
  <c r="J80" i="8" s="1"/>
  <c r="J79" i="8" s="1"/>
  <c r="J78" i="8" s="1"/>
  <c r="J77" i="8" s="1"/>
  <c r="J76" i="8" s="1"/>
  <c r="J75" i="8" s="1"/>
  <c r="J74" i="8" s="1"/>
  <c r="J73" i="8" s="1"/>
  <c r="J72" i="8" s="1"/>
  <c r="J71" i="8" s="1"/>
  <c r="J70" i="8" s="1"/>
  <c r="J69" i="8" s="1"/>
  <c r="J68" i="8" s="1"/>
  <c r="J67" i="8" s="1"/>
  <c r="J66" i="8" s="1"/>
  <c r="J65" i="8" s="1"/>
  <c r="J64" i="8" s="1"/>
  <c r="J63" i="8" s="1"/>
  <c r="J62" i="8" s="1"/>
  <c r="J61" i="8" s="1"/>
  <c r="J60" i="8" s="1"/>
  <c r="J59" i="8" s="1"/>
  <c r="J58" i="8" s="1"/>
  <c r="J57" i="8" s="1"/>
  <c r="J56" i="8" s="1"/>
  <c r="J55" i="8" s="1"/>
  <c r="J54" i="8" s="1"/>
  <c r="J53" i="8" s="1"/>
  <c r="J52" i="8" s="1"/>
  <c r="J51" i="8" s="1"/>
  <c r="J50" i="8" s="1"/>
  <c r="J49" i="8" s="1"/>
  <c r="J48" i="8" s="1"/>
  <c r="J47" i="8" s="1"/>
  <c r="J46" i="8" s="1"/>
  <c r="J45" i="8" s="1"/>
  <c r="J44" i="8" s="1"/>
  <c r="J43" i="8" s="1"/>
  <c r="J42" i="8" s="1"/>
  <c r="J41" i="8" s="1"/>
  <c r="J40" i="8" s="1"/>
  <c r="J39" i="8" s="1"/>
  <c r="J38" i="8" s="1"/>
  <c r="J37" i="8" s="1"/>
  <c r="J36" i="8" s="1"/>
  <c r="J35" i="8" s="1"/>
  <c r="J34" i="8" s="1"/>
  <c r="J33" i="8" s="1"/>
  <c r="J32" i="8" s="1"/>
  <c r="J31" i="8" s="1"/>
  <c r="J30" i="8" s="1"/>
  <c r="J29" i="8" s="1"/>
  <c r="J28" i="8" s="1"/>
  <c r="J27" i="8" s="1"/>
  <c r="J26" i="8" s="1"/>
  <c r="J25" i="8" s="1"/>
  <c r="J24" i="8" s="1"/>
  <c r="J23" i="8" s="1"/>
  <c r="J22" i="8" s="1"/>
  <c r="J21" i="8" s="1"/>
  <c r="J20" i="8" s="1"/>
  <c r="J19" i="8" s="1"/>
  <c r="J18" i="8" s="1"/>
  <c r="J17" i="8" s="1"/>
  <c r="J16" i="8" s="1"/>
  <c r="J15" i="8" s="1"/>
  <c r="J14" i="8" s="1"/>
  <c r="J13" i="8" s="1"/>
  <c r="J12" i="8" s="1"/>
  <c r="J11" i="8" s="1"/>
  <c r="J10" i="8" s="1"/>
  <c r="J9" i="8" s="1"/>
  <c r="J8" i="8" s="1"/>
  <c r="J7" i="8" s="1"/>
  <c r="J6" i="8" s="1"/>
  <c r="J4" i="8" s="1"/>
  <c r="B4" i="6"/>
  <c r="B13" i="6" s="1"/>
  <c r="B14" i="6" s="1"/>
  <c r="B72" i="2"/>
  <c r="B237" i="2"/>
  <c r="B168" i="2"/>
  <c r="E3" i="8"/>
  <c r="E159" i="8" s="1"/>
  <c r="E158" i="8" s="1"/>
  <c r="E157" i="8" s="1"/>
  <c r="E156" i="8" s="1"/>
  <c r="E155" i="8" s="1"/>
  <c r="E154" i="8" s="1"/>
  <c r="E153" i="8" s="1"/>
  <c r="E152" i="8" s="1"/>
  <c r="E151" i="8" s="1"/>
  <c r="E150" i="8" s="1"/>
  <c r="E149" i="8" s="1"/>
  <c r="E148" i="8" s="1"/>
  <c r="E147" i="8" s="1"/>
  <c r="E146" i="8" s="1"/>
  <c r="E145" i="8" s="1"/>
  <c r="E144" i="8" s="1"/>
  <c r="E143" i="8" s="1"/>
  <c r="E142" i="8" s="1"/>
  <c r="E141" i="8" s="1"/>
  <c r="E140" i="8" s="1"/>
  <c r="E139" i="8" s="1"/>
  <c r="E138" i="8" s="1"/>
  <c r="E137" i="8" s="1"/>
  <c r="E136" i="8" s="1"/>
  <c r="E135" i="8" s="1"/>
  <c r="E134" i="8" s="1"/>
  <c r="E133" i="8" s="1"/>
  <c r="E132" i="8" s="1"/>
  <c r="E131" i="8" s="1"/>
  <c r="E130" i="8" s="1"/>
  <c r="E129" i="8" s="1"/>
  <c r="E128" i="8" s="1"/>
  <c r="E127" i="8" s="1"/>
  <c r="E126" i="8" s="1"/>
  <c r="E125" i="8" s="1"/>
  <c r="E124" i="8" s="1"/>
  <c r="E123" i="8" s="1"/>
  <c r="E122" i="8" s="1"/>
  <c r="E121" i="8" s="1"/>
  <c r="E120" i="8" s="1"/>
  <c r="E119" i="8" s="1"/>
  <c r="E118" i="8" s="1"/>
  <c r="E117" i="8" s="1"/>
  <c r="E116" i="8" s="1"/>
  <c r="E115" i="8" s="1"/>
  <c r="E114" i="8" s="1"/>
  <c r="E113" i="8" s="1"/>
  <c r="E112" i="8" s="1"/>
  <c r="E111" i="8" s="1"/>
  <c r="E110" i="8" s="1"/>
  <c r="E109" i="8" s="1"/>
  <c r="E108" i="8" s="1"/>
  <c r="E107" i="8" s="1"/>
  <c r="E106" i="8" s="1"/>
  <c r="E105" i="8" s="1"/>
  <c r="E104" i="8" s="1"/>
  <c r="E103" i="8" s="1"/>
  <c r="E102" i="8" s="1"/>
  <c r="E101" i="8" s="1"/>
  <c r="E100" i="8" s="1"/>
  <c r="E99" i="8" s="1"/>
  <c r="E98" i="8" s="1"/>
  <c r="E97" i="8" s="1"/>
  <c r="E96" i="8" s="1"/>
  <c r="E95" i="8" s="1"/>
  <c r="E94" i="8" s="1"/>
  <c r="E93" i="8" s="1"/>
  <c r="E92" i="8" s="1"/>
  <c r="E91" i="8" s="1"/>
  <c r="E90" i="8" s="1"/>
  <c r="E89" i="8" s="1"/>
  <c r="E88" i="8" s="1"/>
  <c r="E87" i="8" s="1"/>
  <c r="E86" i="8" s="1"/>
  <c r="E85" i="8" s="1"/>
  <c r="E84" i="8" s="1"/>
  <c r="E83" i="8" s="1"/>
  <c r="E82" i="8" s="1"/>
  <c r="E81" i="8" s="1"/>
  <c r="E80" i="8" s="1"/>
  <c r="E79" i="8" s="1"/>
  <c r="E78" i="8" s="1"/>
  <c r="E77" i="8" s="1"/>
  <c r="E76" i="8" s="1"/>
  <c r="E75" i="8" s="1"/>
  <c r="E74" i="8" s="1"/>
  <c r="E73" i="8" s="1"/>
  <c r="E72" i="8" s="1"/>
  <c r="E71" i="8" s="1"/>
  <c r="E70" i="8" s="1"/>
  <c r="E69" i="8" s="1"/>
  <c r="E68" i="8" s="1"/>
  <c r="E67" i="8" s="1"/>
  <c r="E66" i="8" s="1"/>
  <c r="E65" i="8" s="1"/>
  <c r="E64" i="8" s="1"/>
  <c r="E63" i="8" s="1"/>
  <c r="E62" i="8" s="1"/>
  <c r="E61" i="8" s="1"/>
  <c r="E60" i="8" s="1"/>
  <c r="E59" i="8" s="1"/>
  <c r="E58" i="8" s="1"/>
  <c r="E57" i="8" s="1"/>
  <c r="E56" i="8" s="1"/>
  <c r="E55" i="8" s="1"/>
  <c r="E54" i="8" s="1"/>
  <c r="E53" i="8" s="1"/>
  <c r="E52" i="8" s="1"/>
  <c r="E51" i="8" s="1"/>
  <c r="E50" i="8" s="1"/>
  <c r="E49" i="8" s="1"/>
  <c r="E48" i="8" s="1"/>
  <c r="E47" i="8" s="1"/>
  <c r="E46" i="8" s="1"/>
  <c r="E45" i="8" s="1"/>
  <c r="E44" i="8" s="1"/>
  <c r="E43" i="8" s="1"/>
  <c r="E42" i="8" s="1"/>
  <c r="E41" i="8" s="1"/>
  <c r="E40" i="8" s="1"/>
  <c r="E39" i="8" s="1"/>
  <c r="E38" i="8" s="1"/>
  <c r="E37" i="8" s="1"/>
  <c r="E36" i="8" s="1"/>
  <c r="E35" i="8" s="1"/>
  <c r="E34" i="8" s="1"/>
  <c r="E33" i="8" s="1"/>
  <c r="E32" i="8" s="1"/>
  <c r="E31" i="8" s="1"/>
  <c r="E30" i="8" s="1"/>
  <c r="E29" i="8" s="1"/>
  <c r="E28" i="8" s="1"/>
  <c r="E27" i="8" s="1"/>
  <c r="E26" i="8" s="1"/>
  <c r="E25" i="8" s="1"/>
  <c r="E24" i="8" s="1"/>
  <c r="E23" i="8" s="1"/>
  <c r="E22" i="8" s="1"/>
  <c r="E21" i="8" s="1"/>
  <c r="E20" i="8" s="1"/>
  <c r="E19" i="8" s="1"/>
  <c r="E18" i="8" s="1"/>
  <c r="E17" i="8" s="1"/>
  <c r="E16" i="8" s="1"/>
  <c r="E15" i="8" s="1"/>
  <c r="E14" i="8" s="1"/>
  <c r="E13" i="8" s="1"/>
  <c r="E12" i="8" s="1"/>
  <c r="E11" i="8" s="1"/>
  <c r="E10" i="8" s="1"/>
  <c r="E9" i="8" s="1"/>
  <c r="E8" i="8" s="1"/>
  <c r="E7" i="8" s="1"/>
  <c r="E6" i="8" s="1"/>
  <c r="E4" i="8" s="1"/>
  <c r="AM57" i="27" l="1"/>
  <c r="AM50" i="27"/>
  <c r="AN49" i="27"/>
  <c r="AN58" i="27"/>
  <c r="AN70" i="27"/>
  <c r="AN29" i="27"/>
  <c r="AN26" i="27"/>
  <c r="AM24" i="27"/>
  <c r="AM43" i="27"/>
  <c r="AM47" i="27"/>
  <c r="AM48" i="27"/>
  <c r="B142" i="2"/>
  <c r="B147" i="2" s="1"/>
  <c r="B134" i="2"/>
  <c r="D132" i="2"/>
  <c r="AM90" i="27"/>
  <c r="AM77" i="27"/>
  <c r="AN85" i="27"/>
  <c r="AN86" i="27"/>
  <c r="AM82" i="27"/>
  <c r="AM66" i="27"/>
  <c r="AN92" i="27"/>
  <c r="AN88" i="27"/>
  <c r="AN21" i="27"/>
  <c r="AN30" i="27"/>
  <c r="AN83" i="27"/>
  <c r="AM35" i="27"/>
  <c r="AM20" i="27"/>
  <c r="AN63" i="27"/>
  <c r="AN84" i="27"/>
  <c r="AM17" i="27"/>
  <c r="AM19" i="27"/>
  <c r="AN51" i="27"/>
  <c r="AM36" i="27"/>
  <c r="AN25" i="27"/>
  <c r="AM46" i="27"/>
  <c r="AM95" i="27"/>
  <c r="AN18" i="27"/>
  <c r="AM40" i="27"/>
  <c r="AN76" i="27"/>
  <c r="AN42" i="27"/>
  <c r="AM15" i="27"/>
  <c r="AN45" i="27"/>
  <c r="AN91" i="27"/>
  <c r="AM23" i="27"/>
  <c r="AM87" i="27"/>
  <c r="AN27" i="27"/>
  <c r="AM52" i="27"/>
  <c r="AM62" i="27"/>
  <c r="AN62" i="27"/>
  <c r="AM41" i="27"/>
  <c r="AN41" i="27"/>
  <c r="AN80" i="27"/>
  <c r="AM80" i="27"/>
  <c r="AM73" i="27"/>
  <c r="AN73" i="27"/>
  <c r="AN72" i="27"/>
  <c r="AM72" i="27"/>
  <c r="AN96" i="27"/>
  <c r="AM96" i="27"/>
  <c r="AN31" i="27"/>
  <c r="AM31" i="27"/>
  <c r="AM65" i="27"/>
  <c r="AN65" i="27"/>
  <c r="AM97" i="27"/>
  <c r="E16" i="29" s="1"/>
  <c r="AN97" i="27"/>
  <c r="AN74" i="27"/>
  <c r="AM74" i="27"/>
  <c r="AM22" i="27"/>
  <c r="AN22" i="27"/>
  <c r="AN16" i="27"/>
  <c r="AM16" i="27"/>
  <c r="AN60" i="27"/>
  <c r="AM60" i="27"/>
  <c r="AN28" i="27"/>
  <c r="AM28" i="27"/>
  <c r="AM61" i="27"/>
  <c r="AN61" i="27"/>
  <c r="AM69" i="27"/>
  <c r="AN69" i="27"/>
  <c r="AM32" i="27"/>
  <c r="AN32" i="27"/>
  <c r="AN79" i="27"/>
  <c r="AM79" i="27"/>
  <c r="AN71" i="27"/>
  <c r="AM71" i="27"/>
  <c r="AM67" i="27"/>
  <c r="AN67" i="27"/>
  <c r="AN56" i="27"/>
  <c r="AM56" i="27"/>
  <c r="AM55" i="27"/>
  <c r="AN55" i="27"/>
  <c r="AN33" i="27"/>
  <c r="AM33" i="27"/>
  <c r="AN34" i="27"/>
  <c r="AM34" i="27"/>
  <c r="AM37" i="27"/>
  <c r="AN37" i="27"/>
  <c r="AM44" i="27"/>
  <c r="AN44" i="27"/>
  <c r="AM93" i="27"/>
  <c r="AN93" i="27"/>
  <c r="AM54" i="27"/>
  <c r="AN54" i="27"/>
  <c r="AM78" i="27"/>
  <c r="AN78" i="27"/>
  <c r="AN53" i="27"/>
  <c r="AM53" i="27"/>
  <c r="AN68" i="27"/>
  <c r="AM68" i="27"/>
  <c r="AM14" i="27"/>
  <c r="AN14" i="27"/>
  <c r="AM75" i="27"/>
  <c r="AN75" i="27"/>
  <c r="AN81" i="27"/>
  <c r="AM81" i="27"/>
  <c r="AN94" i="27"/>
  <c r="AM94" i="27"/>
  <c r="AN64" i="27"/>
  <c r="AM64" i="27"/>
  <c r="AN89" i="27"/>
  <c r="AM89" i="27"/>
  <c r="AM59" i="27"/>
  <c r="AN59" i="27"/>
  <c r="AN38" i="27"/>
  <c r="AM38" i="27"/>
  <c r="AN39" i="27"/>
  <c r="AM39" i="27"/>
  <c r="C451" i="2"/>
  <c r="B451" i="2"/>
  <c r="M131" i="2"/>
  <c r="B58" i="2"/>
  <c r="K131" i="2"/>
  <c r="K134" i="2" s="1"/>
  <c r="B57" i="2"/>
  <c r="B68" i="2" s="1"/>
  <c r="E29" i="1" s="1"/>
  <c r="P9" i="21"/>
  <c r="Q9" i="21" s="1"/>
  <c r="AE9" i="21" s="1"/>
  <c r="O9" i="21"/>
  <c r="B363" i="2"/>
  <c r="B364" i="2" s="1"/>
  <c r="E103" i="1" s="1"/>
  <c r="E102" i="1"/>
  <c r="AL70" i="21"/>
  <c r="AL54" i="21"/>
  <c r="AL10" i="21"/>
  <c r="AL95" i="21"/>
  <c r="AL79" i="21"/>
  <c r="AL63" i="21"/>
  <c r="AL31" i="21"/>
  <c r="AL84" i="21"/>
  <c r="AL68" i="21"/>
  <c r="AL52" i="21"/>
  <c r="AL20" i="21"/>
  <c r="AL109" i="21"/>
  <c r="AL93" i="21"/>
  <c r="AL77" i="21"/>
  <c r="AL61" i="21"/>
  <c r="AL45" i="21"/>
  <c r="AL21" i="21"/>
  <c r="B68" i="21"/>
  <c r="B69" i="21" s="1"/>
  <c r="AL98" i="21"/>
  <c r="AL90" i="21"/>
  <c r="AL82" i="21"/>
  <c r="AL74" i="21"/>
  <c r="AL66" i="21"/>
  <c r="AL58" i="21"/>
  <c r="AL34" i="21"/>
  <c r="AL18" i="21"/>
  <c r="AL99" i="21"/>
  <c r="AL91" i="21"/>
  <c r="AL83" i="21"/>
  <c r="AL75" i="21"/>
  <c r="AL67" i="21"/>
  <c r="AL59" i="21"/>
  <c r="AL35" i="21"/>
  <c r="AL27" i="21"/>
  <c r="AL38" i="21"/>
  <c r="AL78" i="21"/>
  <c r="AL62" i="21"/>
  <c r="AL46" i="21"/>
  <c r="AL30" i="21"/>
  <c r="AL14" i="21"/>
  <c r="AL103" i="21"/>
  <c r="AL87" i="21"/>
  <c r="AL71" i="21"/>
  <c r="AL55" i="21"/>
  <c r="AL39" i="21"/>
  <c r="AL15" i="21"/>
  <c r="AL108" i="21"/>
  <c r="AL60" i="21"/>
  <c r="AL44" i="21"/>
  <c r="AL85" i="21"/>
  <c r="AL69" i="21"/>
  <c r="AL13" i="21"/>
  <c r="AL88" i="21"/>
  <c r="AL80" i="21"/>
  <c r="AL72" i="21"/>
  <c r="AL56" i="21"/>
  <c r="AL24" i="21"/>
  <c r="AL16" i="21"/>
  <c r="AL97" i="21"/>
  <c r="AL89" i="21"/>
  <c r="AL81" i="21"/>
  <c r="AL73" i="21"/>
  <c r="AL33" i="21"/>
  <c r="AL25" i="21"/>
  <c r="AL17" i="21"/>
  <c r="AL104" i="21"/>
  <c r="AL11" i="21"/>
  <c r="AL19" i="21"/>
  <c r="AL94" i="21"/>
  <c r="AL40" i="21"/>
  <c r="AL41" i="21"/>
  <c r="AL48" i="21"/>
  <c r="AL49" i="21"/>
  <c r="AL106" i="21"/>
  <c r="AL102" i="21"/>
  <c r="AL107" i="21"/>
  <c r="AL100" i="21"/>
  <c r="AL36" i="21"/>
  <c r="AL101" i="21"/>
  <c r="AL37" i="21"/>
  <c r="AL92" i="21"/>
  <c r="AL28" i="21"/>
  <c r="AL29" i="21"/>
  <c r="AL51" i="21"/>
  <c r="AL47" i="21"/>
  <c r="AL57" i="21"/>
  <c r="AL23" i="21"/>
  <c r="AL53" i="21"/>
  <c r="AL43" i="21"/>
  <c r="AL64" i="21"/>
  <c r="AL65" i="21"/>
  <c r="AL26" i="21"/>
  <c r="AL86" i="21"/>
  <c r="AL22" i="21"/>
  <c r="AL96" i="21"/>
  <c r="AL32" i="21"/>
  <c r="AL76" i="21"/>
  <c r="AL12" i="21"/>
  <c r="AF9" i="21"/>
  <c r="V9" i="21"/>
  <c r="R9" i="21"/>
  <c r="AJ9" i="21"/>
  <c r="AB9" i="21"/>
  <c r="AH9" i="21"/>
  <c r="Y9" i="21"/>
  <c r="M94" i="21"/>
  <c r="N94" i="21" s="1"/>
  <c r="M62" i="21"/>
  <c r="N62" i="21" s="1"/>
  <c r="M38" i="21"/>
  <c r="M14" i="21"/>
  <c r="M103" i="21"/>
  <c r="M87" i="21"/>
  <c r="N87" i="21" s="1"/>
  <c r="M71" i="21"/>
  <c r="N71" i="21" s="1"/>
  <c r="M47" i="21"/>
  <c r="M31" i="21"/>
  <c r="M15" i="21"/>
  <c r="N15" i="21" s="1"/>
  <c r="M11" i="21"/>
  <c r="N11" i="21" s="1"/>
  <c r="M104" i="21"/>
  <c r="N104" i="21" s="1"/>
  <c r="M96" i="21"/>
  <c r="N96" i="21" s="1"/>
  <c r="M88" i="21"/>
  <c r="N88" i="21" s="1"/>
  <c r="M80" i="21"/>
  <c r="M72" i="21"/>
  <c r="N72" i="21" s="1"/>
  <c r="M64" i="21"/>
  <c r="N64" i="21" s="1"/>
  <c r="M56" i="21"/>
  <c r="N56" i="21" s="1"/>
  <c r="M48" i="21"/>
  <c r="N48" i="21" s="1"/>
  <c r="M40" i="21"/>
  <c r="N40" i="21" s="1"/>
  <c r="M32" i="21"/>
  <c r="N32" i="21" s="1"/>
  <c r="M24" i="21"/>
  <c r="N24" i="21" s="1"/>
  <c r="M16" i="21"/>
  <c r="M105" i="21"/>
  <c r="M97" i="21"/>
  <c r="N97" i="21" s="1"/>
  <c r="M89" i="21"/>
  <c r="N89" i="21" s="1"/>
  <c r="M81" i="21"/>
  <c r="N81" i="21" s="1"/>
  <c r="M73" i="21"/>
  <c r="N73" i="21" s="1"/>
  <c r="M65" i="21"/>
  <c r="N65" i="21" s="1"/>
  <c r="M57" i="21"/>
  <c r="N57" i="21" s="1"/>
  <c r="M49" i="21"/>
  <c r="M41" i="21"/>
  <c r="N41" i="21" s="1"/>
  <c r="M33" i="21"/>
  <c r="N33" i="21" s="1"/>
  <c r="M25" i="21"/>
  <c r="N25" i="21" s="1"/>
  <c r="M17" i="21"/>
  <c r="M12" i="21"/>
  <c r="N12" i="21" s="1"/>
  <c r="M86" i="21"/>
  <c r="N86" i="21" s="1"/>
  <c r="M70" i="21"/>
  <c r="N70" i="21" s="1"/>
  <c r="M46" i="21"/>
  <c r="M22" i="21"/>
  <c r="M10" i="21"/>
  <c r="N10" i="21" s="1"/>
  <c r="M95" i="21"/>
  <c r="N95" i="21" s="1"/>
  <c r="M79" i="21"/>
  <c r="N79" i="21" s="1"/>
  <c r="M55" i="21"/>
  <c r="N55" i="21" s="1"/>
  <c r="M39" i="21"/>
  <c r="M23" i="21"/>
  <c r="N23" i="21" s="1"/>
  <c r="M108" i="21"/>
  <c r="M100" i="21"/>
  <c r="N100" i="21" s="1"/>
  <c r="M92" i="21"/>
  <c r="N92" i="21" s="1"/>
  <c r="M84" i="21"/>
  <c r="N84" i="21" s="1"/>
  <c r="M76" i="21"/>
  <c r="M68" i="21"/>
  <c r="N68" i="21" s="1"/>
  <c r="M60" i="21"/>
  <c r="N60" i="21" s="1"/>
  <c r="M52" i="21"/>
  <c r="N52" i="21" s="1"/>
  <c r="M44" i="21"/>
  <c r="N44" i="21" s="1"/>
  <c r="M36" i="21"/>
  <c r="N36" i="21" s="1"/>
  <c r="M28" i="21"/>
  <c r="N28" i="21" s="1"/>
  <c r="M20" i="21"/>
  <c r="N20" i="21" s="1"/>
  <c r="M109" i="21"/>
  <c r="M101" i="21"/>
  <c r="N101" i="21" s="1"/>
  <c r="M93" i="21"/>
  <c r="N93" i="21" s="1"/>
  <c r="M85" i="21"/>
  <c r="N85" i="21" s="1"/>
  <c r="M77" i="21"/>
  <c r="M69" i="21"/>
  <c r="N69" i="21" s="1"/>
  <c r="M61" i="21"/>
  <c r="N61" i="21" s="1"/>
  <c r="M53" i="21"/>
  <c r="N53" i="21" s="1"/>
  <c r="M45" i="21"/>
  <c r="N45" i="21" s="1"/>
  <c r="M37" i="21"/>
  <c r="M29" i="21"/>
  <c r="N29" i="21" s="1"/>
  <c r="M21" i="21"/>
  <c r="N21" i="21" s="1"/>
  <c r="M13" i="21"/>
  <c r="N13" i="21" s="1"/>
  <c r="M102" i="21"/>
  <c r="M78" i="21"/>
  <c r="N78" i="21" s="1"/>
  <c r="M54" i="21"/>
  <c r="N54" i="21" s="1"/>
  <c r="M30" i="21"/>
  <c r="N30" i="21" s="1"/>
  <c r="M63" i="21"/>
  <c r="N63" i="21" s="1"/>
  <c r="M106" i="21"/>
  <c r="N106" i="21" s="1"/>
  <c r="M98" i="21"/>
  <c r="N98" i="21" s="1"/>
  <c r="M90" i="21"/>
  <c r="N90" i="21" s="1"/>
  <c r="M82" i="21"/>
  <c r="M74" i="21"/>
  <c r="N74" i="21" s="1"/>
  <c r="M66" i="21"/>
  <c r="N66" i="21" s="1"/>
  <c r="M58" i="21"/>
  <c r="N58" i="21" s="1"/>
  <c r="M50" i="21"/>
  <c r="N50" i="21" s="1"/>
  <c r="M42" i="21"/>
  <c r="N42" i="21" s="1"/>
  <c r="M34" i="21"/>
  <c r="N34" i="21" s="1"/>
  <c r="M26" i="21"/>
  <c r="M18" i="21"/>
  <c r="M107" i="21"/>
  <c r="N107" i="21" s="1"/>
  <c r="M99" i="21"/>
  <c r="N99" i="21" s="1"/>
  <c r="M91" i="21"/>
  <c r="N91" i="21" s="1"/>
  <c r="M83" i="21"/>
  <c r="N83" i="21" s="1"/>
  <c r="M75" i="21"/>
  <c r="M67" i="21"/>
  <c r="N67" i="21" s="1"/>
  <c r="M59" i="21"/>
  <c r="N59" i="21" s="1"/>
  <c r="M51" i="21"/>
  <c r="N51" i="21" s="1"/>
  <c r="M43" i="21"/>
  <c r="M35" i="21"/>
  <c r="N35" i="21" s="1"/>
  <c r="M27" i="21"/>
  <c r="N27" i="21" s="1"/>
  <c r="M19" i="21"/>
  <c r="N19" i="21" s="1"/>
  <c r="S38" i="8"/>
  <c r="R38" i="8"/>
  <c r="I4" i="8"/>
  <c r="B56" i="2"/>
  <c r="B131" i="2" s="1"/>
  <c r="K3" i="17"/>
  <c r="E563" i="17" s="1"/>
  <c r="B210" i="2"/>
  <c r="B214" i="2" s="1"/>
  <c r="B213" i="2"/>
  <c r="B9" i="8"/>
  <c r="B8" i="8" s="1"/>
  <c r="B7" i="8" s="1"/>
  <c r="B6" i="8" s="1"/>
  <c r="B4" i="8" s="1"/>
  <c r="B444" i="2" s="1"/>
  <c r="AU12" i="21"/>
  <c r="L12" i="21"/>
  <c r="AU106" i="21"/>
  <c r="L106" i="21"/>
  <c r="AU102" i="21"/>
  <c r="L102" i="21"/>
  <c r="AU98" i="21"/>
  <c r="L98" i="21"/>
  <c r="AU94" i="21"/>
  <c r="L94" i="21"/>
  <c r="AU90" i="21"/>
  <c r="L90" i="21"/>
  <c r="AU86" i="21"/>
  <c r="L86" i="21"/>
  <c r="AU82" i="21"/>
  <c r="L82" i="21"/>
  <c r="AU78" i="21"/>
  <c r="L78" i="21"/>
  <c r="AU74" i="21"/>
  <c r="L74" i="21"/>
  <c r="AU70" i="21"/>
  <c r="L70" i="21"/>
  <c r="AU66" i="21"/>
  <c r="L66" i="21"/>
  <c r="AU62" i="21"/>
  <c r="L62" i="21"/>
  <c r="AU58" i="21"/>
  <c r="L58" i="21"/>
  <c r="AU54" i="21"/>
  <c r="L54" i="21"/>
  <c r="AU50" i="21"/>
  <c r="L50" i="21"/>
  <c r="AU46" i="21"/>
  <c r="L46" i="21"/>
  <c r="AU42" i="21"/>
  <c r="L42" i="21"/>
  <c r="AU38" i="21"/>
  <c r="L38" i="21"/>
  <c r="AU34" i="21"/>
  <c r="L34" i="21"/>
  <c r="AU30" i="21"/>
  <c r="L30" i="21"/>
  <c r="AU26" i="21"/>
  <c r="L26" i="21"/>
  <c r="AU22" i="21"/>
  <c r="L22" i="21"/>
  <c r="AU18" i="21"/>
  <c r="L18" i="21"/>
  <c r="AU14" i="21"/>
  <c r="L14" i="21"/>
  <c r="AU10" i="21"/>
  <c r="L10" i="21"/>
  <c r="AU107" i="21"/>
  <c r="L107" i="21"/>
  <c r="AU103" i="21"/>
  <c r="L103" i="21"/>
  <c r="AU99" i="21"/>
  <c r="L99" i="21"/>
  <c r="AU95" i="21"/>
  <c r="L95" i="21"/>
  <c r="AU91" i="21"/>
  <c r="L91" i="21"/>
  <c r="AU87" i="21"/>
  <c r="L87" i="21"/>
  <c r="AU83" i="21"/>
  <c r="L83" i="21"/>
  <c r="AU79" i="21"/>
  <c r="L79" i="21"/>
  <c r="AU75" i="21"/>
  <c r="L75" i="21"/>
  <c r="AU71" i="21"/>
  <c r="L71" i="21"/>
  <c r="AU67" i="21"/>
  <c r="L67" i="21"/>
  <c r="AU63" i="21"/>
  <c r="L63" i="21"/>
  <c r="AU59" i="21"/>
  <c r="L59" i="21"/>
  <c r="AU55" i="21"/>
  <c r="L55" i="21"/>
  <c r="AU51" i="21"/>
  <c r="L51" i="21"/>
  <c r="AU47" i="21"/>
  <c r="L47" i="21"/>
  <c r="AU43" i="21"/>
  <c r="L43" i="21"/>
  <c r="AU39" i="21"/>
  <c r="L39" i="21"/>
  <c r="AU35" i="21"/>
  <c r="L35" i="21"/>
  <c r="AU31" i="21"/>
  <c r="L31" i="21"/>
  <c r="AU27" i="21"/>
  <c r="L27" i="21"/>
  <c r="AU23" i="21"/>
  <c r="L23" i="21"/>
  <c r="AU19" i="21"/>
  <c r="L19" i="21"/>
  <c r="AU15" i="21"/>
  <c r="L15" i="21"/>
  <c r="AU11" i="21"/>
  <c r="L11" i="21"/>
  <c r="AU108" i="21"/>
  <c r="L108" i="21"/>
  <c r="AU104" i="21"/>
  <c r="L104" i="21"/>
  <c r="AU100" i="21"/>
  <c r="L100" i="21"/>
  <c r="AU96" i="21"/>
  <c r="L96" i="21"/>
  <c r="AU92" i="21"/>
  <c r="L92" i="21"/>
  <c r="AU88" i="21"/>
  <c r="L88" i="21"/>
  <c r="AU84" i="21"/>
  <c r="L84" i="21"/>
  <c r="AU80" i="21"/>
  <c r="L80" i="21"/>
  <c r="AU76" i="21"/>
  <c r="L76" i="21"/>
  <c r="AU72" i="21"/>
  <c r="L72" i="21"/>
  <c r="AU68" i="21"/>
  <c r="L68" i="21"/>
  <c r="AU64" i="21"/>
  <c r="L64" i="21"/>
  <c r="AU60" i="21"/>
  <c r="L60" i="21"/>
  <c r="AU56" i="21"/>
  <c r="L56" i="21"/>
  <c r="AU52" i="21"/>
  <c r="L52" i="21"/>
  <c r="AU48" i="21"/>
  <c r="L48" i="21"/>
  <c r="AU44" i="21"/>
  <c r="L44" i="21"/>
  <c r="AU40" i="21"/>
  <c r="L40" i="21"/>
  <c r="AU36" i="21"/>
  <c r="L36" i="21"/>
  <c r="AU32" i="21"/>
  <c r="L32" i="21"/>
  <c r="AU28" i="21"/>
  <c r="L28" i="21"/>
  <c r="AU24" i="21"/>
  <c r="L24" i="21"/>
  <c r="AU20" i="21"/>
  <c r="L20" i="21"/>
  <c r="AU16" i="21"/>
  <c r="L16" i="21"/>
  <c r="AU109" i="21"/>
  <c r="L109" i="21"/>
  <c r="AU105" i="21"/>
  <c r="L105" i="21"/>
  <c r="AU101" i="21"/>
  <c r="L101" i="21"/>
  <c r="AU97" i="21"/>
  <c r="L97" i="21"/>
  <c r="AU93" i="21"/>
  <c r="L93" i="21"/>
  <c r="AU89" i="21"/>
  <c r="L89" i="21"/>
  <c r="AU85" i="21"/>
  <c r="L85" i="21"/>
  <c r="AU81" i="21"/>
  <c r="L81" i="21"/>
  <c r="AU77" i="21"/>
  <c r="L77" i="21"/>
  <c r="AU73" i="21"/>
  <c r="L73" i="21"/>
  <c r="AU69" i="21"/>
  <c r="L69" i="21"/>
  <c r="AU65" i="21"/>
  <c r="L65" i="21"/>
  <c r="AU61" i="21"/>
  <c r="L61" i="21"/>
  <c r="AU57" i="21"/>
  <c r="L57" i="21"/>
  <c r="AU53" i="21"/>
  <c r="L53" i="21"/>
  <c r="AU49" i="21"/>
  <c r="L49" i="21"/>
  <c r="AU45" i="21"/>
  <c r="L45" i="21"/>
  <c r="AU41" i="21"/>
  <c r="L41" i="21"/>
  <c r="AU37" i="21"/>
  <c r="L37" i="21"/>
  <c r="AU33" i="21"/>
  <c r="L33" i="21"/>
  <c r="AU29" i="21"/>
  <c r="L29" i="21"/>
  <c r="AU25" i="21"/>
  <c r="L25" i="21"/>
  <c r="AU21" i="21"/>
  <c r="L21" i="21"/>
  <c r="AU17" i="21"/>
  <c r="L17" i="21"/>
  <c r="AU13" i="21"/>
  <c r="L13" i="21"/>
  <c r="B73" i="21"/>
  <c r="B45" i="21"/>
  <c r="B72" i="21"/>
  <c r="B358" i="2"/>
  <c r="B193" i="2"/>
  <c r="B416" i="2" s="1"/>
  <c r="B359" i="2"/>
  <c r="B230" i="2"/>
  <c r="B208" i="2"/>
  <c r="B23" i="2"/>
  <c r="B21" i="2"/>
  <c r="B22" i="2"/>
  <c r="G159" i="8"/>
  <c r="G158" i="8" s="1"/>
  <c r="G157" i="8" s="1"/>
  <c r="G156" i="8" s="1"/>
  <c r="G155" i="8" s="1"/>
  <c r="G154" i="8" s="1"/>
  <c r="G153" i="8" s="1"/>
  <c r="G152" i="8" s="1"/>
  <c r="G151" i="8" s="1"/>
  <c r="G150" i="8" s="1"/>
  <c r="G149" i="8" s="1"/>
  <c r="G148" i="8" s="1"/>
  <c r="G147" i="8" s="1"/>
  <c r="G146" i="8" s="1"/>
  <c r="G145" i="8" s="1"/>
  <c r="G144" i="8" s="1"/>
  <c r="G143" i="8" s="1"/>
  <c r="G142" i="8" s="1"/>
  <c r="G141" i="8" s="1"/>
  <c r="G140" i="8" s="1"/>
  <c r="G139" i="8" s="1"/>
  <c r="G138" i="8" s="1"/>
  <c r="G137" i="8" s="1"/>
  <c r="G136" i="8" s="1"/>
  <c r="G135" i="8" s="1"/>
  <c r="G134" i="8" s="1"/>
  <c r="G133" i="8" s="1"/>
  <c r="G132" i="8" s="1"/>
  <c r="G131" i="8" s="1"/>
  <c r="G130" i="8" s="1"/>
  <c r="G129" i="8" s="1"/>
  <c r="G128" i="8" s="1"/>
  <c r="G127" i="8" s="1"/>
  <c r="G126" i="8" s="1"/>
  <c r="G125" i="8" s="1"/>
  <c r="G124" i="8" s="1"/>
  <c r="G123" i="8" s="1"/>
  <c r="G122" i="8" s="1"/>
  <c r="G121" i="8" s="1"/>
  <c r="G120" i="8" s="1"/>
  <c r="G119" i="8" s="1"/>
  <c r="G118" i="8" s="1"/>
  <c r="G117" i="8" s="1"/>
  <c r="G116" i="8" s="1"/>
  <c r="G115" i="8" s="1"/>
  <c r="G114" i="8" s="1"/>
  <c r="G113" i="8" s="1"/>
  <c r="G112" i="8" s="1"/>
  <c r="G111" i="8" s="1"/>
  <c r="G110" i="8" s="1"/>
  <c r="G109" i="8" s="1"/>
  <c r="G108" i="8" s="1"/>
  <c r="G107" i="8" s="1"/>
  <c r="G106" i="8" s="1"/>
  <c r="G105" i="8" s="1"/>
  <c r="G104" i="8" s="1"/>
  <c r="G103" i="8" s="1"/>
  <c r="G102" i="8" s="1"/>
  <c r="G101" i="8" s="1"/>
  <c r="G100" i="8" s="1"/>
  <c r="G99" i="8" s="1"/>
  <c r="G98" i="8" s="1"/>
  <c r="G97" i="8" s="1"/>
  <c r="G96" i="8" s="1"/>
  <c r="G95" i="8" s="1"/>
  <c r="G94" i="8" s="1"/>
  <c r="G93" i="8" s="1"/>
  <c r="G92" i="8" s="1"/>
  <c r="G91" i="8" s="1"/>
  <c r="G90" i="8" s="1"/>
  <c r="G89" i="8" s="1"/>
  <c r="G88" i="8" s="1"/>
  <c r="G87" i="8" s="1"/>
  <c r="G86" i="8" s="1"/>
  <c r="G85" i="8" s="1"/>
  <c r="G84" i="8" s="1"/>
  <c r="G83" i="8" s="1"/>
  <c r="G82" i="8" s="1"/>
  <c r="G81" i="8" s="1"/>
  <c r="G80" i="8" s="1"/>
  <c r="G79" i="8" s="1"/>
  <c r="G78" i="8" s="1"/>
  <c r="G77" i="8" s="1"/>
  <c r="G76" i="8" s="1"/>
  <c r="G75" i="8" s="1"/>
  <c r="G74" i="8" s="1"/>
  <c r="G73" i="8" s="1"/>
  <c r="G72" i="8" s="1"/>
  <c r="G71" i="8" s="1"/>
  <c r="G70" i="8" s="1"/>
  <c r="G69" i="8" s="1"/>
  <c r="G68" i="8" s="1"/>
  <c r="G67" i="8" s="1"/>
  <c r="G66" i="8" s="1"/>
  <c r="G65" i="8" s="1"/>
  <c r="G64" i="8" s="1"/>
  <c r="G63" i="8" s="1"/>
  <c r="G62" i="8" s="1"/>
  <c r="G61" i="8" s="1"/>
  <c r="G60" i="8" s="1"/>
  <c r="G59" i="8" s="1"/>
  <c r="G58" i="8" s="1"/>
  <c r="G57" i="8" s="1"/>
  <c r="G56" i="8" s="1"/>
  <c r="G55" i="8" s="1"/>
  <c r="G54" i="8" s="1"/>
  <c r="G53" i="8" s="1"/>
  <c r="G52" i="8" s="1"/>
  <c r="G51" i="8" s="1"/>
  <c r="G50" i="8" s="1"/>
  <c r="G49" i="8" s="1"/>
  <c r="G48" i="8" s="1"/>
  <c r="G47" i="8" s="1"/>
  <c r="G46" i="8" s="1"/>
  <c r="G45" i="8" s="1"/>
  <c r="G44" i="8" s="1"/>
  <c r="G43" i="8" s="1"/>
  <c r="G42" i="8" s="1"/>
  <c r="G41" i="8" s="1"/>
  <c r="G40" i="8" s="1"/>
  <c r="G39" i="8" s="1"/>
  <c r="G38" i="8" s="1"/>
  <c r="G37" i="8" s="1"/>
  <c r="G36" i="8" s="1"/>
  <c r="G35" i="8" s="1"/>
  <c r="G34" i="8" s="1"/>
  <c r="G33" i="8" s="1"/>
  <c r="G32" i="8" s="1"/>
  <c r="G31" i="8" s="1"/>
  <c r="G30" i="8" s="1"/>
  <c r="G29" i="8" s="1"/>
  <c r="G28" i="8" s="1"/>
  <c r="G27" i="8" s="1"/>
  <c r="G26" i="8" s="1"/>
  <c r="G25" i="8" s="1"/>
  <c r="G24" i="8" s="1"/>
  <c r="G23" i="8" s="1"/>
  <c r="G22" i="8" s="1"/>
  <c r="G21" i="8" s="1"/>
  <c r="G20" i="8" s="1"/>
  <c r="G19" i="8" s="1"/>
  <c r="G18" i="8" s="1"/>
  <c r="G17" i="8" s="1"/>
  <c r="G16" i="8" s="1"/>
  <c r="G15" i="8" s="1"/>
  <c r="G14" i="8" s="1"/>
  <c r="G13" i="8" s="1"/>
  <c r="G12" i="8" s="1"/>
  <c r="G11" i="8" s="1"/>
  <c r="G10" i="8" s="1"/>
  <c r="G9" i="8" s="1"/>
  <c r="G8" i="8" s="1"/>
  <c r="G7" i="8" s="1"/>
  <c r="G6" i="8" s="1"/>
  <c r="B35" i="2"/>
  <c r="S11" i="8"/>
  <c r="B257" i="2" s="1"/>
  <c r="B418" i="2" s="1"/>
  <c r="C50" i="16"/>
  <c r="D50" i="16" s="1"/>
  <c r="B50" i="2"/>
  <c r="E62" i="1"/>
  <c r="B151" i="2" l="1"/>
  <c r="B148" i="2"/>
  <c r="B153" i="2"/>
  <c r="B152" i="2"/>
  <c r="B159" i="2"/>
  <c r="B158" i="2"/>
  <c r="B161" i="2"/>
  <c r="B113" i="2"/>
  <c r="B160" i="2"/>
  <c r="B69" i="2"/>
  <c r="B62" i="2"/>
  <c r="B99" i="2"/>
  <c r="B103" i="2" s="1"/>
  <c r="B112" i="2"/>
  <c r="B133" i="2"/>
  <c r="B80" i="2"/>
  <c r="B61" i="2"/>
  <c r="B132" i="2"/>
  <c r="B127" i="2"/>
  <c r="E38" i="1" s="1"/>
  <c r="B123" i="2"/>
  <c r="B120" i="2"/>
  <c r="B121" i="2" s="1"/>
  <c r="B79" i="21"/>
  <c r="B81" i="2"/>
  <c r="B70" i="21"/>
  <c r="B98" i="2"/>
  <c r="B102" i="2" s="1"/>
  <c r="V81" i="21"/>
  <c r="O81" i="21"/>
  <c r="P81" i="21"/>
  <c r="Q81" i="21" s="1"/>
  <c r="AE81" i="21" s="1"/>
  <c r="V35" i="21"/>
  <c r="O35" i="21"/>
  <c r="P35" i="21"/>
  <c r="Q35" i="21" s="1"/>
  <c r="AE35" i="21" s="1"/>
  <c r="AF99" i="21"/>
  <c r="O99" i="21"/>
  <c r="P99" i="21"/>
  <c r="Q99" i="21" s="1"/>
  <c r="AE99" i="21" s="1"/>
  <c r="V66" i="21"/>
  <c r="P66" i="21"/>
  <c r="Q66" i="21" s="1"/>
  <c r="AE66" i="21" s="1"/>
  <c r="O66" i="21"/>
  <c r="AF54" i="21"/>
  <c r="P54" i="21"/>
  <c r="Q54" i="21" s="1"/>
  <c r="AE54" i="21" s="1"/>
  <c r="O54" i="21"/>
  <c r="AF53" i="21"/>
  <c r="O53" i="21"/>
  <c r="P53" i="21"/>
  <c r="Q53" i="21" s="1"/>
  <c r="AE53" i="21" s="1"/>
  <c r="AF20" i="21"/>
  <c r="O20" i="21"/>
  <c r="P20" i="21"/>
  <c r="Q20" i="21" s="1"/>
  <c r="AE20" i="21" s="1"/>
  <c r="V84" i="21"/>
  <c r="O84" i="21"/>
  <c r="P84" i="21"/>
  <c r="Q84" i="21" s="1"/>
  <c r="AE84" i="21" s="1"/>
  <c r="AF95" i="21"/>
  <c r="P95" i="21"/>
  <c r="Q95" i="21" s="1"/>
  <c r="AE95" i="21" s="1"/>
  <c r="O95" i="21"/>
  <c r="V25" i="21"/>
  <c r="O25" i="21"/>
  <c r="P25" i="21"/>
  <c r="Q25" i="21" s="1"/>
  <c r="AE25" i="21" s="1"/>
  <c r="AF89" i="21"/>
  <c r="O89" i="21"/>
  <c r="P89" i="21"/>
  <c r="Q89" i="21" s="1"/>
  <c r="AE89" i="21" s="1"/>
  <c r="AF56" i="21"/>
  <c r="P56" i="21"/>
  <c r="Q56" i="21" s="1"/>
  <c r="AE56" i="21" s="1"/>
  <c r="O56" i="21"/>
  <c r="AF15" i="21"/>
  <c r="P15" i="21"/>
  <c r="Q15" i="21" s="1"/>
  <c r="AE15" i="21" s="1"/>
  <c r="O15" i="21"/>
  <c r="V62" i="21"/>
  <c r="P62" i="21"/>
  <c r="Q62" i="21" s="1"/>
  <c r="AE62" i="21" s="1"/>
  <c r="O62" i="21"/>
  <c r="AF58" i="21"/>
  <c r="P58" i="21"/>
  <c r="Q58" i="21" s="1"/>
  <c r="AE58" i="21" s="1"/>
  <c r="O58" i="21"/>
  <c r="AF30" i="21"/>
  <c r="P30" i="21"/>
  <c r="Q30" i="21" s="1"/>
  <c r="AE30" i="21" s="1"/>
  <c r="O30" i="21"/>
  <c r="V107" i="21"/>
  <c r="O107" i="21"/>
  <c r="P107" i="21"/>
  <c r="Q107" i="21" s="1"/>
  <c r="AE107" i="21" s="1"/>
  <c r="AF74" i="21"/>
  <c r="P74" i="21"/>
  <c r="Q74" i="21" s="1"/>
  <c r="AE74" i="21" s="1"/>
  <c r="O74" i="21"/>
  <c r="V78" i="21"/>
  <c r="P78" i="21"/>
  <c r="Q78" i="21" s="1"/>
  <c r="AE78" i="21" s="1"/>
  <c r="O78" i="21"/>
  <c r="AF61" i="21"/>
  <c r="O61" i="21"/>
  <c r="P61" i="21"/>
  <c r="Q61" i="21" s="1"/>
  <c r="AE61" i="21" s="1"/>
  <c r="AF28" i="21"/>
  <c r="O28" i="21"/>
  <c r="P28" i="21"/>
  <c r="Q28" i="21" s="1"/>
  <c r="AE28" i="21" s="1"/>
  <c r="AF92" i="21"/>
  <c r="O92" i="21"/>
  <c r="P92" i="21"/>
  <c r="Q92" i="21" s="1"/>
  <c r="AE92" i="21" s="1"/>
  <c r="V10" i="21"/>
  <c r="O10" i="21"/>
  <c r="P10" i="21"/>
  <c r="Q10" i="21" s="1"/>
  <c r="AE10" i="21" s="1"/>
  <c r="AF33" i="21"/>
  <c r="O33" i="21"/>
  <c r="P33" i="21"/>
  <c r="Q33" i="21" s="1"/>
  <c r="AE33" i="21" s="1"/>
  <c r="AF97" i="21"/>
  <c r="P97" i="21"/>
  <c r="Q97" i="21" s="1"/>
  <c r="AE97" i="21" s="1"/>
  <c r="O97" i="21"/>
  <c r="AF64" i="21"/>
  <c r="P64" i="21"/>
  <c r="Q64" i="21" s="1"/>
  <c r="AE64" i="21" s="1"/>
  <c r="O64" i="21"/>
  <c r="V94" i="21"/>
  <c r="P94" i="21"/>
  <c r="Q94" i="21" s="1"/>
  <c r="AE94" i="21" s="1"/>
  <c r="O94" i="21"/>
  <c r="AF27" i="21"/>
  <c r="O27" i="21"/>
  <c r="P27" i="21"/>
  <c r="Q27" i="21" s="1"/>
  <c r="AE27" i="21" s="1"/>
  <c r="R51" i="21"/>
  <c r="AN51" i="21" s="1"/>
  <c r="BE51" i="21" s="1"/>
  <c r="O51" i="21"/>
  <c r="P51" i="21"/>
  <c r="Q51" i="21" s="1"/>
  <c r="AE51" i="21" s="1"/>
  <c r="V69" i="21"/>
  <c r="O69" i="21"/>
  <c r="P69" i="21"/>
  <c r="Q69" i="21" s="1"/>
  <c r="AE69" i="21" s="1"/>
  <c r="V36" i="21"/>
  <c r="O36" i="21"/>
  <c r="P36" i="21"/>
  <c r="Q36" i="21" s="1"/>
  <c r="AE36" i="21" s="1"/>
  <c r="V100" i="21"/>
  <c r="O100" i="21"/>
  <c r="P100" i="21"/>
  <c r="Q100" i="21" s="1"/>
  <c r="AE100" i="21" s="1"/>
  <c r="V41" i="21"/>
  <c r="O41" i="21"/>
  <c r="P41" i="21"/>
  <c r="Q41" i="21" s="1"/>
  <c r="AE41" i="21" s="1"/>
  <c r="V72" i="21"/>
  <c r="P72" i="21"/>
  <c r="Q72" i="21" s="1"/>
  <c r="AE72" i="21" s="1"/>
  <c r="O72" i="21"/>
  <c r="AF48" i="21"/>
  <c r="P48" i="21"/>
  <c r="Q48" i="21" s="1"/>
  <c r="AE48" i="21" s="1"/>
  <c r="O48" i="21"/>
  <c r="AF59" i="21"/>
  <c r="O59" i="21"/>
  <c r="P59" i="21"/>
  <c r="Q59" i="21" s="1"/>
  <c r="AE59" i="21" s="1"/>
  <c r="AF90" i="21"/>
  <c r="O90" i="21"/>
  <c r="P90" i="21"/>
  <c r="Q90" i="21" s="1"/>
  <c r="AE90" i="21" s="1"/>
  <c r="V13" i="21"/>
  <c r="O13" i="21"/>
  <c r="P13" i="21"/>
  <c r="Q13" i="21" s="1"/>
  <c r="AE13" i="21" s="1"/>
  <c r="AF44" i="21"/>
  <c r="O44" i="21"/>
  <c r="P44" i="21"/>
  <c r="Q44" i="21" s="1"/>
  <c r="AE44" i="21" s="1"/>
  <c r="V71" i="21"/>
  <c r="P71" i="21"/>
  <c r="Q71" i="21" s="1"/>
  <c r="AE71" i="21" s="1"/>
  <c r="O71" i="21"/>
  <c r="V79" i="21"/>
  <c r="O79" i="21"/>
  <c r="P79" i="21"/>
  <c r="Q79" i="21" s="1"/>
  <c r="AE79" i="21" s="1"/>
  <c r="AF67" i="21"/>
  <c r="O67" i="21"/>
  <c r="P67" i="21"/>
  <c r="Q67" i="21" s="1"/>
  <c r="AE67" i="21" s="1"/>
  <c r="V34" i="21"/>
  <c r="O34" i="21"/>
  <c r="P34" i="21"/>
  <c r="Q34" i="21" s="1"/>
  <c r="AE34" i="21" s="1"/>
  <c r="V98" i="21"/>
  <c r="P98" i="21"/>
  <c r="Q98" i="21" s="1"/>
  <c r="AE98" i="21" s="1"/>
  <c r="O98" i="21"/>
  <c r="AF21" i="21"/>
  <c r="O21" i="21"/>
  <c r="P21" i="21"/>
  <c r="Q21" i="21" s="1"/>
  <c r="AE21" i="21" s="1"/>
  <c r="AF85" i="21"/>
  <c r="O85" i="21"/>
  <c r="P85" i="21"/>
  <c r="Q85" i="21" s="1"/>
  <c r="AE85" i="21" s="1"/>
  <c r="AF52" i="21"/>
  <c r="O52" i="21"/>
  <c r="P52" i="21"/>
  <c r="Q52" i="21" s="1"/>
  <c r="AE52" i="21" s="1"/>
  <c r="AF23" i="21"/>
  <c r="O23" i="21"/>
  <c r="P23" i="21"/>
  <c r="Q23" i="21" s="1"/>
  <c r="AE23" i="21" s="1"/>
  <c r="V70" i="21"/>
  <c r="P70" i="21"/>
  <c r="Q70" i="21" s="1"/>
  <c r="AE70" i="21" s="1"/>
  <c r="O70" i="21"/>
  <c r="AF57" i="21"/>
  <c r="O57" i="21"/>
  <c r="P57" i="21"/>
  <c r="Q57" i="21" s="1"/>
  <c r="AE57" i="21" s="1"/>
  <c r="V24" i="21"/>
  <c r="P24" i="21"/>
  <c r="Q24" i="21" s="1"/>
  <c r="AE24" i="21" s="1"/>
  <c r="O24" i="21"/>
  <c r="AF88" i="21"/>
  <c r="P88" i="21"/>
  <c r="Q88" i="21" s="1"/>
  <c r="AE88" i="21" s="1"/>
  <c r="O88" i="21"/>
  <c r="AF87" i="21"/>
  <c r="P87" i="21"/>
  <c r="Q87" i="21" s="1"/>
  <c r="AE87" i="21" s="1"/>
  <c r="O87" i="21"/>
  <c r="AF91" i="21"/>
  <c r="O91" i="21"/>
  <c r="P91" i="21"/>
  <c r="Q91" i="21" s="1"/>
  <c r="AE91" i="21" s="1"/>
  <c r="V45" i="21"/>
  <c r="O45" i="21"/>
  <c r="P45" i="21"/>
  <c r="Q45" i="21" s="1"/>
  <c r="AE45" i="21" s="1"/>
  <c r="AF42" i="21"/>
  <c r="P42" i="21"/>
  <c r="Q42" i="21" s="1"/>
  <c r="AE42" i="21" s="1"/>
  <c r="O42" i="21"/>
  <c r="V106" i="21"/>
  <c r="P106" i="21"/>
  <c r="Q106" i="21" s="1"/>
  <c r="AE106" i="21" s="1"/>
  <c r="O106" i="21"/>
  <c r="V29" i="21"/>
  <c r="O29" i="21"/>
  <c r="P29" i="21"/>
  <c r="Q29" i="21" s="1"/>
  <c r="AE29" i="21" s="1"/>
  <c r="AF93" i="21"/>
  <c r="O93" i="21"/>
  <c r="P93" i="21"/>
  <c r="Q93" i="21" s="1"/>
  <c r="AE93" i="21" s="1"/>
  <c r="AF60" i="21"/>
  <c r="O60" i="21"/>
  <c r="P60" i="21"/>
  <c r="Q60" i="21" s="1"/>
  <c r="AE60" i="21" s="1"/>
  <c r="V86" i="21"/>
  <c r="P86" i="21"/>
  <c r="Q86" i="21" s="1"/>
  <c r="AE86" i="21" s="1"/>
  <c r="O86" i="21"/>
  <c r="AF65" i="21"/>
  <c r="O65" i="21"/>
  <c r="P65" i="21"/>
  <c r="Q65" i="21" s="1"/>
  <c r="AE65" i="21" s="1"/>
  <c r="V32" i="21"/>
  <c r="P32" i="21"/>
  <c r="Q32" i="21" s="1"/>
  <c r="AE32" i="21" s="1"/>
  <c r="O32" i="21"/>
  <c r="AF96" i="21"/>
  <c r="P96" i="21"/>
  <c r="Q96" i="21" s="1"/>
  <c r="AE96" i="21" s="1"/>
  <c r="O96" i="21"/>
  <c r="V11" i="21"/>
  <c r="O11" i="21"/>
  <c r="P11" i="21"/>
  <c r="Q11" i="21" s="1"/>
  <c r="AE11" i="21" s="1"/>
  <c r="AF19" i="21"/>
  <c r="O19" i="21"/>
  <c r="P19" i="21"/>
  <c r="Q19" i="21" s="1"/>
  <c r="AE19" i="21" s="1"/>
  <c r="R83" i="21"/>
  <c r="AN83" i="21" s="1"/>
  <c r="BE83" i="21" s="1"/>
  <c r="O83" i="21"/>
  <c r="P83" i="21"/>
  <c r="Q83" i="21" s="1"/>
  <c r="AE83" i="21" s="1"/>
  <c r="V50" i="21"/>
  <c r="O50" i="21"/>
  <c r="P50" i="21"/>
  <c r="Q50" i="21" s="1"/>
  <c r="AE50" i="21" s="1"/>
  <c r="AF63" i="21"/>
  <c r="P63" i="21"/>
  <c r="Q63" i="21" s="1"/>
  <c r="AE63" i="21" s="1"/>
  <c r="O63" i="21"/>
  <c r="V101" i="21"/>
  <c r="P101" i="21"/>
  <c r="Q101" i="21" s="1"/>
  <c r="AE101" i="21" s="1"/>
  <c r="O101" i="21"/>
  <c r="V68" i="21"/>
  <c r="O68" i="21"/>
  <c r="P68" i="21"/>
  <c r="Q68" i="21" s="1"/>
  <c r="AE68" i="21" s="1"/>
  <c r="AF55" i="21"/>
  <c r="O55" i="21"/>
  <c r="P55" i="21"/>
  <c r="Q55" i="21" s="1"/>
  <c r="AE55" i="21" s="1"/>
  <c r="V12" i="21"/>
  <c r="O12" i="21"/>
  <c r="P12" i="21"/>
  <c r="Q12" i="21" s="1"/>
  <c r="AE12" i="21" s="1"/>
  <c r="AF73" i="21"/>
  <c r="O73" i="21"/>
  <c r="P73" i="21"/>
  <c r="Q73" i="21" s="1"/>
  <c r="AE73" i="21" s="1"/>
  <c r="V40" i="21"/>
  <c r="P40" i="21"/>
  <c r="Q40" i="21" s="1"/>
  <c r="AE40" i="21" s="1"/>
  <c r="O40" i="21"/>
  <c r="V104" i="21"/>
  <c r="P104" i="21"/>
  <c r="Q104" i="21" s="1"/>
  <c r="AE104" i="21" s="1"/>
  <c r="O104" i="21"/>
  <c r="B97" i="2"/>
  <c r="B101" i="2" s="1"/>
  <c r="B60" i="2"/>
  <c r="B67" i="2"/>
  <c r="B79" i="2"/>
  <c r="B225" i="2"/>
  <c r="B232" i="2"/>
  <c r="B224" i="2"/>
  <c r="AN9" i="21"/>
  <c r="S9" i="21"/>
  <c r="B111" i="2"/>
  <c r="E110" i="17"/>
  <c r="F329" i="17"/>
  <c r="E203" i="17"/>
  <c r="AF72" i="21"/>
  <c r="AF62" i="21"/>
  <c r="AF107" i="21"/>
  <c r="AF100" i="21"/>
  <c r="AF41" i="21"/>
  <c r="AF69" i="21"/>
  <c r="AF101" i="21"/>
  <c r="AF12" i="21"/>
  <c r="AF68" i="21"/>
  <c r="AF86" i="21"/>
  <c r="AF25" i="21"/>
  <c r="AF40" i="21"/>
  <c r="AF104" i="21"/>
  <c r="AF36" i="21"/>
  <c r="AF24" i="21"/>
  <c r="AF94" i="21"/>
  <c r="AF106" i="21"/>
  <c r="AF13" i="21"/>
  <c r="AF71" i="21"/>
  <c r="AF45" i="21"/>
  <c r="AF81" i="21"/>
  <c r="AF32" i="21"/>
  <c r="AF11" i="21"/>
  <c r="AF29" i="21"/>
  <c r="AF78" i="21"/>
  <c r="AF79" i="21"/>
  <c r="AF10" i="21"/>
  <c r="AF70" i="21"/>
  <c r="F64" i="17"/>
  <c r="AF35" i="21"/>
  <c r="AF51" i="21"/>
  <c r="AF83" i="21"/>
  <c r="AF34" i="21"/>
  <c r="AF50" i="21"/>
  <c r="AF66" i="21"/>
  <c r="AF98" i="21"/>
  <c r="AF84" i="21"/>
  <c r="E213" i="17"/>
  <c r="F20" i="17"/>
  <c r="F254" i="17"/>
  <c r="E75" i="17"/>
  <c r="F176" i="17"/>
  <c r="F326" i="17"/>
  <c r="E471" i="17"/>
  <c r="F32" i="17"/>
  <c r="E349" i="17"/>
  <c r="E107" i="17"/>
  <c r="E398" i="17"/>
  <c r="V57" i="21"/>
  <c r="AJ57" i="21"/>
  <c r="AD13" i="21"/>
  <c r="AD17" i="21"/>
  <c r="AD21" i="21"/>
  <c r="AD25" i="21"/>
  <c r="AD29" i="21"/>
  <c r="AD33" i="21"/>
  <c r="AD37" i="21"/>
  <c r="AD41" i="21"/>
  <c r="AD45" i="21"/>
  <c r="AD49" i="21"/>
  <c r="AD53" i="21"/>
  <c r="AD57" i="21"/>
  <c r="AD61" i="21"/>
  <c r="AD65" i="21"/>
  <c r="AD69" i="21"/>
  <c r="AD73" i="21"/>
  <c r="AD77" i="21"/>
  <c r="AD81" i="21"/>
  <c r="AD85" i="21"/>
  <c r="AD89" i="21"/>
  <c r="AD93" i="21"/>
  <c r="AD97" i="21"/>
  <c r="AD101" i="21"/>
  <c r="AD105" i="21"/>
  <c r="AD109" i="21"/>
  <c r="AD15" i="21"/>
  <c r="AD23" i="21"/>
  <c r="AD31" i="21"/>
  <c r="AD39" i="21"/>
  <c r="AD47" i="21"/>
  <c r="AD55" i="21"/>
  <c r="AD63" i="21"/>
  <c r="AD71" i="21"/>
  <c r="AD79" i="21"/>
  <c r="AD87" i="21"/>
  <c r="AD95" i="21"/>
  <c r="AD103" i="21"/>
  <c r="AD12" i="21"/>
  <c r="AD24" i="21"/>
  <c r="AD32" i="21"/>
  <c r="AD40" i="21"/>
  <c r="AD48" i="21"/>
  <c r="AD56" i="21"/>
  <c r="AD64" i="21"/>
  <c r="AD72" i="21"/>
  <c r="AD80" i="21"/>
  <c r="AD88" i="21"/>
  <c r="AD92" i="21"/>
  <c r="AD100" i="21"/>
  <c r="AD108" i="21"/>
  <c r="AD10" i="21"/>
  <c r="AD14" i="21"/>
  <c r="AD18" i="21"/>
  <c r="AD22" i="21"/>
  <c r="AD26" i="21"/>
  <c r="AD30" i="21"/>
  <c r="AD34" i="21"/>
  <c r="AD38" i="21"/>
  <c r="AD42" i="21"/>
  <c r="AD46" i="21"/>
  <c r="AD50" i="21"/>
  <c r="AD54" i="21"/>
  <c r="AD58" i="21"/>
  <c r="AD62" i="21"/>
  <c r="AD66" i="21"/>
  <c r="AD70" i="21"/>
  <c r="AD74" i="21"/>
  <c r="AD78" i="21"/>
  <c r="AD82" i="21"/>
  <c r="AD86" i="21"/>
  <c r="AD90" i="21"/>
  <c r="AD94" i="21"/>
  <c r="AD98" i="21"/>
  <c r="AD102" i="21"/>
  <c r="AD106" i="21"/>
  <c r="AD9" i="21"/>
  <c r="AD11" i="21"/>
  <c r="AD19" i="21"/>
  <c r="AD27" i="21"/>
  <c r="AD35" i="21"/>
  <c r="AD43" i="21"/>
  <c r="AD51" i="21"/>
  <c r="AD59" i="21"/>
  <c r="AD67" i="21"/>
  <c r="AD75" i="21"/>
  <c r="AD83" i="21"/>
  <c r="AD91" i="21"/>
  <c r="AD99" i="21"/>
  <c r="AD107" i="21"/>
  <c r="AD16" i="21"/>
  <c r="AD20" i="21"/>
  <c r="AD28" i="21"/>
  <c r="AD36" i="21"/>
  <c r="AD44" i="21"/>
  <c r="AD52" i="21"/>
  <c r="AD60" i="21"/>
  <c r="AD68" i="21"/>
  <c r="AD76" i="21"/>
  <c r="AD84" i="21"/>
  <c r="AD96" i="21"/>
  <c r="AD104" i="21"/>
  <c r="V96" i="21"/>
  <c r="R96" i="21"/>
  <c r="V52" i="21"/>
  <c r="AJ52" i="21"/>
  <c r="V20" i="21"/>
  <c r="AJ20" i="21"/>
  <c r="V56" i="21"/>
  <c r="AJ56" i="21"/>
  <c r="V88" i="21"/>
  <c r="R88" i="21"/>
  <c r="AJ88" i="21"/>
  <c r="V61" i="21"/>
  <c r="R61" i="21"/>
  <c r="V64" i="21"/>
  <c r="R64" i="21"/>
  <c r="V89" i="21"/>
  <c r="R89" i="21"/>
  <c r="V67" i="21"/>
  <c r="R67" i="21"/>
  <c r="AJ67" i="21"/>
  <c r="V99" i="21"/>
  <c r="R99" i="21"/>
  <c r="V30" i="21"/>
  <c r="AJ30" i="21"/>
  <c r="R30" i="21"/>
  <c r="AJ35" i="21"/>
  <c r="R35" i="21"/>
  <c r="AJ84" i="21"/>
  <c r="AJ25" i="21"/>
  <c r="AJ24" i="21"/>
  <c r="R32" i="21"/>
  <c r="R29" i="21"/>
  <c r="V19" i="21"/>
  <c r="AJ19" i="21"/>
  <c r="V91" i="21"/>
  <c r="R91" i="21"/>
  <c r="AJ91" i="21"/>
  <c r="V21" i="21"/>
  <c r="AJ21" i="21"/>
  <c r="R21" i="21"/>
  <c r="V44" i="21"/>
  <c r="R44" i="21"/>
  <c r="AJ44" i="21"/>
  <c r="V23" i="21"/>
  <c r="AJ23" i="21"/>
  <c r="R23" i="21"/>
  <c r="V97" i="21"/>
  <c r="AJ97" i="21"/>
  <c r="R97" i="21"/>
  <c r="V51" i="21"/>
  <c r="AJ51" i="21"/>
  <c r="V42" i="21"/>
  <c r="AJ42" i="21"/>
  <c r="R42" i="21"/>
  <c r="V92" i="21"/>
  <c r="R92" i="21"/>
  <c r="AJ92" i="21"/>
  <c r="V95" i="21"/>
  <c r="AJ95" i="21"/>
  <c r="R95" i="21"/>
  <c r="V33" i="21"/>
  <c r="R33" i="21"/>
  <c r="AJ33" i="21"/>
  <c r="V48" i="21"/>
  <c r="R48" i="21"/>
  <c r="AJ48" i="21"/>
  <c r="V27" i="21"/>
  <c r="R27" i="21"/>
  <c r="AJ27" i="21"/>
  <c r="N43" i="21"/>
  <c r="V83" i="21"/>
  <c r="AJ83" i="21"/>
  <c r="V58" i="21"/>
  <c r="R58" i="21"/>
  <c r="AJ58" i="21"/>
  <c r="V54" i="21"/>
  <c r="AJ54" i="21"/>
  <c r="R54" i="21"/>
  <c r="V85" i="21"/>
  <c r="AJ85" i="21"/>
  <c r="R85" i="21"/>
  <c r="V60" i="21"/>
  <c r="R60" i="21"/>
  <c r="AJ60" i="21"/>
  <c r="V73" i="21"/>
  <c r="AJ73" i="21"/>
  <c r="R73" i="21"/>
  <c r="V15" i="21"/>
  <c r="AJ15" i="21"/>
  <c r="R15" i="21"/>
  <c r="V93" i="21"/>
  <c r="AJ93" i="21"/>
  <c r="R93" i="21"/>
  <c r="V55" i="21"/>
  <c r="AJ55" i="21"/>
  <c r="R55" i="21"/>
  <c r="V65" i="21"/>
  <c r="AJ65" i="21"/>
  <c r="R65" i="21"/>
  <c r="R19" i="21"/>
  <c r="V59" i="21"/>
  <c r="R59" i="21"/>
  <c r="AJ59" i="21"/>
  <c r="N75" i="21"/>
  <c r="V74" i="21"/>
  <c r="AJ74" i="21"/>
  <c r="R74" i="21"/>
  <c r="V90" i="21"/>
  <c r="AJ90" i="21"/>
  <c r="R90" i="21"/>
  <c r="V63" i="21"/>
  <c r="AJ63" i="21"/>
  <c r="R63" i="21"/>
  <c r="V53" i="21"/>
  <c r="AJ53" i="21"/>
  <c r="R53" i="21"/>
  <c r="V28" i="21"/>
  <c r="AJ28" i="21"/>
  <c r="R28" i="21"/>
  <c r="V87" i="21"/>
  <c r="R87" i="21"/>
  <c r="AJ87" i="21"/>
  <c r="AB35" i="21"/>
  <c r="AH35" i="21"/>
  <c r="Y35" i="21"/>
  <c r="AH67" i="21"/>
  <c r="AB67" i="21"/>
  <c r="Y67" i="21"/>
  <c r="AH99" i="21"/>
  <c r="AB99" i="21"/>
  <c r="Y99" i="21"/>
  <c r="R107" i="21"/>
  <c r="R34" i="21"/>
  <c r="AH50" i="21"/>
  <c r="AB50" i="21"/>
  <c r="Y50" i="21"/>
  <c r="AJ50" i="21"/>
  <c r="R66" i="21"/>
  <c r="R98" i="21"/>
  <c r="R106" i="21"/>
  <c r="R78" i="21"/>
  <c r="AJ13" i="21"/>
  <c r="AH29" i="21"/>
  <c r="Y29" i="21"/>
  <c r="AB29" i="21"/>
  <c r="N37" i="21"/>
  <c r="AJ45" i="21"/>
  <c r="AH61" i="21"/>
  <c r="Y61" i="21"/>
  <c r="AB61" i="21"/>
  <c r="AH69" i="21"/>
  <c r="Y69" i="21"/>
  <c r="AB69" i="21"/>
  <c r="AH101" i="21"/>
  <c r="Y101" i="21"/>
  <c r="AB101" i="21"/>
  <c r="AJ101" i="21"/>
  <c r="R20" i="21"/>
  <c r="AH36" i="21"/>
  <c r="AB36" i="21"/>
  <c r="Y36" i="21"/>
  <c r="R52" i="21"/>
  <c r="AH68" i="21"/>
  <c r="Y68" i="21"/>
  <c r="AB68" i="21"/>
  <c r="R84" i="21"/>
  <c r="AH100" i="21"/>
  <c r="Y100" i="21"/>
  <c r="AB100" i="21"/>
  <c r="AJ79" i="21"/>
  <c r="R10" i="21"/>
  <c r="AH86" i="21"/>
  <c r="AB86" i="21"/>
  <c r="Y86" i="21"/>
  <c r="AH12" i="21"/>
  <c r="Y12" i="21"/>
  <c r="AB12" i="21"/>
  <c r="R25" i="21"/>
  <c r="AH41" i="21"/>
  <c r="AB41" i="21"/>
  <c r="Y41" i="21"/>
  <c r="R57" i="21"/>
  <c r="N105" i="21"/>
  <c r="R24" i="21"/>
  <c r="AH40" i="21"/>
  <c r="AB40" i="21"/>
  <c r="Y40" i="21"/>
  <c r="R56" i="21"/>
  <c r="AH72" i="21"/>
  <c r="Y72" i="21"/>
  <c r="AB72" i="21"/>
  <c r="AH104" i="21"/>
  <c r="Y104" i="21"/>
  <c r="AB104" i="21"/>
  <c r="AJ11" i="21"/>
  <c r="N47" i="21"/>
  <c r="AJ71" i="21"/>
  <c r="AH94" i="21"/>
  <c r="AB94" i="21"/>
  <c r="Y94" i="21"/>
  <c r="AH90" i="21"/>
  <c r="AB90" i="21"/>
  <c r="Y90" i="21"/>
  <c r="AH55" i="21"/>
  <c r="AB55" i="21"/>
  <c r="Y55" i="21"/>
  <c r="AH73" i="21"/>
  <c r="Y73" i="21"/>
  <c r="AB73" i="21"/>
  <c r="AJ81" i="21"/>
  <c r="AB19" i="21"/>
  <c r="AH19" i="21"/>
  <c r="Y19" i="21"/>
  <c r="AH51" i="21"/>
  <c r="AB51" i="21"/>
  <c r="Y51" i="21"/>
  <c r="AH83" i="21"/>
  <c r="AB83" i="21"/>
  <c r="Y83" i="21"/>
  <c r="AJ99" i="21"/>
  <c r="AH107" i="21"/>
  <c r="AB107" i="21"/>
  <c r="Y107" i="21"/>
  <c r="N18" i="21"/>
  <c r="N26" i="21"/>
  <c r="AH34" i="21"/>
  <c r="Y34" i="21"/>
  <c r="AB34" i="21"/>
  <c r="AJ34" i="21"/>
  <c r="R50" i="21"/>
  <c r="AH66" i="21"/>
  <c r="AB66" i="21"/>
  <c r="Y66" i="21"/>
  <c r="AJ66" i="21"/>
  <c r="N82" i="21"/>
  <c r="AH98" i="21"/>
  <c r="AB98" i="21"/>
  <c r="Y98" i="21"/>
  <c r="AJ98" i="21"/>
  <c r="AH30" i="21"/>
  <c r="AB30" i="21"/>
  <c r="Y30" i="21"/>
  <c r="N102" i="21"/>
  <c r="AH13" i="21"/>
  <c r="Y13" i="21"/>
  <c r="AB13" i="21"/>
  <c r="AJ29" i="21"/>
  <c r="AH45" i="21"/>
  <c r="Y45" i="21"/>
  <c r="AB45" i="21"/>
  <c r="AJ61" i="21"/>
  <c r="R69" i="21"/>
  <c r="N77" i="21"/>
  <c r="R101" i="21"/>
  <c r="N109" i="21"/>
  <c r="AH20" i="21"/>
  <c r="AB20" i="21"/>
  <c r="Y20" i="21"/>
  <c r="R36" i="21"/>
  <c r="AH52" i="21"/>
  <c r="Y52" i="21"/>
  <c r="AB52" i="21"/>
  <c r="R68" i="21"/>
  <c r="N76" i="21"/>
  <c r="AH84" i="21"/>
  <c r="Y84" i="21"/>
  <c r="AB84" i="21"/>
  <c r="R100" i="21"/>
  <c r="N108" i="21"/>
  <c r="AH79" i="21"/>
  <c r="AB79" i="21"/>
  <c r="Y79" i="21"/>
  <c r="N22" i="21"/>
  <c r="AH70" i="21"/>
  <c r="AB70" i="21"/>
  <c r="Y70" i="21"/>
  <c r="AJ70" i="21"/>
  <c r="R12" i="21"/>
  <c r="N17" i="21"/>
  <c r="AH25" i="21"/>
  <c r="AB25" i="21"/>
  <c r="Y25" i="21"/>
  <c r="R41" i="21"/>
  <c r="N49" i="21"/>
  <c r="AH57" i="21"/>
  <c r="Y57" i="21"/>
  <c r="AB57" i="21"/>
  <c r="AH81" i="21"/>
  <c r="Y81" i="21"/>
  <c r="AB81" i="21"/>
  <c r="AH89" i="21"/>
  <c r="Y89" i="21"/>
  <c r="AB89" i="21"/>
  <c r="AJ89" i="21"/>
  <c r="N16" i="21"/>
  <c r="AH24" i="21"/>
  <c r="AB24" i="21"/>
  <c r="Y24" i="21"/>
  <c r="AJ32" i="21"/>
  <c r="R40" i="21"/>
  <c r="AH56" i="21"/>
  <c r="Y56" i="21"/>
  <c r="AB56" i="21"/>
  <c r="AJ64" i="21"/>
  <c r="R72" i="21"/>
  <c r="N80" i="21"/>
  <c r="AH88" i="21"/>
  <c r="Y88" i="21"/>
  <c r="AB88" i="21"/>
  <c r="AJ96" i="21"/>
  <c r="R104" i="21"/>
  <c r="R11" i="21"/>
  <c r="AH71" i="21"/>
  <c r="AB71" i="21"/>
  <c r="Y71" i="21"/>
  <c r="N14" i="21"/>
  <c r="R62" i="21"/>
  <c r="AJ62" i="21"/>
  <c r="AH58" i="21"/>
  <c r="AB58" i="21"/>
  <c r="Y58" i="21"/>
  <c r="AH63" i="21"/>
  <c r="AB63" i="21"/>
  <c r="Y63" i="21"/>
  <c r="AH44" i="21"/>
  <c r="Y44" i="21"/>
  <c r="AB44" i="21"/>
  <c r="AH97" i="21"/>
  <c r="Y97" i="21"/>
  <c r="AB97" i="21"/>
  <c r="AH48" i="21"/>
  <c r="AB48" i="21"/>
  <c r="Y48" i="21"/>
  <c r="AB27" i="21"/>
  <c r="AH27" i="21"/>
  <c r="Y27" i="21"/>
  <c r="AH59" i="21"/>
  <c r="AB59" i="21"/>
  <c r="Y59" i="21"/>
  <c r="AH91" i="21"/>
  <c r="AB91" i="21"/>
  <c r="Y91" i="21"/>
  <c r="AJ107" i="21"/>
  <c r="AH42" i="21"/>
  <c r="AB42" i="21"/>
  <c r="Y42" i="21"/>
  <c r="AH74" i="21"/>
  <c r="AB74" i="21"/>
  <c r="Y74" i="21"/>
  <c r="AH106" i="21"/>
  <c r="AB106" i="21"/>
  <c r="Y106" i="21"/>
  <c r="AJ106" i="21"/>
  <c r="AH54" i="21"/>
  <c r="AB54" i="21"/>
  <c r="Y54" i="21"/>
  <c r="AH78" i="21"/>
  <c r="AB78" i="21"/>
  <c r="Y78" i="21"/>
  <c r="AJ78" i="21"/>
  <c r="R13" i="21"/>
  <c r="AH21" i="21"/>
  <c r="Y21" i="21"/>
  <c r="AB21" i="21"/>
  <c r="R45" i="21"/>
  <c r="AH53" i="21"/>
  <c r="Y53" i="21"/>
  <c r="AB53" i="21"/>
  <c r="AJ69" i="21"/>
  <c r="AH85" i="21"/>
  <c r="Y85" i="21"/>
  <c r="AB85" i="21"/>
  <c r="AH93" i="21"/>
  <c r="Y93" i="21"/>
  <c r="AB93" i="21"/>
  <c r="AH28" i="21"/>
  <c r="Y28" i="21"/>
  <c r="AB28" i="21"/>
  <c r="AJ36" i="21"/>
  <c r="AH60" i="21"/>
  <c r="Y60" i="21"/>
  <c r="AB60" i="21"/>
  <c r="AJ68" i="21"/>
  <c r="AH92" i="21"/>
  <c r="Y92" i="21"/>
  <c r="AB92" i="21"/>
  <c r="AJ100" i="21"/>
  <c r="AB23" i="21"/>
  <c r="AH23" i="21"/>
  <c r="Y23" i="21"/>
  <c r="N39" i="21"/>
  <c r="R79" i="21"/>
  <c r="AH95" i="21"/>
  <c r="AB95" i="21"/>
  <c r="Y95" i="21"/>
  <c r="AH10" i="21"/>
  <c r="AB10" i="21"/>
  <c r="Y10" i="21"/>
  <c r="AJ10" i="21"/>
  <c r="N46" i="21"/>
  <c r="R70" i="21"/>
  <c r="R86" i="21"/>
  <c r="AJ86" i="21"/>
  <c r="AJ12" i="21"/>
  <c r="AH33" i="21"/>
  <c r="Y33" i="21"/>
  <c r="AB33" i="21"/>
  <c r="AJ41" i="21"/>
  <c r="AH65" i="21"/>
  <c r="Y65" i="21"/>
  <c r="AB65" i="21"/>
  <c r="R81" i="21"/>
  <c r="AH32" i="21"/>
  <c r="AB32" i="21"/>
  <c r="Y32" i="21"/>
  <c r="AJ40" i="21"/>
  <c r="AH64" i="21"/>
  <c r="AB64" i="21"/>
  <c r="Y64" i="21"/>
  <c r="AJ72" i="21"/>
  <c r="AH96" i="21"/>
  <c r="AB96" i="21"/>
  <c r="Y96" i="21"/>
  <c r="AJ104" i="21"/>
  <c r="AB11" i="21"/>
  <c r="AH11" i="21"/>
  <c r="Y11" i="21"/>
  <c r="AH15" i="21"/>
  <c r="AB15" i="21"/>
  <c r="Y15" i="21"/>
  <c r="N31" i="21"/>
  <c r="R71" i="21"/>
  <c r="AH87" i="21"/>
  <c r="AB87" i="21"/>
  <c r="Y87" i="21"/>
  <c r="N103" i="21"/>
  <c r="N38" i="21"/>
  <c r="AH62" i="21"/>
  <c r="AB62" i="21"/>
  <c r="Y62" i="21"/>
  <c r="R94" i="21"/>
  <c r="AJ94" i="21"/>
  <c r="S37" i="8"/>
  <c r="R37" i="8"/>
  <c r="F84" i="17"/>
  <c r="E43" i="17"/>
  <c r="F134" i="17"/>
  <c r="E135" i="17"/>
  <c r="E212" i="17"/>
  <c r="F241" i="17"/>
  <c r="F560" i="17"/>
  <c r="F96" i="17"/>
  <c r="F52" i="17"/>
  <c r="F112" i="17"/>
  <c r="E251" i="17"/>
  <c r="E130" i="17"/>
  <c r="F117" i="17"/>
  <c r="F466" i="17"/>
  <c r="F158" i="17"/>
  <c r="E113" i="17"/>
  <c r="F206" i="17"/>
  <c r="F288" i="17"/>
  <c r="E262" i="17"/>
  <c r="F393" i="17"/>
  <c r="F287" i="17"/>
  <c r="F108" i="17"/>
  <c r="F88" i="17"/>
  <c r="E67" i="17"/>
  <c r="F44" i="17"/>
  <c r="F24" i="17"/>
  <c r="F128" i="17"/>
  <c r="F174" i="17"/>
  <c r="E235" i="17"/>
  <c r="E129" i="17"/>
  <c r="E209" i="17"/>
  <c r="F238" i="17"/>
  <c r="E116" i="17"/>
  <c r="E210" i="17"/>
  <c r="E304" i="17"/>
  <c r="F414" i="17"/>
  <c r="F113" i="17"/>
  <c r="F221" i="17"/>
  <c r="E329" i="17"/>
  <c r="E394" i="17"/>
  <c r="F464" i="17"/>
  <c r="F558" i="17"/>
  <c r="E463" i="17"/>
  <c r="F13" i="17"/>
  <c r="E99" i="17"/>
  <c r="F76" i="17"/>
  <c r="F56" i="17"/>
  <c r="E35" i="17"/>
  <c r="F110" i="17"/>
  <c r="F150" i="17"/>
  <c r="F192" i="17"/>
  <c r="E111" i="17"/>
  <c r="E153" i="17"/>
  <c r="E277" i="17"/>
  <c r="F286" i="17"/>
  <c r="E162" i="17"/>
  <c r="E244" i="17"/>
  <c r="F368" i="17"/>
  <c r="F371" i="17"/>
  <c r="F159" i="17"/>
  <c r="F285" i="17"/>
  <c r="E413" i="17"/>
  <c r="E480" i="17"/>
  <c r="F551" i="17"/>
  <c r="F15" i="17"/>
  <c r="E557" i="17"/>
  <c r="E169" i="17"/>
  <c r="E178" i="17"/>
  <c r="F370" i="17"/>
  <c r="F177" i="17"/>
  <c r="E415" i="17"/>
  <c r="E482" i="17"/>
  <c r="F559" i="17"/>
  <c r="F399" i="17"/>
  <c r="F61" i="17"/>
  <c r="F93" i="17"/>
  <c r="F605" i="17"/>
  <c r="E556" i="17"/>
  <c r="E511" i="17"/>
  <c r="E425" i="17"/>
  <c r="F445" i="17"/>
  <c r="F95" i="17"/>
  <c r="E602" i="17"/>
  <c r="E590" i="17"/>
  <c r="F523" i="17"/>
  <c r="E529" i="17"/>
  <c r="F488" i="17"/>
  <c r="F444" i="17"/>
  <c r="E504" i="17"/>
  <c r="E462" i="17"/>
  <c r="E418" i="17"/>
  <c r="E376" i="17"/>
  <c r="E334" i="17"/>
  <c r="E393" i="17"/>
  <c r="E351" i="17"/>
  <c r="F309" i="17"/>
  <c r="F265" i="17"/>
  <c r="F223" i="17"/>
  <c r="F181" i="17"/>
  <c r="F137" i="17"/>
  <c r="E299" i="17"/>
  <c r="F375" i="17"/>
  <c r="F331" i="17"/>
  <c r="F392" i="17"/>
  <c r="F350" i="17"/>
  <c r="E306" i="17"/>
  <c r="E264" i="17"/>
  <c r="E228" i="17"/>
  <c r="E196" i="17"/>
  <c r="E164" i="17"/>
  <c r="E132" i="17"/>
  <c r="F304" i="17"/>
  <c r="F272" i="17"/>
  <c r="F240" i="17"/>
  <c r="F208" i="17"/>
  <c r="E245" i="17"/>
  <c r="E187" i="17"/>
  <c r="E155" i="17"/>
  <c r="E137" i="17"/>
  <c r="E121" i="17"/>
  <c r="E271" i="17"/>
  <c r="E239" i="17"/>
  <c r="E207" i="17"/>
  <c r="F184" i="17"/>
  <c r="F168" i="17"/>
  <c r="F152" i="17"/>
  <c r="F136" i="17"/>
  <c r="F120" i="17"/>
  <c r="E15" i="17"/>
  <c r="E23" i="17"/>
  <c r="E31" i="17"/>
  <c r="E39" i="17"/>
  <c r="E47" i="17"/>
  <c r="E55" i="17"/>
  <c r="E63" i="17"/>
  <c r="E71" i="17"/>
  <c r="E79" i="17"/>
  <c r="E87" i="17"/>
  <c r="E95" i="17"/>
  <c r="E103" i="17"/>
  <c r="F626" i="17"/>
  <c r="F105" i="17"/>
  <c r="F603" i="17"/>
  <c r="E542" i="17"/>
  <c r="E505" i="17"/>
  <c r="E423" i="17"/>
  <c r="F437" i="17"/>
  <c r="F107" i="17"/>
  <c r="E600" i="17"/>
  <c r="E582" i="17"/>
  <c r="F521" i="17"/>
  <c r="E527" i="17"/>
  <c r="F484" i="17"/>
  <c r="F442" i="17"/>
  <c r="E502" i="17"/>
  <c r="E458" i="17"/>
  <c r="E416" i="17"/>
  <c r="E374" i="17"/>
  <c r="E330" i="17"/>
  <c r="E391" i="17"/>
  <c r="F104" i="17"/>
  <c r="F92" i="17"/>
  <c r="E83" i="17"/>
  <c r="F72" i="17"/>
  <c r="F60" i="17"/>
  <c r="E51" i="17"/>
  <c r="F40" i="17"/>
  <c r="F28" i="17"/>
  <c r="E19" i="17"/>
  <c r="F118" i="17"/>
  <c r="F142" i="17"/>
  <c r="F160" i="17"/>
  <c r="F182" i="17"/>
  <c r="E219" i="17"/>
  <c r="E255" i="17"/>
  <c r="E119" i="17"/>
  <c r="E143" i="17"/>
  <c r="E171" i="17"/>
  <c r="E241" i="17"/>
  <c r="F222" i="17"/>
  <c r="F256" i="17"/>
  <c r="F302" i="17"/>
  <c r="E146" i="17"/>
  <c r="E180" i="17"/>
  <c r="E226" i="17"/>
  <c r="E282" i="17"/>
  <c r="F328" i="17"/>
  <c r="F390" i="17"/>
  <c r="F351" i="17"/>
  <c r="F395" i="17"/>
  <c r="F135" i="17"/>
  <c r="F199" i="17"/>
  <c r="F245" i="17"/>
  <c r="F305" i="17"/>
  <c r="E369" i="17"/>
  <c r="E352" i="17"/>
  <c r="E438" i="17"/>
  <c r="F420" i="17"/>
  <c r="F506" i="17"/>
  <c r="F543" i="17"/>
  <c r="E94" i="17"/>
  <c r="F479" i="17"/>
  <c r="F557" i="17"/>
  <c r="E92" i="17"/>
  <c r="F100" i="17"/>
  <c r="E91" i="17"/>
  <c r="F80" i="17"/>
  <c r="F68" i="17"/>
  <c r="E59" i="17"/>
  <c r="F48" i="17"/>
  <c r="F36" i="17"/>
  <c r="E27" i="17"/>
  <c r="F16" i="17"/>
  <c r="F126" i="17"/>
  <c r="F144" i="17"/>
  <c r="F166" i="17"/>
  <c r="F190" i="17"/>
  <c r="E223" i="17"/>
  <c r="E267" i="17"/>
  <c r="E127" i="17"/>
  <c r="E145" i="17"/>
  <c r="E185" i="17"/>
  <c r="E273" i="17"/>
  <c r="F224" i="17"/>
  <c r="F270" i="17"/>
  <c r="E114" i="17"/>
  <c r="E148" i="17"/>
  <c r="E194" i="17"/>
  <c r="E242" i="17"/>
  <c r="E286" i="17"/>
  <c r="F346" i="17"/>
  <c r="F410" i="17"/>
  <c r="F353" i="17"/>
  <c r="E297" i="17"/>
  <c r="F157" i="17"/>
  <c r="F201" i="17"/>
  <c r="F263" i="17"/>
  <c r="E327" i="17"/>
  <c r="E373" i="17"/>
  <c r="E354" i="17"/>
  <c r="E440" i="17"/>
  <c r="F424" i="17"/>
  <c r="F508" i="17"/>
  <c r="E546" i="17"/>
  <c r="E78" i="17"/>
  <c r="F485" i="17"/>
  <c r="F561" i="17"/>
  <c r="E76" i="17"/>
  <c r="E626" i="17"/>
  <c r="F106" i="17"/>
  <c r="F102" i="17"/>
  <c r="F98" i="17"/>
  <c r="F94" i="17"/>
  <c r="F90" i="17"/>
  <c r="F86" i="17"/>
  <c r="F82" i="17"/>
  <c r="F78" i="17"/>
  <c r="F74" i="17"/>
  <c r="F70" i="17"/>
  <c r="F66" i="17"/>
  <c r="F62" i="17"/>
  <c r="F58" i="17"/>
  <c r="F54" i="17"/>
  <c r="F50" i="17"/>
  <c r="F46" i="17"/>
  <c r="F42" i="17"/>
  <c r="F38" i="17"/>
  <c r="F34" i="17"/>
  <c r="F30" i="17"/>
  <c r="F26" i="17"/>
  <c r="F22" i="17"/>
  <c r="F18" i="17"/>
  <c r="F14" i="17"/>
  <c r="F114" i="17"/>
  <c r="F122" i="17"/>
  <c r="F130" i="17"/>
  <c r="F138" i="17"/>
  <c r="F146" i="17"/>
  <c r="F154" i="17"/>
  <c r="F162" i="17"/>
  <c r="F170" i="17"/>
  <c r="F178" i="17"/>
  <c r="F186" i="17"/>
  <c r="E195" i="17"/>
  <c r="E211" i="17"/>
  <c r="E227" i="17"/>
  <c r="E243" i="17"/>
  <c r="E259" i="17"/>
  <c r="E275" i="17"/>
  <c r="E115" i="17"/>
  <c r="E123" i="17"/>
  <c r="E131" i="17"/>
  <c r="E139" i="17"/>
  <c r="E147" i="17"/>
  <c r="E161" i="17"/>
  <c r="E177" i="17"/>
  <c r="E193" i="17"/>
  <c r="E225" i="17"/>
  <c r="E257" i="17"/>
  <c r="F198" i="17"/>
  <c r="F214" i="17"/>
  <c r="F230" i="17"/>
  <c r="F246" i="17"/>
  <c r="F262" i="17"/>
  <c r="F278" i="17"/>
  <c r="F294" i="17"/>
  <c r="F310" i="17"/>
  <c r="E122" i="17"/>
  <c r="E138" i="17"/>
  <c r="E154" i="17"/>
  <c r="E170" i="17"/>
  <c r="E186" i="17"/>
  <c r="E202" i="17"/>
  <c r="E218" i="17"/>
  <c r="E234" i="17"/>
  <c r="E250" i="17"/>
  <c r="E272" i="17"/>
  <c r="E294" i="17"/>
  <c r="E314" i="17"/>
  <c r="F336" i="17"/>
  <c r="F358" i="17"/>
  <c r="F378" i="17"/>
  <c r="F400" i="17"/>
  <c r="F319" i="17"/>
  <c r="F339" i="17"/>
  <c r="F361" i="17"/>
  <c r="F383" i="17"/>
  <c r="E285" i="17"/>
  <c r="E307" i="17"/>
  <c r="F125" i="17"/>
  <c r="F145" i="17"/>
  <c r="F167" i="17"/>
  <c r="F189" i="17"/>
  <c r="F209" i="17"/>
  <c r="F231" i="17"/>
  <c r="F253" i="17"/>
  <c r="F273" i="17"/>
  <c r="F295" i="17"/>
  <c r="E317" i="17"/>
  <c r="E337" i="17"/>
  <c r="E359" i="17"/>
  <c r="E381" i="17"/>
  <c r="E401" i="17"/>
  <c r="E320" i="17"/>
  <c r="E342" i="17"/>
  <c r="E362" i="17"/>
  <c r="E384" i="17"/>
  <c r="E406" i="17"/>
  <c r="E426" i="17"/>
  <c r="E448" i="17"/>
  <c r="E470" i="17"/>
  <c r="E490" i="17"/>
  <c r="E512" i="17"/>
  <c r="F432" i="17"/>
  <c r="F452" i="17"/>
  <c r="F474" i="17"/>
  <c r="F496" i="17"/>
  <c r="F516" i="17"/>
  <c r="E537" i="17"/>
  <c r="F575" i="17"/>
  <c r="F531" i="17"/>
  <c r="E562" i="17"/>
  <c r="F548" i="17"/>
  <c r="F576" i="17"/>
  <c r="E599" i="17"/>
  <c r="E46" i="17"/>
  <c r="F63" i="17"/>
  <c r="F415" i="17"/>
  <c r="F461" i="17"/>
  <c r="F501" i="17"/>
  <c r="E441" i="17"/>
  <c r="E487" i="17"/>
  <c r="F526" i="17"/>
  <c r="F593" i="17"/>
  <c r="E588" i="17"/>
  <c r="E579" i="17"/>
  <c r="F602" i="17"/>
  <c r="E44" i="17"/>
  <c r="F17" i="17"/>
  <c r="F33" i="17"/>
  <c r="F49" i="17"/>
  <c r="F65" i="17"/>
  <c r="F81" i="17"/>
  <c r="F97" i="17"/>
  <c r="E16" i="17"/>
  <c r="E32" i="17"/>
  <c r="E48" i="17"/>
  <c r="E64" i="17"/>
  <c r="E80" i="17"/>
  <c r="E96" i="17"/>
  <c r="C633" i="17"/>
  <c r="F606" i="17"/>
  <c r="F598" i="17"/>
  <c r="F609" i="17"/>
  <c r="F601" i="17"/>
  <c r="E593" i="17"/>
  <c r="E585" i="17"/>
  <c r="E577" i="17"/>
  <c r="E569" i="17"/>
  <c r="E561" i="17"/>
  <c r="E553" i="17"/>
  <c r="E545" i="17"/>
  <c r="E584" i="17"/>
  <c r="E568" i="17"/>
  <c r="E552" i="17"/>
  <c r="E540" i="17"/>
  <c r="E532" i="17"/>
  <c r="E524" i="17"/>
  <c r="F585" i="17"/>
  <c r="F569" i="17"/>
  <c r="F553" i="17"/>
  <c r="F540" i="17"/>
  <c r="F532" i="17"/>
  <c r="F524" i="17"/>
  <c r="E517" i="17"/>
  <c r="E509" i="17"/>
  <c r="E501" i="17"/>
  <c r="E493" i="17"/>
  <c r="E485" i="17"/>
  <c r="E477" i="17"/>
  <c r="E469" i="17"/>
  <c r="E461" i="17"/>
  <c r="E453" i="17"/>
  <c r="E445" i="17"/>
  <c r="E437" i="17"/>
  <c r="E429" i="17"/>
  <c r="E421" i="17"/>
  <c r="F515" i="17"/>
  <c r="F507" i="17"/>
  <c r="F499" i="17"/>
  <c r="F491" i="17"/>
  <c r="F483" i="17"/>
  <c r="F475" i="17"/>
  <c r="F467" i="17"/>
  <c r="F459" i="17"/>
  <c r="F451" i="17"/>
  <c r="F443" i="17"/>
  <c r="F435" i="17"/>
  <c r="F427" i="17"/>
  <c r="F419" i="17"/>
  <c r="F411" i="17"/>
  <c r="F403" i="17"/>
  <c r="F19" i="17"/>
  <c r="F35" i="17"/>
  <c r="F51" i="17"/>
  <c r="F67" i="17"/>
  <c r="F83" i="17"/>
  <c r="F99" i="17"/>
  <c r="E18" i="17"/>
  <c r="E34" i="17"/>
  <c r="E50" i="17"/>
  <c r="E66" i="17"/>
  <c r="E82" i="17"/>
  <c r="E98" i="17"/>
  <c r="E611" i="17"/>
  <c r="E603" i="17"/>
  <c r="A623" i="17"/>
  <c r="E606" i="17"/>
  <c r="E598" i="17"/>
  <c r="F590" i="17"/>
  <c r="F582" i="17"/>
  <c r="F574" i="17"/>
  <c r="F566" i="17"/>
  <c r="F21" i="17"/>
  <c r="F37" i="17"/>
  <c r="F53" i="17"/>
  <c r="F69" i="17"/>
  <c r="F85" i="17"/>
  <c r="F101" i="17"/>
  <c r="E20" i="17"/>
  <c r="E36" i="17"/>
  <c r="E52" i="17"/>
  <c r="E68" i="17"/>
  <c r="E84" i="17"/>
  <c r="E100" i="17"/>
  <c r="F612" i="17"/>
  <c r="F604" i="17"/>
  <c r="F596" i="17"/>
  <c r="F607" i="17"/>
  <c r="F599" i="17"/>
  <c r="E591" i="17"/>
  <c r="E583" i="17"/>
  <c r="E575" i="17"/>
  <c r="E567" i="17"/>
  <c r="E559" i="17"/>
  <c r="E551" i="17"/>
  <c r="F595" i="17"/>
  <c r="E580" i="17"/>
  <c r="E564" i="17"/>
  <c r="E548" i="17"/>
  <c r="E538" i="17"/>
  <c r="E530" i="17"/>
  <c r="E522" i="17"/>
  <c r="F581" i="17"/>
  <c r="F565" i="17"/>
  <c r="F549" i="17"/>
  <c r="F538" i="17"/>
  <c r="F530" i="17"/>
  <c r="F522" i="17"/>
  <c r="E515" i="17"/>
  <c r="E507" i="17"/>
  <c r="E499" i="17"/>
  <c r="E491" i="17"/>
  <c r="E483" i="17"/>
  <c r="E475" i="17"/>
  <c r="E467" i="17"/>
  <c r="E459" i="17"/>
  <c r="E451" i="17"/>
  <c r="E443" i="17"/>
  <c r="E435" i="17"/>
  <c r="E427" i="17"/>
  <c r="E419" i="17"/>
  <c r="F513" i="17"/>
  <c r="F505" i="17"/>
  <c r="F497" i="17"/>
  <c r="F489" i="17"/>
  <c r="F481" i="17"/>
  <c r="F473" i="17"/>
  <c r="F465" i="17"/>
  <c r="F457" i="17"/>
  <c r="F449" i="17"/>
  <c r="F441" i="17"/>
  <c r="F433" i="17"/>
  <c r="F425" i="17"/>
  <c r="F417" i="17"/>
  <c r="F409" i="17"/>
  <c r="F401" i="17"/>
  <c r="F23" i="17"/>
  <c r="F39" i="17"/>
  <c r="F55" i="17"/>
  <c r="F71" i="17"/>
  <c r="F87" i="17"/>
  <c r="F103" i="17"/>
  <c r="E22" i="17"/>
  <c r="E38" i="17"/>
  <c r="E54" i="17"/>
  <c r="E70" i="17"/>
  <c r="E86" i="17"/>
  <c r="E102" i="17"/>
  <c r="E609" i="17"/>
  <c r="E601" i="17"/>
  <c r="E612" i="17"/>
  <c r="E604" i="17"/>
  <c r="E596" i="17"/>
  <c r="F588" i="17"/>
  <c r="F580" i="17"/>
  <c r="F572" i="17"/>
  <c r="F564" i="17"/>
  <c r="F25" i="17"/>
  <c r="F57" i="17"/>
  <c r="F89" i="17"/>
  <c r="E24" i="17"/>
  <c r="E56" i="17"/>
  <c r="E88" i="17"/>
  <c r="F610" i="17"/>
  <c r="F613" i="17"/>
  <c r="F597" i="17"/>
  <c r="E581" i="17"/>
  <c r="E565" i="17"/>
  <c r="E549" i="17"/>
  <c r="E576" i="17"/>
  <c r="E544" i="17"/>
  <c r="E528" i="17"/>
  <c r="F577" i="17"/>
  <c r="F545" i="17"/>
  <c r="F528" i="17"/>
  <c r="E513" i="17"/>
  <c r="E497" i="17"/>
  <c r="E481" i="17"/>
  <c r="E465" i="17"/>
  <c r="E449" i="17"/>
  <c r="E433" i="17"/>
  <c r="E520" i="17"/>
  <c r="F503" i="17"/>
  <c r="F487" i="17"/>
  <c r="F471" i="17"/>
  <c r="F455" i="17"/>
  <c r="F439" i="17"/>
  <c r="F423" i="17"/>
  <c r="F407" i="17"/>
  <c r="F27" i="17"/>
  <c r="F59" i="17"/>
  <c r="F91" i="17"/>
  <c r="E26" i="17"/>
  <c r="E58" i="17"/>
  <c r="E90" i="17"/>
  <c r="E607" i="17"/>
  <c r="E610" i="17"/>
  <c r="F594" i="17"/>
  <c r="F578" i="17"/>
  <c r="F562" i="17"/>
  <c r="F554" i="17"/>
  <c r="F546" i="17"/>
  <c r="E586" i="17"/>
  <c r="E570" i="17"/>
  <c r="E554" i="17"/>
  <c r="F541" i="17"/>
  <c r="F533" i="17"/>
  <c r="F525" i="17"/>
  <c r="F587" i="17"/>
  <c r="F571" i="17"/>
  <c r="F555" i="17"/>
  <c r="E541" i="17"/>
  <c r="E533" i="17"/>
  <c r="E525" i="17"/>
  <c r="F518" i="17"/>
  <c r="F510" i="17"/>
  <c r="F502" i="17"/>
  <c r="F494" i="17"/>
  <c r="F486" i="17"/>
  <c r="F478" i="17"/>
  <c r="F470" i="17"/>
  <c r="F462" i="17"/>
  <c r="F454" i="17"/>
  <c r="F446" i="17"/>
  <c r="F438" i="17"/>
  <c r="F430" i="17"/>
  <c r="F422" i="17"/>
  <c r="E516" i="17"/>
  <c r="E508" i="17"/>
  <c r="E500" i="17"/>
  <c r="E492" i="17"/>
  <c r="E484" i="17"/>
  <c r="E476" i="17"/>
  <c r="E468" i="17"/>
  <c r="E460" i="17"/>
  <c r="E452" i="17"/>
  <c r="E444" i="17"/>
  <c r="E436" i="17"/>
  <c r="E428" i="17"/>
  <c r="E420" i="17"/>
  <c r="E412" i="17"/>
  <c r="E404" i="17"/>
  <c r="E396" i="17"/>
  <c r="E388" i="17"/>
  <c r="E380" i="17"/>
  <c r="E372" i="17"/>
  <c r="E364" i="17"/>
  <c r="E356" i="17"/>
  <c r="E348" i="17"/>
  <c r="E340" i="17"/>
  <c r="E332" i="17"/>
  <c r="E324" i="17"/>
  <c r="E316" i="17"/>
  <c r="E411" i="17"/>
  <c r="E403" i="17"/>
  <c r="E395" i="17"/>
  <c r="E387" i="17"/>
  <c r="E379" i="17"/>
  <c r="E371" i="17"/>
  <c r="E363" i="17"/>
  <c r="E355" i="17"/>
  <c r="E347" i="17"/>
  <c r="E339" i="17"/>
  <c r="E331" i="17"/>
  <c r="E323" i="17"/>
  <c r="E315" i="17"/>
  <c r="F307" i="17"/>
  <c r="F299" i="17"/>
  <c r="F291" i="17"/>
  <c r="F283" i="17"/>
  <c r="F275" i="17"/>
  <c r="F267" i="17"/>
  <c r="F259" i="17"/>
  <c r="F251" i="17"/>
  <c r="F243" i="17"/>
  <c r="F235" i="17"/>
  <c r="F227" i="17"/>
  <c r="F219" i="17"/>
  <c r="F211" i="17"/>
  <c r="F203" i="17"/>
  <c r="F195" i="17"/>
  <c r="F187" i="17"/>
  <c r="F179" i="17"/>
  <c r="F171" i="17"/>
  <c r="F163" i="17"/>
  <c r="F155" i="17"/>
  <c r="F147" i="17"/>
  <c r="F139" i="17"/>
  <c r="F131" i="17"/>
  <c r="F123" i="17"/>
  <c r="F115" i="17"/>
  <c r="E311" i="17"/>
  <c r="E303" i="17"/>
  <c r="E295" i="17"/>
  <c r="E287" i="17"/>
  <c r="F397" i="17"/>
  <c r="F389" i="17"/>
  <c r="F381" i="17"/>
  <c r="F373" i="17"/>
  <c r="F365" i="17"/>
  <c r="F357" i="17"/>
  <c r="F349" i="17"/>
  <c r="F341" i="17"/>
  <c r="F333" i="17"/>
  <c r="F325" i="17"/>
  <c r="F317" i="17"/>
  <c r="F412" i="17"/>
  <c r="F404" i="17"/>
  <c r="F396" i="17"/>
  <c r="F388" i="17"/>
  <c r="F380" i="17"/>
  <c r="F372" i="17"/>
  <c r="F364" i="17"/>
  <c r="F356" i="17"/>
  <c r="F348" i="17"/>
  <c r="F340" i="17"/>
  <c r="F332" i="17"/>
  <c r="F324" i="17"/>
  <c r="F316" i="17"/>
  <c r="E308" i="17"/>
  <c r="E300" i="17"/>
  <c r="E292" i="17"/>
  <c r="E284" i="17"/>
  <c r="E276" i="17"/>
  <c r="E268" i="17"/>
  <c r="E260" i="17"/>
  <c r="E252" i="17"/>
  <c r="F29" i="17"/>
  <c r="F73" i="17"/>
  <c r="F109" i="17"/>
  <c r="E60" i="17"/>
  <c r="E104" i="17"/>
  <c r="F600" i="17"/>
  <c r="E595" i="17"/>
  <c r="E573" i="17"/>
  <c r="E555" i="17"/>
  <c r="E572" i="17"/>
  <c r="E536" i="17"/>
  <c r="F589" i="17"/>
  <c r="F542" i="17"/>
  <c r="F520" i="17"/>
  <c r="E503" i="17"/>
  <c r="E479" i="17"/>
  <c r="E457" i="17"/>
  <c r="E439" i="17"/>
  <c r="F517" i="17"/>
  <c r="F495" i="17"/>
  <c r="F477" i="17"/>
  <c r="F453" i="17"/>
  <c r="F431" i="17"/>
  <c r="F413" i="17"/>
  <c r="F31" i="17"/>
  <c r="F75" i="17"/>
  <c r="E14" i="17"/>
  <c r="E62" i="17"/>
  <c r="E106" i="17"/>
  <c r="E597" i="17"/>
  <c r="F592" i="17"/>
  <c r="F570" i="17"/>
  <c r="F556" i="17"/>
  <c r="F544" i="17"/>
  <c r="E578" i="17"/>
  <c r="E558" i="17"/>
  <c r="F539" i="17"/>
  <c r="F529" i="17"/>
  <c r="F591" i="17"/>
  <c r="F567" i="17"/>
  <c r="F547" i="17"/>
  <c r="E535" i="17"/>
  <c r="E523" i="17"/>
  <c r="F514" i="17"/>
  <c r="F504" i="17"/>
  <c r="F492" i="17"/>
  <c r="F482" i="17"/>
  <c r="F472" i="17"/>
  <c r="F460" i="17"/>
  <c r="F450" i="17"/>
  <c r="F440" i="17"/>
  <c r="F428" i="17"/>
  <c r="F418" i="17"/>
  <c r="E510" i="17"/>
  <c r="E498" i="17"/>
  <c r="E488" i="17"/>
  <c r="E478" i="17"/>
  <c r="E466" i="17"/>
  <c r="E456" i="17"/>
  <c r="E446" i="17"/>
  <c r="E434" i="17"/>
  <c r="E424" i="17"/>
  <c r="E414" i="17"/>
  <c r="E402" i="17"/>
  <c r="E392" i="17"/>
  <c r="E382" i="17"/>
  <c r="E370" i="17"/>
  <c r="E360" i="17"/>
  <c r="E350" i="17"/>
  <c r="E338" i="17"/>
  <c r="E328" i="17"/>
  <c r="E318" i="17"/>
  <c r="E409" i="17"/>
  <c r="E399" i="17"/>
  <c r="E389" i="17"/>
  <c r="E377" i="17"/>
  <c r="E367" i="17"/>
  <c r="E357" i="17"/>
  <c r="E345" i="17"/>
  <c r="E335" i="17"/>
  <c r="E325" i="17"/>
  <c r="F313" i="17"/>
  <c r="F303" i="17"/>
  <c r="F293" i="17"/>
  <c r="F281" i="17"/>
  <c r="F271" i="17"/>
  <c r="F261" i="17"/>
  <c r="F249" i="17"/>
  <c r="F239" i="17"/>
  <c r="F229" i="17"/>
  <c r="F217" i="17"/>
  <c r="F207" i="17"/>
  <c r="F197" i="17"/>
  <c r="F185" i="17"/>
  <c r="F175" i="17"/>
  <c r="F165" i="17"/>
  <c r="F153" i="17"/>
  <c r="F143" i="17"/>
  <c r="F133" i="17"/>
  <c r="F121" i="17"/>
  <c r="F111" i="17"/>
  <c r="E305" i="17"/>
  <c r="E293" i="17"/>
  <c r="E283" i="17"/>
  <c r="F391" i="17"/>
  <c r="F379" i="17"/>
  <c r="F369" i="17"/>
  <c r="F359" i="17"/>
  <c r="F347" i="17"/>
  <c r="F337" i="17"/>
  <c r="F327" i="17"/>
  <c r="F315" i="17"/>
  <c r="F408" i="17"/>
  <c r="F398" i="17"/>
  <c r="F386" i="17"/>
  <c r="F376" i="17"/>
  <c r="F366" i="17"/>
  <c r="F354" i="17"/>
  <c r="F344" i="17"/>
  <c r="F334" i="17"/>
  <c r="F322" i="17"/>
  <c r="E312" i="17"/>
  <c r="E302" i="17"/>
  <c r="E290" i="17"/>
  <c r="E280" i="17"/>
  <c r="E270" i="17"/>
  <c r="E258" i="17"/>
  <c r="E248" i="17"/>
  <c r="E240" i="17"/>
  <c r="E232" i="17"/>
  <c r="E224" i="17"/>
  <c r="E216" i="17"/>
  <c r="E208" i="17"/>
  <c r="E200" i="17"/>
  <c r="E192" i="17"/>
  <c r="E184" i="17"/>
  <c r="E176" i="17"/>
  <c r="E168" i="17"/>
  <c r="E160" i="17"/>
  <c r="E152" i="17"/>
  <c r="E144" i="17"/>
  <c r="E136" i="17"/>
  <c r="E128" i="17"/>
  <c r="E120" i="17"/>
  <c r="E112" i="17"/>
  <c r="F308" i="17"/>
  <c r="F300" i="17"/>
  <c r="F292" i="17"/>
  <c r="F284" i="17"/>
  <c r="F276" i="17"/>
  <c r="F268" i="17"/>
  <c r="F260" i="17"/>
  <c r="F252" i="17"/>
  <c r="F244" i="17"/>
  <c r="F236" i="17"/>
  <c r="F228" i="17"/>
  <c r="F220" i="17"/>
  <c r="F212" i="17"/>
  <c r="F204" i="17"/>
  <c r="F196" i="17"/>
  <c r="E269" i="17"/>
  <c r="E253" i="17"/>
  <c r="E237" i="17"/>
  <c r="E221" i="17"/>
  <c r="E205" i="17"/>
  <c r="E191" i="17"/>
  <c r="E183" i="17"/>
  <c r="E175" i="17"/>
  <c r="E167" i="17"/>
  <c r="E159" i="17"/>
  <c r="E151" i="17"/>
  <c r="F41" i="17"/>
  <c r="F77" i="17"/>
  <c r="E28" i="17"/>
  <c r="E72" i="17"/>
  <c r="E108" i="17"/>
  <c r="F611" i="17"/>
  <c r="E589" i="17"/>
  <c r="E571" i="17"/>
  <c r="E547" i="17"/>
  <c r="E560" i="17"/>
  <c r="E534" i="17"/>
  <c r="F573" i="17"/>
  <c r="F536" i="17"/>
  <c r="F519" i="17"/>
  <c r="E495" i="17"/>
  <c r="E473" i="17"/>
  <c r="E455" i="17"/>
  <c r="E431" i="17"/>
  <c r="F511" i="17"/>
  <c r="F493" i="17"/>
  <c r="F469" i="17"/>
  <c r="F447" i="17"/>
  <c r="F429" i="17"/>
  <c r="F405" i="17"/>
  <c r="F43" i="17"/>
  <c r="F79" i="17"/>
  <c r="E30" i="17"/>
  <c r="E74" i="17"/>
  <c r="E613" i="17"/>
  <c r="E608" i="17"/>
  <c r="F586" i="17"/>
  <c r="F568" i="17"/>
  <c r="F552" i="17"/>
  <c r="E594" i="17"/>
  <c r="E574" i="17"/>
  <c r="E550" i="17"/>
  <c r="F537" i="17"/>
  <c r="F527" i="17"/>
  <c r="F583" i="17"/>
  <c r="F563" i="17"/>
  <c r="E543" i="17"/>
  <c r="E531" i="17"/>
  <c r="E521" i="17"/>
  <c r="F512" i="17"/>
  <c r="F500" i="17"/>
  <c r="F490" i="17"/>
  <c r="F480" i="17"/>
  <c r="F468" i="17"/>
  <c r="F458" i="17"/>
  <c r="F448" i="17"/>
  <c r="F436" i="17"/>
  <c r="F426" i="17"/>
  <c r="E518" i="17"/>
  <c r="E506" i="17"/>
  <c r="E496" i="17"/>
  <c r="E486" i="17"/>
  <c r="E474" i="17"/>
  <c r="E464" i="17"/>
  <c r="E454" i="17"/>
  <c r="E442" i="17"/>
  <c r="E432" i="17"/>
  <c r="E422" i="17"/>
  <c r="E410" i="17"/>
  <c r="E400" i="17"/>
  <c r="E390" i="17"/>
  <c r="E378" i="17"/>
  <c r="E368" i="17"/>
  <c r="E358" i="17"/>
  <c r="E346" i="17"/>
  <c r="E336" i="17"/>
  <c r="E326" i="17"/>
  <c r="E417" i="17"/>
  <c r="E407" i="17"/>
  <c r="E397" i="17"/>
  <c r="E385" i="17"/>
  <c r="E375" i="17"/>
  <c r="E365" i="17"/>
  <c r="E353" i="17"/>
  <c r="E343" i="17"/>
  <c r="E333" i="17"/>
  <c r="E321" i="17"/>
  <c r="F311" i="17"/>
  <c r="F301" i="17"/>
  <c r="F289" i="17"/>
  <c r="F279" i="17"/>
  <c r="F269" i="17"/>
  <c r="F257" i="17"/>
  <c r="F247" i="17"/>
  <c r="F237" i="17"/>
  <c r="F225" i="17"/>
  <c r="F215" i="17"/>
  <c r="F205" i="17"/>
  <c r="F193" i="17"/>
  <c r="F183" i="17"/>
  <c r="F173" i="17"/>
  <c r="F161" i="17"/>
  <c r="F151" i="17"/>
  <c r="F141" i="17"/>
  <c r="F129" i="17"/>
  <c r="F119" i="17"/>
  <c r="E313" i="17"/>
  <c r="E301" i="17"/>
  <c r="E291" i="17"/>
  <c r="E281" i="17"/>
  <c r="F387" i="17"/>
  <c r="F377" i="17"/>
  <c r="F367" i="17"/>
  <c r="F355" i="17"/>
  <c r="F345" i="17"/>
  <c r="F335" i="17"/>
  <c r="F323" i="17"/>
  <c r="F416" i="17"/>
  <c r="F406" i="17"/>
  <c r="F394" i="17"/>
  <c r="F384" i="17"/>
  <c r="F374" i="17"/>
  <c r="F362" i="17"/>
  <c r="F352" i="17"/>
  <c r="F342" i="17"/>
  <c r="F330" i="17"/>
  <c r="F320" i="17"/>
  <c r="E310" i="17"/>
  <c r="E298" i="17"/>
  <c r="E288" i="17"/>
  <c r="E278" i="17"/>
  <c r="E266" i="17"/>
  <c r="E256" i="17"/>
  <c r="E246" i="17"/>
  <c r="E238" i="17"/>
  <c r="E230" i="17"/>
  <c r="E222" i="17"/>
  <c r="E214" i="17"/>
  <c r="E206" i="17"/>
  <c r="E198" i="17"/>
  <c r="E190" i="17"/>
  <c r="E182" i="17"/>
  <c r="E174" i="17"/>
  <c r="E166" i="17"/>
  <c r="E158" i="17"/>
  <c r="E150" i="17"/>
  <c r="E142" i="17"/>
  <c r="E134" i="17"/>
  <c r="E126" i="17"/>
  <c r="E118" i="17"/>
  <c r="F314" i="17"/>
  <c r="F306" i="17"/>
  <c r="F298" i="17"/>
  <c r="F290" i="17"/>
  <c r="F282" i="17"/>
  <c r="F274" i="17"/>
  <c r="F266" i="17"/>
  <c r="F258" i="17"/>
  <c r="F250" i="17"/>
  <c r="F242" i="17"/>
  <c r="F234" i="17"/>
  <c r="F226" i="17"/>
  <c r="F218" i="17"/>
  <c r="F210" i="17"/>
  <c r="F202" i="17"/>
  <c r="F194" i="17"/>
  <c r="E265" i="17"/>
  <c r="E249" i="17"/>
  <c r="E233" i="17"/>
  <c r="E217" i="17"/>
  <c r="E201" i="17"/>
  <c r="E189" i="17"/>
  <c r="E181" i="17"/>
  <c r="E173" i="17"/>
  <c r="E165" i="17"/>
  <c r="E157" i="17"/>
  <c r="E109" i="17"/>
  <c r="E105" i="17"/>
  <c r="E101" i="17"/>
  <c r="E97" i="17"/>
  <c r="E93" i="17"/>
  <c r="E89" i="17"/>
  <c r="E85" i="17"/>
  <c r="E81" i="17"/>
  <c r="E77" i="17"/>
  <c r="E73" i="17"/>
  <c r="E69" i="17"/>
  <c r="E65" i="17"/>
  <c r="E61" i="17"/>
  <c r="E57" i="17"/>
  <c r="E53" i="17"/>
  <c r="E49" i="17"/>
  <c r="E45" i="17"/>
  <c r="E41" i="17"/>
  <c r="E37" i="17"/>
  <c r="E33" i="17"/>
  <c r="E29" i="17"/>
  <c r="E25" i="17"/>
  <c r="E21" i="17"/>
  <c r="E17" i="17"/>
  <c r="E13" i="17"/>
  <c r="F116" i="17"/>
  <c r="F124" i="17"/>
  <c r="F132" i="17"/>
  <c r="F140" i="17"/>
  <c r="F148" i="17"/>
  <c r="F156" i="17"/>
  <c r="F164" i="17"/>
  <c r="F172" i="17"/>
  <c r="F180" i="17"/>
  <c r="F188" i="17"/>
  <c r="E199" i="17"/>
  <c r="E215" i="17"/>
  <c r="E231" i="17"/>
  <c r="E247" i="17"/>
  <c r="E263" i="17"/>
  <c r="E279" i="17"/>
  <c r="E117" i="17"/>
  <c r="E125" i="17"/>
  <c r="E133" i="17"/>
  <c r="E141" i="17"/>
  <c r="E149" i="17"/>
  <c r="E163" i="17"/>
  <c r="E179" i="17"/>
  <c r="E197" i="17"/>
  <c r="E229" i="17"/>
  <c r="E261" i="17"/>
  <c r="F200" i="17"/>
  <c r="F216" i="17"/>
  <c r="F232" i="17"/>
  <c r="F248" i="17"/>
  <c r="F264" i="17"/>
  <c r="F280" i="17"/>
  <c r="F296" i="17"/>
  <c r="F312" i="17"/>
  <c r="E124" i="17"/>
  <c r="E140" i="17"/>
  <c r="E156" i="17"/>
  <c r="E172" i="17"/>
  <c r="E188" i="17"/>
  <c r="E204" i="17"/>
  <c r="E220" i="17"/>
  <c r="E236" i="17"/>
  <c r="E254" i="17"/>
  <c r="E274" i="17"/>
  <c r="E296" i="17"/>
  <c r="F318" i="17"/>
  <c r="F338" i="17"/>
  <c r="F360" i="17"/>
  <c r="F382" i="17"/>
  <c r="F402" i="17"/>
  <c r="F321" i="17"/>
  <c r="F343" i="17"/>
  <c r="F363" i="17"/>
  <c r="F385" i="17"/>
  <c r="E289" i="17"/>
  <c r="E309" i="17"/>
  <c r="F127" i="17"/>
  <c r="F149" i="17"/>
  <c r="F169" i="17"/>
  <c r="F191" i="17"/>
  <c r="F213" i="17"/>
  <c r="F233" i="17"/>
  <c r="F255" i="17"/>
  <c r="F277" i="17"/>
  <c r="F297" i="17"/>
  <c r="E319" i="17"/>
  <c r="E341" i="17"/>
  <c r="E361" i="17"/>
  <c r="E383" i="17"/>
  <c r="E405" i="17"/>
  <c r="E322" i="17"/>
  <c r="E344" i="17"/>
  <c r="E366" i="17"/>
  <c r="E386" i="17"/>
  <c r="E408" i="17"/>
  <c r="E430" i="17"/>
  <c r="E450" i="17"/>
  <c r="E472" i="17"/>
  <c r="E494" i="17"/>
  <c r="E514" i="17"/>
  <c r="F434" i="17"/>
  <c r="F456" i="17"/>
  <c r="F476" i="17"/>
  <c r="F498" i="17"/>
  <c r="E519" i="17"/>
  <c r="E539" i="17"/>
  <c r="F579" i="17"/>
  <c r="F535" i="17"/>
  <c r="E566" i="17"/>
  <c r="F550" i="17"/>
  <c r="F584" i="17"/>
  <c r="E605" i="17"/>
  <c r="E42" i="17"/>
  <c r="F47" i="17"/>
  <c r="F421" i="17"/>
  <c r="F463" i="17"/>
  <c r="F509" i="17"/>
  <c r="E447" i="17"/>
  <c r="E489" i="17"/>
  <c r="F534" i="17"/>
  <c r="E526" i="17"/>
  <c r="E592" i="17"/>
  <c r="E587" i="17"/>
  <c r="F608" i="17"/>
  <c r="E40" i="17"/>
  <c r="F45" i="17"/>
  <c r="B211" i="2"/>
  <c r="B170" i="2"/>
  <c r="AS88" i="21"/>
  <c r="AS36" i="21"/>
  <c r="AS54" i="21"/>
  <c r="AS22" i="21"/>
  <c r="AS72" i="21"/>
  <c r="AS61" i="21"/>
  <c r="AS68" i="21"/>
  <c r="AS19" i="21"/>
  <c r="AS20" i="21"/>
  <c r="AS46" i="21"/>
  <c r="AS97" i="21"/>
  <c r="AS105" i="21"/>
  <c r="AS74" i="21"/>
  <c r="AS86" i="21"/>
  <c r="AS35" i="21"/>
  <c r="AS34" i="21"/>
  <c r="AS81" i="21"/>
  <c r="AS64" i="21"/>
  <c r="AS31" i="21"/>
  <c r="AS41" i="21"/>
  <c r="AS25" i="21"/>
  <c r="AS12" i="21"/>
  <c r="AS32" i="21"/>
  <c r="AS94" i="21"/>
  <c r="AS102" i="21"/>
  <c r="AS70" i="21"/>
  <c r="AS84" i="21"/>
  <c r="AS49" i="21"/>
  <c r="AS27" i="21"/>
  <c r="AS47" i="21"/>
  <c r="AS28" i="21"/>
  <c r="AS87" i="21"/>
  <c r="AS77" i="21"/>
  <c r="AS67" i="21"/>
  <c r="AS63" i="21"/>
  <c r="AS58" i="21"/>
  <c r="AS30" i="21"/>
  <c r="AS52" i="21"/>
  <c r="AS37" i="21"/>
  <c r="AS23" i="21"/>
  <c r="AS15" i="21"/>
  <c r="AS11" i="21"/>
  <c r="AS17" i="21"/>
  <c r="AS42" i="21"/>
  <c r="AS91" i="21"/>
  <c r="AS95" i="21"/>
  <c r="AS99" i="21"/>
  <c r="AS103" i="21"/>
  <c r="AS107" i="21"/>
  <c r="AS71" i="21"/>
  <c r="AS78" i="21"/>
  <c r="AS80" i="21"/>
  <c r="AS39" i="21"/>
  <c r="AS83" i="21"/>
  <c r="AS65" i="21"/>
  <c r="AS38" i="21"/>
  <c r="AS45" i="21"/>
  <c r="AS29" i="21"/>
  <c r="AS13" i="21"/>
  <c r="AS59" i="21"/>
  <c r="AS93" i="21"/>
  <c r="AS101" i="21"/>
  <c r="AS109" i="21"/>
  <c r="AS55" i="21"/>
  <c r="AS50" i="21"/>
  <c r="AS89" i="21"/>
  <c r="AS69" i="21"/>
  <c r="AS60" i="21"/>
  <c r="AS56" i="21"/>
  <c r="AS16" i="21"/>
  <c r="AS18" i="21"/>
  <c r="AS51" i="21"/>
  <c r="AS98" i="21"/>
  <c r="AS106" i="21"/>
  <c r="AS76" i="21"/>
  <c r="AS90" i="21"/>
  <c r="AS82" i="21"/>
  <c r="AS40" i="21"/>
  <c r="AS57" i="21"/>
  <c r="AS43" i="21"/>
  <c r="AS26" i="21"/>
  <c r="AS85" i="21"/>
  <c r="AS75" i="21"/>
  <c r="AS66" i="21"/>
  <c r="AS62" i="21"/>
  <c r="AS53" i="21"/>
  <c r="AS24" i="21"/>
  <c r="AS48" i="21"/>
  <c r="AS33" i="21"/>
  <c r="AS21" i="21"/>
  <c r="AS14" i="21"/>
  <c r="AS9" i="21"/>
  <c r="AS10" i="21"/>
  <c r="AS44" i="21"/>
  <c r="AS92" i="21"/>
  <c r="AS96" i="21"/>
  <c r="AS100" i="21"/>
  <c r="AS104" i="21"/>
  <c r="AS108" i="21"/>
  <c r="AS73" i="21"/>
  <c r="AS79" i="21"/>
  <c r="F6" i="17"/>
  <c r="B276" i="2"/>
  <c r="B275" i="2"/>
  <c r="B277" i="2"/>
  <c r="B16" i="6"/>
  <c r="B17" i="6"/>
  <c r="B154" i="2" l="1"/>
  <c r="E66" i="1"/>
  <c r="B162" i="2"/>
  <c r="E623" i="17"/>
  <c r="P623" i="17"/>
  <c r="O623" i="17"/>
  <c r="B265" i="2"/>
  <c r="Q6" i="17"/>
  <c r="B135" i="2"/>
  <c r="S51" i="21"/>
  <c r="S83" i="21"/>
  <c r="P31" i="21"/>
  <c r="Q31" i="21" s="1"/>
  <c r="AE31" i="21" s="1"/>
  <c r="O31" i="21"/>
  <c r="P39" i="21"/>
  <c r="Q39" i="21" s="1"/>
  <c r="AE39" i="21" s="1"/>
  <c r="O39" i="21"/>
  <c r="AF16" i="21"/>
  <c r="P16" i="21"/>
  <c r="Q16" i="21" s="1"/>
  <c r="AE16" i="21" s="1"/>
  <c r="O16" i="21"/>
  <c r="AF17" i="21"/>
  <c r="O17" i="21"/>
  <c r="P17" i="21"/>
  <c r="Q17" i="21" s="1"/>
  <c r="AE17" i="21" s="1"/>
  <c r="AF109" i="21"/>
  <c r="O109" i="21"/>
  <c r="P109" i="21"/>
  <c r="Q109" i="21" s="1"/>
  <c r="AE109" i="21" s="1"/>
  <c r="O105" i="21"/>
  <c r="P105" i="21"/>
  <c r="Q105" i="21" s="1"/>
  <c r="AE105" i="21" s="1"/>
  <c r="O43" i="21"/>
  <c r="P43" i="21"/>
  <c r="Q43" i="21" s="1"/>
  <c r="AE43" i="21" s="1"/>
  <c r="P38" i="21"/>
  <c r="Q38" i="21" s="1"/>
  <c r="AE38" i="21" s="1"/>
  <c r="O38" i="21"/>
  <c r="O108" i="21"/>
  <c r="P108" i="21"/>
  <c r="Q108" i="21" s="1"/>
  <c r="AE108" i="21" s="1"/>
  <c r="P77" i="21"/>
  <c r="Q77" i="21" s="1"/>
  <c r="AE77" i="21" s="1"/>
  <c r="O77" i="21"/>
  <c r="AF103" i="21"/>
  <c r="P103" i="21"/>
  <c r="Q103" i="21" s="1"/>
  <c r="AE103" i="21" s="1"/>
  <c r="O103" i="21"/>
  <c r="P14" i="21"/>
  <c r="Q14" i="21" s="1"/>
  <c r="AE14" i="21" s="1"/>
  <c r="O14" i="21"/>
  <c r="O49" i="21"/>
  <c r="P49" i="21"/>
  <c r="Q49" i="21" s="1"/>
  <c r="AE49" i="21" s="1"/>
  <c r="P47" i="21"/>
  <c r="Q47" i="21" s="1"/>
  <c r="AE47" i="21" s="1"/>
  <c r="O47" i="21"/>
  <c r="AF102" i="21"/>
  <c r="P102" i="21"/>
  <c r="Q102" i="21" s="1"/>
  <c r="AE102" i="21" s="1"/>
  <c r="O102" i="21"/>
  <c r="AF82" i="21"/>
  <c r="O82" i="21"/>
  <c r="P82" i="21"/>
  <c r="Q82" i="21" s="1"/>
  <c r="AE82" i="21" s="1"/>
  <c r="AF80" i="21"/>
  <c r="P80" i="21"/>
  <c r="Q80" i="21" s="1"/>
  <c r="AE80" i="21" s="1"/>
  <c r="O80" i="21"/>
  <c r="O37" i="21"/>
  <c r="P37" i="21"/>
  <c r="Q37" i="21" s="1"/>
  <c r="AE37" i="21" s="1"/>
  <c r="P22" i="21"/>
  <c r="Q22" i="21" s="1"/>
  <c r="AE22" i="21" s="1"/>
  <c r="O22" i="21"/>
  <c r="P26" i="21"/>
  <c r="Q26" i="21" s="1"/>
  <c r="AE26" i="21" s="1"/>
  <c r="O26" i="21"/>
  <c r="AF46" i="21"/>
  <c r="P46" i="21"/>
  <c r="Q46" i="21" s="1"/>
  <c r="AE46" i="21" s="1"/>
  <c r="O46" i="21"/>
  <c r="O76" i="21"/>
  <c r="P76" i="21"/>
  <c r="Q76" i="21" s="1"/>
  <c r="AE76" i="21" s="1"/>
  <c r="P18" i="21"/>
  <c r="Q18" i="21" s="1"/>
  <c r="AE18" i="21" s="1"/>
  <c r="O18" i="21"/>
  <c r="O75" i="21"/>
  <c r="P75" i="21"/>
  <c r="Q75" i="21" s="1"/>
  <c r="AE75" i="21" s="1"/>
  <c r="B75" i="21"/>
  <c r="B76" i="21" s="1"/>
  <c r="AN86" i="21"/>
  <c r="BE86" i="21" s="1"/>
  <c r="S86" i="21"/>
  <c r="AN101" i="21"/>
  <c r="BE101" i="21" s="1"/>
  <c r="S101" i="21"/>
  <c r="AN50" i="21"/>
  <c r="BE50" i="21" s="1"/>
  <c r="S50" i="21"/>
  <c r="AN57" i="21"/>
  <c r="BE57" i="21" s="1"/>
  <c r="S57" i="21"/>
  <c r="AN52" i="21"/>
  <c r="BE52" i="21" s="1"/>
  <c r="S52" i="21"/>
  <c r="AN66" i="21"/>
  <c r="BE66" i="21" s="1"/>
  <c r="S66" i="21"/>
  <c r="AN59" i="21"/>
  <c r="BE59" i="21" s="1"/>
  <c r="S59" i="21"/>
  <c r="AN54" i="21"/>
  <c r="BE54" i="21" s="1"/>
  <c r="S54" i="21"/>
  <c r="AN58" i="21"/>
  <c r="BE58" i="21" s="1"/>
  <c r="S58" i="21"/>
  <c r="AN42" i="21"/>
  <c r="BE42" i="21" s="1"/>
  <c r="S42" i="21"/>
  <c r="AN23" i="21"/>
  <c r="BE23" i="21" s="1"/>
  <c r="S23" i="21"/>
  <c r="AN44" i="21"/>
  <c r="BE44" i="21" s="1"/>
  <c r="S44" i="21"/>
  <c r="AN99" i="21"/>
  <c r="BE99" i="21" s="1"/>
  <c r="S99" i="21"/>
  <c r="AN96" i="21"/>
  <c r="BE96" i="21" s="1"/>
  <c r="S96" i="21"/>
  <c r="AN94" i="21"/>
  <c r="BE94" i="21" s="1"/>
  <c r="S94" i="21"/>
  <c r="AN62" i="21"/>
  <c r="BE62" i="21" s="1"/>
  <c r="S62" i="21"/>
  <c r="AN72" i="21"/>
  <c r="BE72" i="21" s="1"/>
  <c r="S72" i="21"/>
  <c r="AN87" i="21"/>
  <c r="BE87" i="21" s="1"/>
  <c r="S87" i="21"/>
  <c r="AN93" i="21"/>
  <c r="BE93" i="21" s="1"/>
  <c r="S93" i="21"/>
  <c r="AN48" i="21"/>
  <c r="BE48" i="21" s="1"/>
  <c r="S48" i="21"/>
  <c r="AN97" i="21"/>
  <c r="BE97" i="21" s="1"/>
  <c r="S97" i="21"/>
  <c r="AN30" i="21"/>
  <c r="BE30" i="21" s="1"/>
  <c r="S30" i="21"/>
  <c r="AN61" i="21"/>
  <c r="BE61" i="21" s="1"/>
  <c r="S61" i="21"/>
  <c r="AN71" i="21"/>
  <c r="BE71" i="21" s="1"/>
  <c r="S71" i="21"/>
  <c r="AN81" i="21"/>
  <c r="BE81" i="21" s="1"/>
  <c r="S81" i="21"/>
  <c r="AN79" i="21"/>
  <c r="BE79" i="21" s="1"/>
  <c r="S79" i="21"/>
  <c r="AN11" i="21"/>
  <c r="BE11" i="21" s="1"/>
  <c r="S11" i="21"/>
  <c r="AN40" i="21"/>
  <c r="BE40" i="21" s="1"/>
  <c r="S40" i="21"/>
  <c r="AN100" i="21"/>
  <c r="BE100" i="21" s="1"/>
  <c r="S100" i="21"/>
  <c r="AN69" i="21"/>
  <c r="BE69" i="21" s="1"/>
  <c r="S69" i="21"/>
  <c r="AN56" i="21"/>
  <c r="BE56" i="21" s="1"/>
  <c r="S56" i="21"/>
  <c r="AN24" i="21"/>
  <c r="BE24" i="21" s="1"/>
  <c r="S24" i="21"/>
  <c r="AN106" i="21"/>
  <c r="BE106" i="21" s="1"/>
  <c r="S106" i="21"/>
  <c r="AN107" i="21"/>
  <c r="BE107" i="21" s="1"/>
  <c r="S107" i="21"/>
  <c r="AN53" i="21"/>
  <c r="BE53" i="21" s="1"/>
  <c r="S53" i="21"/>
  <c r="AN19" i="21"/>
  <c r="BE19" i="21" s="1"/>
  <c r="S19" i="21"/>
  <c r="AN55" i="21"/>
  <c r="BE55" i="21" s="1"/>
  <c r="S55" i="21"/>
  <c r="AN27" i="21"/>
  <c r="BE27" i="21" s="1"/>
  <c r="S27" i="21"/>
  <c r="AN95" i="21"/>
  <c r="BE95" i="21" s="1"/>
  <c r="S95" i="21"/>
  <c r="AN92" i="21"/>
  <c r="BE92" i="21" s="1"/>
  <c r="S92" i="21"/>
  <c r="AN21" i="21"/>
  <c r="BE21" i="21" s="1"/>
  <c r="S21" i="21"/>
  <c r="AN91" i="21"/>
  <c r="BE91" i="21" s="1"/>
  <c r="S91" i="21"/>
  <c r="AN29" i="21"/>
  <c r="BE29" i="21" s="1"/>
  <c r="S29" i="21"/>
  <c r="AN12" i="21"/>
  <c r="BE12" i="21" s="1"/>
  <c r="S12" i="21"/>
  <c r="AN25" i="21"/>
  <c r="BE25" i="21" s="1"/>
  <c r="S25" i="21"/>
  <c r="AN84" i="21"/>
  <c r="BE84" i="21" s="1"/>
  <c r="S84" i="21"/>
  <c r="AN20" i="21"/>
  <c r="BE20" i="21" s="1"/>
  <c r="S20" i="21"/>
  <c r="AN90" i="21"/>
  <c r="BE90" i="21" s="1"/>
  <c r="S90" i="21"/>
  <c r="AN15" i="21"/>
  <c r="BE15" i="21" s="1"/>
  <c r="S15" i="21"/>
  <c r="AN33" i="21"/>
  <c r="BE33" i="21" s="1"/>
  <c r="S33" i="21"/>
  <c r="AN88" i="21"/>
  <c r="BE88" i="21" s="1"/>
  <c r="S88" i="21"/>
  <c r="AN70" i="21"/>
  <c r="BE70" i="21" s="1"/>
  <c r="S70" i="21"/>
  <c r="AN45" i="21"/>
  <c r="BE45" i="21" s="1"/>
  <c r="S45" i="21"/>
  <c r="AN13" i="21"/>
  <c r="BE13" i="21" s="1"/>
  <c r="S13" i="21"/>
  <c r="AN78" i="21"/>
  <c r="BE78" i="21" s="1"/>
  <c r="S78" i="21"/>
  <c r="AN34" i="21"/>
  <c r="BE34" i="21" s="1"/>
  <c r="S34" i="21"/>
  <c r="AN63" i="21"/>
  <c r="BE63" i="21" s="1"/>
  <c r="S63" i="21"/>
  <c r="AN85" i="21"/>
  <c r="BE85" i="21" s="1"/>
  <c r="S85" i="21"/>
  <c r="AN89" i="21"/>
  <c r="BE89" i="21" s="1"/>
  <c r="S89" i="21"/>
  <c r="AN104" i="21"/>
  <c r="BE104" i="21" s="1"/>
  <c r="S104" i="21"/>
  <c r="AN41" i="21"/>
  <c r="BE41" i="21" s="1"/>
  <c r="S41" i="21"/>
  <c r="AN68" i="21"/>
  <c r="BE68" i="21" s="1"/>
  <c r="S68" i="21"/>
  <c r="AN36" i="21"/>
  <c r="BE36" i="21" s="1"/>
  <c r="S36" i="21"/>
  <c r="AN10" i="21"/>
  <c r="BE10" i="21" s="1"/>
  <c r="S10" i="21"/>
  <c r="AN98" i="21"/>
  <c r="BE98" i="21" s="1"/>
  <c r="S98" i="21"/>
  <c r="AN28" i="21"/>
  <c r="BE28" i="21" s="1"/>
  <c r="S28" i="21"/>
  <c r="AN74" i="21"/>
  <c r="BE74" i="21" s="1"/>
  <c r="S74" i="21"/>
  <c r="AN65" i="21"/>
  <c r="BE65" i="21" s="1"/>
  <c r="S65" i="21"/>
  <c r="AN73" i="21"/>
  <c r="BE73" i="21" s="1"/>
  <c r="S73" i="21"/>
  <c r="AN60" i="21"/>
  <c r="BE60" i="21" s="1"/>
  <c r="S60" i="21"/>
  <c r="AN32" i="21"/>
  <c r="BE32" i="21" s="1"/>
  <c r="S32" i="21"/>
  <c r="AN35" i="21"/>
  <c r="BE35" i="21" s="1"/>
  <c r="S35" i="21"/>
  <c r="AN67" i="21"/>
  <c r="BE67" i="21" s="1"/>
  <c r="S67" i="21"/>
  <c r="AN64" i="21"/>
  <c r="BE64" i="21" s="1"/>
  <c r="S64" i="21"/>
  <c r="AH76" i="21"/>
  <c r="AF76" i="21"/>
  <c r="AB18" i="21"/>
  <c r="AF18" i="21"/>
  <c r="AB75" i="21"/>
  <c r="AF75" i="21"/>
  <c r="Y39" i="21"/>
  <c r="AF39" i="21"/>
  <c r="Y105" i="21"/>
  <c r="AF105" i="21"/>
  <c r="AB37" i="21"/>
  <c r="AF37" i="21"/>
  <c r="AB43" i="21"/>
  <c r="AF43" i="21"/>
  <c r="Y14" i="21"/>
  <c r="AF14" i="21"/>
  <c r="AH49" i="21"/>
  <c r="AF49" i="21"/>
  <c r="AH47" i="21"/>
  <c r="AF47" i="21"/>
  <c r="AH31" i="21"/>
  <c r="AF31" i="21"/>
  <c r="AH38" i="21"/>
  <c r="AF38" i="21"/>
  <c r="AH22" i="21"/>
  <c r="AF22" i="21"/>
  <c r="AH108" i="21"/>
  <c r="AF108" i="21"/>
  <c r="AH77" i="21"/>
  <c r="AF77" i="21"/>
  <c r="AB26" i="21"/>
  <c r="AF26" i="21"/>
  <c r="AH75" i="21"/>
  <c r="Y75" i="21"/>
  <c r="V103" i="21"/>
  <c r="AJ103" i="21"/>
  <c r="R103" i="21"/>
  <c r="V46" i="21"/>
  <c r="AJ46" i="21"/>
  <c r="R46" i="21"/>
  <c r="V16" i="21"/>
  <c r="R16" i="21"/>
  <c r="AJ16" i="21"/>
  <c r="V17" i="21"/>
  <c r="R17" i="21"/>
  <c r="AJ17" i="21"/>
  <c r="V109" i="21"/>
  <c r="AJ109" i="21"/>
  <c r="R109" i="21"/>
  <c r="V102" i="21"/>
  <c r="R102" i="21"/>
  <c r="AJ102" i="21"/>
  <c r="V82" i="21"/>
  <c r="R82" i="21"/>
  <c r="AJ82" i="21"/>
  <c r="Y16" i="21"/>
  <c r="Y49" i="21"/>
  <c r="AH17" i="21"/>
  <c r="AB76" i="21"/>
  <c r="Y109" i="21"/>
  <c r="Y26" i="21"/>
  <c r="AH14" i="21"/>
  <c r="AB102" i="21"/>
  <c r="AH18" i="21"/>
  <c r="Y38" i="21"/>
  <c r="AB105" i="21"/>
  <c r="Y22" i="21"/>
  <c r="Y43" i="21"/>
  <c r="V31" i="21"/>
  <c r="R31" i="21"/>
  <c r="AJ31" i="21"/>
  <c r="V39" i="21"/>
  <c r="R39" i="21"/>
  <c r="AJ39" i="21"/>
  <c r="Y46" i="21"/>
  <c r="V80" i="21"/>
  <c r="R80" i="21"/>
  <c r="AJ80" i="21"/>
  <c r="Y103" i="21"/>
  <c r="AB16" i="21"/>
  <c r="Y76" i="21"/>
  <c r="AH109" i="21"/>
  <c r="AB31" i="21"/>
  <c r="AH39" i="21"/>
  <c r="AH102" i="21"/>
  <c r="Y82" i="21"/>
  <c r="Y80" i="21"/>
  <c r="AH43" i="21"/>
  <c r="AB46" i="21"/>
  <c r="V22" i="21"/>
  <c r="AJ22" i="21"/>
  <c r="R22" i="21"/>
  <c r="V108" i="21"/>
  <c r="R108" i="21"/>
  <c r="AJ108" i="21"/>
  <c r="V77" i="21"/>
  <c r="R77" i="21"/>
  <c r="AJ77" i="21"/>
  <c r="V26" i="21"/>
  <c r="R26" i="21"/>
  <c r="AJ26" i="21"/>
  <c r="AB103" i="21"/>
  <c r="AH16" i="21"/>
  <c r="AB17" i="21"/>
  <c r="AB77" i="21"/>
  <c r="AH26" i="21"/>
  <c r="V47" i="21"/>
  <c r="AJ47" i="21"/>
  <c r="R47" i="21"/>
  <c r="V105" i="21"/>
  <c r="R105" i="21"/>
  <c r="AJ105" i="21"/>
  <c r="AB39" i="21"/>
  <c r="V37" i="21"/>
  <c r="AJ37" i="21"/>
  <c r="R37" i="21"/>
  <c r="AB82" i="21"/>
  <c r="Y47" i="21"/>
  <c r="AB80" i="21"/>
  <c r="AH105" i="21"/>
  <c r="AB108" i="21"/>
  <c r="Y37" i="21"/>
  <c r="V75" i="21"/>
  <c r="AJ75" i="21"/>
  <c r="R75" i="21"/>
  <c r="V38" i="21"/>
  <c r="AJ38" i="21"/>
  <c r="R38" i="21"/>
  <c r="AH46" i="21"/>
  <c r="V14" i="21"/>
  <c r="R14" i="21"/>
  <c r="AJ14" i="21"/>
  <c r="V49" i="21"/>
  <c r="R49" i="21"/>
  <c r="AJ49" i="21"/>
  <c r="V76" i="21"/>
  <c r="R76" i="21"/>
  <c r="AJ76" i="21"/>
  <c r="V18" i="21"/>
  <c r="AJ18" i="21"/>
  <c r="R18" i="21"/>
  <c r="AH103" i="21"/>
  <c r="AB49" i="21"/>
  <c r="Y17" i="21"/>
  <c r="AB109" i="21"/>
  <c r="Y77" i="21"/>
  <c r="AB14" i="21"/>
  <c r="Y31" i="21"/>
  <c r="Y102" i="21"/>
  <c r="AH82" i="21"/>
  <c r="Y18" i="21"/>
  <c r="AB38" i="21"/>
  <c r="AB47" i="21"/>
  <c r="AH80" i="21"/>
  <c r="AB22" i="21"/>
  <c r="Y108" i="21"/>
  <c r="AH37" i="21"/>
  <c r="V43" i="21"/>
  <c r="AJ43" i="21"/>
  <c r="R43" i="21"/>
  <c r="F623" i="17"/>
  <c r="B90" i="2"/>
  <c r="B107" i="2"/>
  <c r="B105" i="2"/>
  <c r="E20" i="1" s="1"/>
  <c r="B368" i="2"/>
  <c r="B369" i="2" s="1"/>
  <c r="A418" i="2" l="1"/>
  <c r="E67" i="1"/>
  <c r="C52" i="16"/>
  <c r="D52" i="16" s="1"/>
  <c r="B138" i="2"/>
  <c r="E48" i="1" s="1"/>
  <c r="Q4" i="17"/>
  <c r="Q623" i="17" s="1"/>
  <c r="AN49" i="21"/>
  <c r="BE49" i="21" s="1"/>
  <c r="S49" i="21"/>
  <c r="AN18" i="21"/>
  <c r="BE18" i="21" s="1"/>
  <c r="S18" i="21"/>
  <c r="AN80" i="21"/>
  <c r="BE80" i="21" s="1"/>
  <c r="S80" i="21"/>
  <c r="AN17" i="21"/>
  <c r="BE17" i="21" s="1"/>
  <c r="S17" i="21"/>
  <c r="AN43" i="21"/>
  <c r="BE43" i="21" s="1"/>
  <c r="S43" i="21"/>
  <c r="AN38" i="21"/>
  <c r="BE38" i="21" s="1"/>
  <c r="S38" i="21"/>
  <c r="AN37" i="21"/>
  <c r="BE37" i="21" s="1"/>
  <c r="S37" i="21"/>
  <c r="AN26" i="21"/>
  <c r="BE26" i="21" s="1"/>
  <c r="S26" i="21"/>
  <c r="AN22" i="21"/>
  <c r="BE22" i="21" s="1"/>
  <c r="S22" i="21"/>
  <c r="AN46" i="21"/>
  <c r="BE46" i="21" s="1"/>
  <c r="S46" i="21"/>
  <c r="AN108" i="21"/>
  <c r="BE108" i="21" s="1"/>
  <c r="S108" i="21"/>
  <c r="AN31" i="21"/>
  <c r="BE31" i="21" s="1"/>
  <c r="S31" i="21"/>
  <c r="AN82" i="21"/>
  <c r="BE82" i="21" s="1"/>
  <c r="S82" i="21"/>
  <c r="AN16" i="21"/>
  <c r="BE16" i="21" s="1"/>
  <c r="S16" i="21"/>
  <c r="AN76" i="21"/>
  <c r="BE76" i="21" s="1"/>
  <c r="S76" i="21"/>
  <c r="AN75" i="21"/>
  <c r="BE75" i="21" s="1"/>
  <c r="S75" i="21"/>
  <c r="AN47" i="21"/>
  <c r="BE47" i="21" s="1"/>
  <c r="S47" i="21"/>
  <c r="U47" i="21" s="1"/>
  <c r="AN77" i="21"/>
  <c r="BE77" i="21" s="1"/>
  <c r="S77" i="21"/>
  <c r="AN39" i="21"/>
  <c r="BE39" i="21" s="1"/>
  <c r="S39" i="21"/>
  <c r="AN109" i="21"/>
  <c r="BE109" i="21" s="1"/>
  <c r="S109" i="21"/>
  <c r="U109" i="21" s="1"/>
  <c r="AN103" i="21"/>
  <c r="BE103" i="21" s="1"/>
  <c r="S103" i="21"/>
  <c r="AN14" i="21"/>
  <c r="BE14" i="21" s="1"/>
  <c r="S14" i="21"/>
  <c r="AN105" i="21"/>
  <c r="BE105" i="21" s="1"/>
  <c r="S105" i="21"/>
  <c r="U105" i="21" s="1"/>
  <c r="AN102" i="21"/>
  <c r="BE102" i="21" s="1"/>
  <c r="S102" i="21"/>
  <c r="B89" i="2"/>
  <c r="B92" i="2" s="1"/>
  <c r="E17" i="1" s="1"/>
  <c r="B106" i="2"/>
  <c r="B88" i="2"/>
  <c r="B63" i="2"/>
  <c r="AC77" i="21"/>
  <c r="AG77" i="21" s="1"/>
  <c r="AC11" i="21"/>
  <c r="AG11" i="21" s="1"/>
  <c r="AC86" i="21"/>
  <c r="AG86" i="21" s="1"/>
  <c r="AI56" i="21"/>
  <c r="Z81" i="21"/>
  <c r="AA81" i="21" s="1"/>
  <c r="U90" i="21"/>
  <c r="AC21" i="21"/>
  <c r="AG21" i="21" s="1"/>
  <c r="Z85" i="21"/>
  <c r="AA85" i="21" s="1"/>
  <c r="W69" i="21"/>
  <c r="X69" i="21" s="1"/>
  <c r="AI35" i="21"/>
  <c r="AI81" i="21"/>
  <c r="AI68" i="21"/>
  <c r="AK68" i="21" s="1"/>
  <c r="BD68" i="21" s="1"/>
  <c r="AX68" i="21" s="1"/>
  <c r="AI76" i="21"/>
  <c r="AI98" i="21"/>
  <c r="AK98" i="21" s="1"/>
  <c r="BD98" i="21" s="1"/>
  <c r="AX98" i="21" s="1"/>
  <c r="AI101" i="21"/>
  <c r="AI90" i="21"/>
  <c r="AI106" i="21"/>
  <c r="AI45" i="21"/>
  <c r="AC58" i="21"/>
  <c r="AG58" i="21" s="1"/>
  <c r="AC22" i="21"/>
  <c r="AG22" i="21" s="1"/>
  <c r="AC76" i="21"/>
  <c r="AG76" i="21" s="1"/>
  <c r="Z69" i="21"/>
  <c r="AA69" i="21" s="1"/>
  <c r="U58" i="21"/>
  <c r="W75" i="21"/>
  <c r="X75" i="21" s="1"/>
  <c r="AI93" i="21"/>
  <c r="AI55" i="21"/>
  <c r="AI43" i="21"/>
  <c r="AI53" i="21"/>
  <c r="AK53" i="21" s="1"/>
  <c r="BD53" i="21" s="1"/>
  <c r="AX53" i="21" s="1"/>
  <c r="AI102" i="21"/>
  <c r="AK102" i="21" s="1"/>
  <c r="BD102" i="21" s="1"/>
  <c r="AX102" i="21" s="1"/>
  <c r="U84" i="21"/>
  <c r="AC66" i="21"/>
  <c r="AG66" i="21" s="1"/>
  <c r="AC53" i="21"/>
  <c r="AG53" i="21" s="1"/>
  <c r="U94" i="21"/>
  <c r="AC70" i="21"/>
  <c r="AG70" i="21" s="1"/>
  <c r="U66" i="21"/>
  <c r="AI83" i="21"/>
  <c r="AI97" i="21"/>
  <c r="AI105" i="21"/>
  <c r="AI89" i="21"/>
  <c r="AI66" i="21"/>
  <c r="AK66" i="21" s="1"/>
  <c r="BD66" i="21" s="1"/>
  <c r="AX66" i="21" s="1"/>
  <c r="AC9" i="21"/>
  <c r="AG9" i="21" s="1"/>
  <c r="AC44" i="21"/>
  <c r="AG44" i="21" s="1"/>
  <c r="AI44" i="21"/>
  <c r="AK44" i="21" s="1"/>
  <c r="BD44" i="21" s="1"/>
  <c r="AX44" i="21" s="1"/>
  <c r="AI84" i="21"/>
  <c r="AK84" i="21" s="1"/>
  <c r="BD84" i="21" s="1"/>
  <c r="AX84" i="21" s="1"/>
  <c r="AI63" i="21"/>
  <c r="AC30" i="21"/>
  <c r="AG30" i="21" s="1"/>
  <c r="AI109" i="21"/>
  <c r="AC74" i="21"/>
  <c r="AG74" i="21" s="1"/>
  <c r="U70" i="21"/>
  <c r="W89" i="21"/>
  <c r="X89" i="21" s="1"/>
  <c r="AI57" i="21"/>
  <c r="AK57" i="21" s="1"/>
  <c r="BD57" i="21" s="1"/>
  <c r="AX57" i="21" s="1"/>
  <c r="AI58" i="21"/>
  <c r="AK58" i="21" s="1"/>
  <c r="BD58" i="21" s="1"/>
  <c r="AX58" i="21" s="1"/>
  <c r="AI42" i="21"/>
  <c r="Z89" i="21"/>
  <c r="AA89" i="21" s="1"/>
  <c r="AI82" i="21"/>
  <c r="AC55" i="21"/>
  <c r="AG55" i="21" s="1"/>
  <c r="AI62" i="21"/>
  <c r="AC24" i="21"/>
  <c r="AG24" i="21" s="1"/>
  <c r="AI94" i="21"/>
  <c r="AK94" i="21" s="1"/>
  <c r="BD94" i="21" s="1"/>
  <c r="AX94" i="21" s="1"/>
  <c r="AI70" i="21"/>
  <c r="AK70" i="21" s="1"/>
  <c r="BD70" i="21" s="1"/>
  <c r="AX70" i="21" s="1"/>
  <c r="AC36" i="21"/>
  <c r="AG36" i="21" s="1"/>
  <c r="AI47" i="21"/>
  <c r="AI72" i="21"/>
  <c r="AK72" i="21" s="1"/>
  <c r="BD72" i="21" s="1"/>
  <c r="AX72" i="21" s="1"/>
  <c r="AC67" i="21"/>
  <c r="AG67" i="21" s="1"/>
  <c r="AI74" i="21"/>
  <c r="AK74" i="21" s="1"/>
  <c r="BD74" i="21" s="1"/>
  <c r="AX74" i="21" s="1"/>
  <c r="AC47" i="21"/>
  <c r="AG47" i="21" s="1"/>
  <c r="U67" i="21"/>
  <c r="Z48" i="21"/>
  <c r="AA48" i="21" s="1"/>
  <c r="Z21" i="21"/>
  <c r="AA21" i="21" s="1"/>
  <c r="Z9" i="21"/>
  <c r="AA9" i="21" s="1"/>
  <c r="Z96" i="21"/>
  <c r="AA96" i="21" s="1"/>
  <c r="Z104" i="21"/>
  <c r="AA104" i="21" s="1"/>
  <c r="Z73" i="21"/>
  <c r="AA73" i="21" s="1"/>
  <c r="Z84" i="21"/>
  <c r="AA84" i="21" s="1"/>
  <c r="Z27" i="21"/>
  <c r="AA27" i="21" s="1"/>
  <c r="Z28" i="21"/>
  <c r="AA28" i="21" s="1"/>
  <c r="Z78" i="21"/>
  <c r="AA78" i="21" s="1"/>
  <c r="W85" i="21"/>
  <c r="X85" i="21" s="1"/>
  <c r="Z33" i="21"/>
  <c r="AA33" i="21" s="1"/>
  <c r="Z10" i="21"/>
  <c r="AA10" i="21" s="1"/>
  <c r="Z92" i="21"/>
  <c r="AA92" i="21" s="1"/>
  <c r="Z100" i="21"/>
  <c r="AA100" i="21" s="1"/>
  <c r="Z108" i="21"/>
  <c r="AA108" i="21" s="1"/>
  <c r="Z87" i="21"/>
  <c r="AA87" i="21" s="1"/>
  <c r="W81" i="21"/>
  <c r="X81" i="21" s="1"/>
  <c r="AC62" i="21"/>
  <c r="AG62" i="21" s="1"/>
  <c r="Z24" i="21"/>
  <c r="AA24" i="21" s="1"/>
  <c r="Z14" i="21"/>
  <c r="AA14" i="21" s="1"/>
  <c r="AC14" i="21"/>
  <c r="AG14" i="21" s="1"/>
  <c r="Z49" i="21"/>
  <c r="AA49" i="21" s="1"/>
  <c r="Z47" i="21"/>
  <c r="AA47" i="21" s="1"/>
  <c r="Z75" i="21"/>
  <c r="AA75" i="21" s="1"/>
  <c r="W83" i="21"/>
  <c r="X83" i="21" s="1"/>
  <c r="Z83" i="21"/>
  <c r="AA83" i="21" s="1"/>
  <c r="W93" i="21"/>
  <c r="X93" i="21" s="1"/>
  <c r="Z93" i="21"/>
  <c r="AA93" i="21" s="1"/>
  <c r="W97" i="21"/>
  <c r="X97" i="21" s="1"/>
  <c r="Z97" i="21"/>
  <c r="AA97" i="21" s="1"/>
  <c r="W101" i="21"/>
  <c r="X101" i="21" s="1"/>
  <c r="Z101" i="21"/>
  <c r="AA101" i="21" s="1"/>
  <c r="W105" i="21"/>
  <c r="X105" i="21" s="1"/>
  <c r="Z105" i="21"/>
  <c r="AA105" i="21" s="1"/>
  <c r="W109" i="21"/>
  <c r="X109" i="21" s="1"/>
  <c r="Z109" i="21"/>
  <c r="AA109" i="21" s="1"/>
  <c r="U55" i="21"/>
  <c r="AC63" i="21"/>
  <c r="AG63" i="21" s="1"/>
  <c r="U30" i="21"/>
  <c r="U15" i="21"/>
  <c r="AC15" i="21"/>
  <c r="AG15" i="21" s="1"/>
  <c r="U106" i="21"/>
  <c r="Z66" i="21"/>
  <c r="AA66" i="21" s="1"/>
  <c r="Z62" i="21"/>
  <c r="AA62" i="21" s="1"/>
  <c r="Z53" i="21"/>
  <c r="AA53" i="21" s="1"/>
  <c r="Z44" i="21"/>
  <c r="AA44" i="21" s="1"/>
  <c r="Z76" i="21"/>
  <c r="AA76" i="21" s="1"/>
  <c r="W90" i="21"/>
  <c r="X90" i="21" s="1"/>
  <c r="W82" i="21"/>
  <c r="X82" i="21" s="1"/>
  <c r="W40" i="21"/>
  <c r="X40" i="21" s="1"/>
  <c r="W57" i="21"/>
  <c r="X57" i="21" s="1"/>
  <c r="W43" i="21"/>
  <c r="X43" i="21" s="1"/>
  <c r="W26" i="21"/>
  <c r="X26" i="21" s="1"/>
  <c r="AI26" i="21"/>
  <c r="W79" i="21"/>
  <c r="X79" i="21" s="1"/>
  <c r="W67" i="21"/>
  <c r="X67" i="21" s="1"/>
  <c r="W63" i="21"/>
  <c r="X63" i="21" s="1"/>
  <c r="W58" i="21"/>
  <c r="X58" i="21" s="1"/>
  <c r="W30" i="21"/>
  <c r="X30" i="21" s="1"/>
  <c r="AI30" i="21"/>
  <c r="W52" i="21"/>
  <c r="X52" i="21" s="1"/>
  <c r="W37" i="21"/>
  <c r="X37" i="21" s="1"/>
  <c r="W23" i="21"/>
  <c r="X23" i="21" s="1"/>
  <c r="AI23" i="21"/>
  <c r="W15" i="21"/>
  <c r="X15" i="21" s="1"/>
  <c r="AI15" i="21"/>
  <c r="W11" i="21"/>
  <c r="X11" i="21" s="1"/>
  <c r="AI11" i="21"/>
  <c r="W17" i="21"/>
  <c r="X17" i="21" s="1"/>
  <c r="AI17" i="21"/>
  <c r="W42" i="21"/>
  <c r="X42" i="21" s="1"/>
  <c r="W91" i="21"/>
  <c r="X91" i="21" s="1"/>
  <c r="W95" i="21"/>
  <c r="X95" i="21" s="1"/>
  <c r="W99" i="21"/>
  <c r="X99" i="21" s="1"/>
  <c r="W103" i="21"/>
  <c r="X103" i="21" s="1"/>
  <c r="W107" i="21"/>
  <c r="X107" i="21" s="1"/>
  <c r="W71" i="21"/>
  <c r="X71" i="21" s="1"/>
  <c r="W86" i="21"/>
  <c r="X86" i="21" s="1"/>
  <c r="W55" i="21"/>
  <c r="X55" i="21" s="1"/>
  <c r="W35" i="21"/>
  <c r="X35" i="21" s="1"/>
  <c r="W50" i="21"/>
  <c r="X50" i="21" s="1"/>
  <c r="W34" i="21"/>
  <c r="X34" i="21" s="1"/>
  <c r="AI34" i="21"/>
  <c r="W64" i="21"/>
  <c r="X64" i="21" s="1"/>
  <c r="W60" i="21"/>
  <c r="X60" i="21" s="1"/>
  <c r="W31" i="21"/>
  <c r="X31" i="21" s="1"/>
  <c r="AI31" i="21"/>
  <c r="W56" i="21"/>
  <c r="X56" i="21" s="1"/>
  <c r="W41" i="21"/>
  <c r="X41" i="21" s="1"/>
  <c r="W25" i="21"/>
  <c r="X25" i="21" s="1"/>
  <c r="AI25" i="21"/>
  <c r="W16" i="21"/>
  <c r="X16" i="21" s="1"/>
  <c r="AI16" i="21"/>
  <c r="W12" i="21"/>
  <c r="X12" i="21" s="1"/>
  <c r="AI12" i="21"/>
  <c r="W18" i="21"/>
  <c r="X18" i="21" s="1"/>
  <c r="AI18" i="21"/>
  <c r="W32" i="21"/>
  <c r="X32" i="21" s="1"/>
  <c r="AI32" i="21"/>
  <c r="W51" i="21"/>
  <c r="X51" i="21" s="1"/>
  <c r="W94" i="21"/>
  <c r="X94" i="21" s="1"/>
  <c r="W98" i="21"/>
  <c r="X98" i="21" s="1"/>
  <c r="W102" i="21"/>
  <c r="X102" i="21" s="1"/>
  <c r="W106" i="21"/>
  <c r="X106" i="21" s="1"/>
  <c r="W70" i="21"/>
  <c r="X70" i="21" s="1"/>
  <c r="W88" i="21"/>
  <c r="X88" i="21" s="1"/>
  <c r="W80" i="21"/>
  <c r="X80" i="21" s="1"/>
  <c r="W36" i="21"/>
  <c r="X36" i="21" s="1"/>
  <c r="W54" i="21"/>
  <c r="X54" i="21" s="1"/>
  <c r="W39" i="21"/>
  <c r="X39" i="21" s="1"/>
  <c r="W22" i="21"/>
  <c r="X22" i="21" s="1"/>
  <c r="AI22" i="21"/>
  <c r="W72" i="21"/>
  <c r="X72" i="21" s="1"/>
  <c r="W65" i="21"/>
  <c r="X65" i="21" s="1"/>
  <c r="W61" i="21"/>
  <c r="X61" i="21" s="1"/>
  <c r="W38" i="21"/>
  <c r="X38" i="21" s="1"/>
  <c r="W68" i="21"/>
  <c r="X68" i="21" s="1"/>
  <c r="W45" i="21"/>
  <c r="X45" i="21" s="1"/>
  <c r="W29" i="21"/>
  <c r="X29" i="21" s="1"/>
  <c r="AI29" i="21"/>
  <c r="W19" i="21"/>
  <c r="X19" i="21" s="1"/>
  <c r="AI19" i="21"/>
  <c r="W13" i="21"/>
  <c r="X13" i="21" s="1"/>
  <c r="AI13" i="21"/>
  <c r="W20" i="21"/>
  <c r="X20" i="21" s="1"/>
  <c r="AI20" i="21"/>
  <c r="W59" i="21"/>
  <c r="X59" i="21" s="1"/>
  <c r="W46" i="21"/>
  <c r="X46" i="21" s="1"/>
  <c r="Z91" i="21"/>
  <c r="AA91" i="21" s="1"/>
  <c r="Z99" i="21"/>
  <c r="AA99" i="21" s="1"/>
  <c r="Z107" i="21"/>
  <c r="AA107" i="21" s="1"/>
  <c r="W74" i="21"/>
  <c r="X74" i="21" s="1"/>
  <c r="Z90" i="21"/>
  <c r="AA90" i="21" s="1"/>
  <c r="Z82" i="21"/>
  <c r="AA82" i="21" s="1"/>
  <c r="Z40" i="21"/>
  <c r="AA40" i="21" s="1"/>
  <c r="Z57" i="21"/>
  <c r="AA57" i="21" s="1"/>
  <c r="Z43" i="21"/>
  <c r="AA43" i="21" s="1"/>
  <c r="Z26" i="21"/>
  <c r="AA26" i="21" s="1"/>
  <c r="W66" i="21"/>
  <c r="X66" i="21" s="1"/>
  <c r="W62" i="21"/>
  <c r="X62" i="21" s="1"/>
  <c r="W53" i="21"/>
  <c r="X53" i="21" s="1"/>
  <c r="W24" i="21"/>
  <c r="X24" i="21" s="1"/>
  <c r="AI24" i="21"/>
  <c r="W48" i="21"/>
  <c r="X48" i="21" s="1"/>
  <c r="W33" i="21"/>
  <c r="X33" i="21" s="1"/>
  <c r="AI33" i="21"/>
  <c r="W21" i="21"/>
  <c r="X21" i="21" s="1"/>
  <c r="AI21" i="21"/>
  <c r="W14" i="21"/>
  <c r="X14" i="21" s="1"/>
  <c r="W9" i="21"/>
  <c r="X9" i="21" s="1"/>
  <c r="W10" i="21"/>
  <c r="X10" i="21" s="1"/>
  <c r="AI10" i="21"/>
  <c r="W44" i="21"/>
  <c r="X44" i="21" s="1"/>
  <c r="W92" i="21"/>
  <c r="X92" i="21" s="1"/>
  <c r="W96" i="21"/>
  <c r="X96" i="21" s="1"/>
  <c r="W100" i="21"/>
  <c r="X100" i="21" s="1"/>
  <c r="W104" i="21"/>
  <c r="X104" i="21" s="1"/>
  <c r="W108" i="21"/>
  <c r="X108" i="21" s="1"/>
  <c r="W73" i="21"/>
  <c r="X73" i="21" s="1"/>
  <c r="W84" i="21"/>
  <c r="X84" i="21" s="1"/>
  <c r="W49" i="21"/>
  <c r="X49" i="21" s="1"/>
  <c r="W27" i="21"/>
  <c r="X27" i="21" s="1"/>
  <c r="AI27" i="21"/>
  <c r="W47" i="21"/>
  <c r="X47" i="21" s="1"/>
  <c r="W28" i="21"/>
  <c r="X28" i="21" s="1"/>
  <c r="AI28" i="21"/>
  <c r="W87" i="21"/>
  <c r="X87" i="21" s="1"/>
  <c r="W77" i="21"/>
  <c r="X77" i="21" s="1"/>
  <c r="Z67" i="21"/>
  <c r="AA67" i="21" s="1"/>
  <c r="Z63" i="21"/>
  <c r="AA63" i="21" s="1"/>
  <c r="Z58" i="21"/>
  <c r="AA58" i="21" s="1"/>
  <c r="Z30" i="21"/>
  <c r="AA30" i="21" s="1"/>
  <c r="Z52" i="21"/>
  <c r="AA52" i="21" s="1"/>
  <c r="Z37" i="21"/>
  <c r="AA37" i="21" s="1"/>
  <c r="Z23" i="21"/>
  <c r="AA23" i="21" s="1"/>
  <c r="Z15" i="21"/>
  <c r="AA15" i="21" s="1"/>
  <c r="Z11" i="21"/>
  <c r="AA11" i="21" s="1"/>
  <c r="Z17" i="21"/>
  <c r="AA17" i="21" s="1"/>
  <c r="Z42" i="21"/>
  <c r="AA42" i="21" s="1"/>
  <c r="W78" i="21"/>
  <c r="X78" i="21" s="1"/>
  <c r="Z86" i="21"/>
  <c r="AA86" i="21" s="1"/>
  <c r="Z55" i="21"/>
  <c r="AA55" i="21" s="1"/>
  <c r="Z35" i="21"/>
  <c r="AA35" i="21" s="1"/>
  <c r="Z50" i="21"/>
  <c r="AA50" i="21" s="1"/>
  <c r="Z34" i="21"/>
  <c r="AA34" i="21" s="1"/>
  <c r="Z64" i="21"/>
  <c r="AA64" i="21" s="1"/>
  <c r="Z60" i="21"/>
  <c r="AA60" i="21" s="1"/>
  <c r="Z31" i="21"/>
  <c r="AA31" i="21" s="1"/>
  <c r="Z56" i="21"/>
  <c r="AA56" i="21" s="1"/>
  <c r="Z41" i="21"/>
  <c r="AA41" i="21" s="1"/>
  <c r="Z25" i="21"/>
  <c r="AA25" i="21" s="1"/>
  <c r="Z16" i="21"/>
  <c r="AA16" i="21" s="1"/>
  <c r="Z12" i="21"/>
  <c r="AA12" i="21" s="1"/>
  <c r="Z18" i="21"/>
  <c r="AA18" i="21" s="1"/>
  <c r="Z32" i="21"/>
  <c r="AA32" i="21" s="1"/>
  <c r="Z51" i="21"/>
  <c r="AA51" i="21" s="1"/>
  <c r="Z94" i="21"/>
  <c r="AA94" i="21" s="1"/>
  <c r="Z98" i="21"/>
  <c r="AA98" i="21" s="1"/>
  <c r="Z102" i="21"/>
  <c r="AA102" i="21" s="1"/>
  <c r="Z106" i="21"/>
  <c r="AA106" i="21" s="1"/>
  <c r="Z70" i="21"/>
  <c r="AA70" i="21" s="1"/>
  <c r="W76" i="21"/>
  <c r="X76" i="21" s="1"/>
  <c r="Z79" i="21"/>
  <c r="AA79" i="21" s="1"/>
  <c r="Z88" i="21"/>
  <c r="AA88" i="21" s="1"/>
  <c r="Z80" i="21"/>
  <c r="AA80" i="21" s="1"/>
  <c r="Z36" i="21"/>
  <c r="AA36" i="21" s="1"/>
  <c r="Z54" i="21"/>
  <c r="AA54" i="21" s="1"/>
  <c r="Z39" i="21"/>
  <c r="AA39" i="21" s="1"/>
  <c r="Z22" i="21"/>
  <c r="AA22" i="21" s="1"/>
  <c r="Z77" i="21"/>
  <c r="AA77" i="21" s="1"/>
  <c r="Z72" i="21"/>
  <c r="AA72" i="21" s="1"/>
  <c r="Z65" i="21"/>
  <c r="AA65" i="21" s="1"/>
  <c r="Z61" i="21"/>
  <c r="AA61" i="21" s="1"/>
  <c r="Z38" i="21"/>
  <c r="AA38" i="21" s="1"/>
  <c r="Z68" i="21"/>
  <c r="AA68" i="21" s="1"/>
  <c r="Z45" i="21"/>
  <c r="AA45" i="21" s="1"/>
  <c r="Z29" i="21"/>
  <c r="AA29" i="21" s="1"/>
  <c r="Z19" i="21"/>
  <c r="AA19" i="21" s="1"/>
  <c r="Z13" i="21"/>
  <c r="AA13" i="21" s="1"/>
  <c r="Z20" i="21"/>
  <c r="AA20" i="21" s="1"/>
  <c r="Z59" i="21"/>
  <c r="AA59" i="21" s="1"/>
  <c r="Z46" i="21"/>
  <c r="AA46" i="21" s="1"/>
  <c r="Z95" i="21"/>
  <c r="AA95" i="21" s="1"/>
  <c r="Z103" i="21"/>
  <c r="AA103" i="21" s="1"/>
  <c r="Z71" i="21"/>
  <c r="AA71" i="21" s="1"/>
  <c r="Z74" i="21"/>
  <c r="AA74" i="21" s="1"/>
  <c r="U81" i="21"/>
  <c r="U101" i="21"/>
  <c r="U74" i="21"/>
  <c r="AC57" i="21"/>
  <c r="AG57" i="21" s="1"/>
  <c r="AC45" i="21"/>
  <c r="AG45" i="21" s="1"/>
  <c r="U57" i="21"/>
  <c r="AI85" i="21"/>
  <c r="AI61" i="21"/>
  <c r="AI46" i="21"/>
  <c r="AI91" i="21"/>
  <c r="AI99" i="21"/>
  <c r="AI107" i="21"/>
  <c r="AC40" i="21"/>
  <c r="AG40" i="21" s="1"/>
  <c r="AC89" i="21"/>
  <c r="AG89" i="21" s="1"/>
  <c r="AC102" i="21"/>
  <c r="AG102" i="21" s="1"/>
  <c r="AC97" i="21"/>
  <c r="AG97" i="21" s="1"/>
  <c r="AC59" i="21"/>
  <c r="AG59" i="21" s="1"/>
  <c r="AC101" i="21"/>
  <c r="AG101" i="21" s="1"/>
  <c r="AC75" i="21"/>
  <c r="AG75" i="21" s="1"/>
  <c r="AI64" i="21"/>
  <c r="AI87" i="21"/>
  <c r="AC43" i="21"/>
  <c r="AG43" i="21" s="1"/>
  <c r="AC56" i="21"/>
  <c r="AG56" i="21" s="1"/>
  <c r="AC82" i="21"/>
  <c r="AG82" i="21" s="1"/>
  <c r="AC94" i="21"/>
  <c r="AG94" i="21" s="1"/>
  <c r="AC72" i="21"/>
  <c r="AG72" i="21" s="1"/>
  <c r="AC90" i="21"/>
  <c r="AG90" i="21" s="1"/>
  <c r="AC106" i="21"/>
  <c r="AG106" i="21" s="1"/>
  <c r="AC83" i="21"/>
  <c r="AG83" i="21" s="1"/>
  <c r="AC105" i="21"/>
  <c r="AG105" i="21" s="1"/>
  <c r="AC81" i="21"/>
  <c r="AG81" i="21" s="1"/>
  <c r="AC98" i="21"/>
  <c r="AG98" i="21" s="1"/>
  <c r="AC84" i="21"/>
  <c r="AG84" i="21" s="1"/>
  <c r="AC68" i="21"/>
  <c r="AG68" i="21" s="1"/>
  <c r="AC93" i="21"/>
  <c r="AG93" i="21" s="1"/>
  <c r="AC109" i="21"/>
  <c r="AG109" i="21" s="1"/>
  <c r="AC85" i="21"/>
  <c r="AG85" i="21" s="1"/>
  <c r="AC31" i="21"/>
  <c r="AG31" i="21" s="1"/>
  <c r="AC48" i="21"/>
  <c r="AG48" i="21" s="1"/>
  <c r="AC33" i="21"/>
  <c r="AG33" i="21" s="1"/>
  <c r="AC16" i="21"/>
  <c r="AG16" i="21" s="1"/>
  <c r="AC12" i="21"/>
  <c r="AG12" i="21" s="1"/>
  <c r="AC92" i="21"/>
  <c r="AG92" i="21" s="1"/>
  <c r="AC100" i="21"/>
  <c r="AG100" i="21" s="1"/>
  <c r="AC108" i="21"/>
  <c r="AG108" i="21" s="1"/>
  <c r="AC88" i="21"/>
  <c r="AG88" i="21" s="1"/>
  <c r="AC54" i="21"/>
  <c r="AG54" i="21" s="1"/>
  <c r="AC87" i="21"/>
  <c r="AG87" i="21" s="1"/>
  <c r="AC52" i="21"/>
  <c r="AG52" i="21" s="1"/>
  <c r="AC23" i="21"/>
  <c r="AG23" i="21" s="1"/>
  <c r="AC19" i="21"/>
  <c r="AG19" i="21" s="1"/>
  <c r="AC13" i="21"/>
  <c r="AG13" i="21" s="1"/>
  <c r="AC91" i="21"/>
  <c r="AG91" i="21" s="1"/>
  <c r="AC99" i="21"/>
  <c r="AG99" i="21" s="1"/>
  <c r="AC107" i="21"/>
  <c r="AG107" i="21" s="1"/>
  <c r="AC26" i="21"/>
  <c r="AG26" i="21" s="1"/>
  <c r="AC69" i="21"/>
  <c r="AG69" i="21" s="1"/>
  <c r="AC60" i="21"/>
  <c r="AG60" i="21" s="1"/>
  <c r="AC51" i="21"/>
  <c r="AG51" i="21" s="1"/>
  <c r="AC73" i="21"/>
  <c r="AG73" i="21" s="1"/>
  <c r="AC49" i="21"/>
  <c r="AG49" i="21" s="1"/>
  <c r="AC28" i="21"/>
  <c r="AG28" i="21" s="1"/>
  <c r="AC65" i="21"/>
  <c r="AG65" i="21" s="1"/>
  <c r="AC29" i="21"/>
  <c r="AG29" i="21" s="1"/>
  <c r="AC71" i="21"/>
  <c r="AG71" i="21" s="1"/>
  <c r="AC38" i="21"/>
  <c r="AG38" i="21" s="1"/>
  <c r="AC37" i="21"/>
  <c r="AG37" i="21" s="1"/>
  <c r="B80" i="21"/>
  <c r="AC50" i="21"/>
  <c r="AG50" i="21" s="1"/>
  <c r="AC34" i="21"/>
  <c r="AG34" i="21" s="1"/>
  <c r="AC10" i="21"/>
  <c r="AG10" i="21" s="1"/>
  <c r="AC32" i="21"/>
  <c r="AG32" i="21" s="1"/>
  <c r="AC96" i="21"/>
  <c r="AG96" i="21" s="1"/>
  <c r="AC104" i="21"/>
  <c r="AG104" i="21" s="1"/>
  <c r="AC80" i="21"/>
  <c r="AG80" i="21" s="1"/>
  <c r="AC27" i="21"/>
  <c r="AG27" i="21" s="1"/>
  <c r="AC17" i="21"/>
  <c r="AG17" i="21" s="1"/>
  <c r="AC95" i="21"/>
  <c r="AG95" i="21" s="1"/>
  <c r="AC103" i="21"/>
  <c r="AG103" i="21" s="1"/>
  <c r="AC64" i="21"/>
  <c r="AG64" i="21" s="1"/>
  <c r="AC41" i="21"/>
  <c r="AG41" i="21" s="1"/>
  <c r="AC25" i="21"/>
  <c r="AG25" i="21" s="1"/>
  <c r="AC18" i="21"/>
  <c r="AG18" i="21" s="1"/>
  <c r="AC79" i="21"/>
  <c r="AG79" i="21" s="1"/>
  <c r="AC61" i="21"/>
  <c r="AG61" i="21" s="1"/>
  <c r="AC20" i="21"/>
  <c r="AG20" i="21" s="1"/>
  <c r="AC46" i="21"/>
  <c r="AG46" i="21" s="1"/>
  <c r="AC78" i="21"/>
  <c r="AG78" i="21" s="1"/>
  <c r="AC35" i="21"/>
  <c r="AG35" i="21" s="1"/>
  <c r="AC39" i="21"/>
  <c r="AG39" i="21" s="1"/>
  <c r="AC42" i="21"/>
  <c r="AG42" i="21" s="1"/>
  <c r="G594" i="17"/>
  <c r="B155" i="2"/>
  <c r="H44" i="17"/>
  <c r="H107" i="17"/>
  <c r="H571" i="17"/>
  <c r="H93" i="17"/>
  <c r="H407" i="17"/>
  <c r="H247" i="17"/>
  <c r="H305" i="17"/>
  <c r="G484" i="17"/>
  <c r="G582" i="17"/>
  <c r="G59" i="17"/>
  <c r="H362" i="17"/>
  <c r="G367" i="17"/>
  <c r="G49" i="17"/>
  <c r="H561" i="17"/>
  <c r="H350" i="17"/>
  <c r="H292" i="17"/>
  <c r="G491" i="17"/>
  <c r="G34" i="17"/>
  <c r="H152" i="17"/>
  <c r="H54" i="17"/>
  <c r="H315" i="17"/>
  <c r="H105" i="17"/>
  <c r="G490" i="17"/>
  <c r="H448" i="17"/>
  <c r="G533" i="17"/>
  <c r="H172" i="17"/>
  <c r="G177" i="17"/>
  <c r="H433" i="17"/>
  <c r="G352" i="17"/>
  <c r="G94" i="17"/>
  <c r="G269" i="17"/>
  <c r="H35" i="17"/>
  <c r="G455" i="17"/>
  <c r="H364" i="17"/>
  <c r="G176" i="17"/>
  <c r="H546" i="17"/>
  <c r="G326" i="17"/>
  <c r="H194" i="17"/>
  <c r="H284" i="17"/>
  <c r="G427" i="17"/>
  <c r="H182" i="17"/>
  <c r="G187" i="17"/>
  <c r="H443" i="17"/>
  <c r="G362" i="17"/>
  <c r="G106" i="17"/>
  <c r="G281" i="17"/>
  <c r="H597" i="17"/>
  <c r="G248" i="17"/>
  <c r="H576" i="17"/>
  <c r="G469" i="17"/>
  <c r="G597" i="17"/>
  <c r="H108" i="17"/>
  <c r="H236" i="17"/>
  <c r="G113" i="17"/>
  <c r="G241" i="17"/>
  <c r="H369" i="17"/>
  <c r="H497" i="17"/>
  <c r="G288" i="17"/>
  <c r="G416" i="17"/>
  <c r="H221" i="17"/>
  <c r="G222" i="17"/>
  <c r="H478" i="17"/>
  <c r="G397" i="17"/>
  <c r="G548" i="17"/>
  <c r="G36" i="17"/>
  <c r="H548" i="17"/>
  <c r="G583" i="17"/>
  <c r="G108" i="17"/>
  <c r="G283" i="17"/>
  <c r="H600" i="17"/>
  <c r="H175" i="17"/>
  <c r="G454" i="17"/>
  <c r="H290" i="17"/>
  <c r="H33" i="17"/>
  <c r="H535" i="17"/>
  <c r="G199" i="17"/>
  <c r="H25" i="17"/>
  <c r="G54" i="17"/>
  <c r="G21" i="17"/>
  <c r="H57" i="17"/>
  <c r="H118" i="17"/>
  <c r="H246" i="17"/>
  <c r="G123" i="17"/>
  <c r="G251" i="17"/>
  <c r="H379" i="17"/>
  <c r="H507" i="17"/>
  <c r="G298" i="17"/>
  <c r="G426" i="17"/>
  <c r="H233" i="17"/>
  <c r="G234" i="17"/>
  <c r="H490" i="17"/>
  <c r="G409" i="17"/>
  <c r="G554" i="17"/>
  <c r="H119" i="17"/>
  <c r="G120" i="17"/>
  <c r="H376" i="17"/>
  <c r="H512" i="17"/>
  <c r="G303" i="17"/>
  <c r="G431" i="17"/>
  <c r="G501" i="17"/>
  <c r="G565" i="17"/>
  <c r="H626" i="17"/>
  <c r="H76" i="17"/>
  <c r="H140" i="17"/>
  <c r="H204" i="17"/>
  <c r="G17" i="17"/>
  <c r="G81" i="17"/>
  <c r="G145" i="17"/>
  <c r="G209" i="17"/>
  <c r="H273" i="17"/>
  <c r="H337" i="17"/>
  <c r="H401" i="17"/>
  <c r="H465" i="17"/>
  <c r="H529" i="17"/>
  <c r="H596" i="17"/>
  <c r="G320" i="17"/>
  <c r="G384" i="17"/>
  <c r="H29" i="17"/>
  <c r="H157" i="17"/>
  <c r="G30" i="17"/>
  <c r="G158" i="17"/>
  <c r="H286" i="17"/>
  <c r="H414" i="17"/>
  <c r="H542" i="17"/>
  <c r="G333" i="17"/>
  <c r="G452" i="17"/>
  <c r="G516" i="17"/>
  <c r="G580" i="17"/>
  <c r="H163" i="17"/>
  <c r="G164" i="17"/>
  <c r="H420" i="17"/>
  <c r="G339" i="17"/>
  <c r="G519" i="17"/>
  <c r="G604" i="17"/>
  <c r="H235" i="17"/>
  <c r="G236" i="17"/>
  <c r="H492" i="17"/>
  <c r="G411" i="17"/>
  <c r="G555" i="17"/>
  <c r="H304" i="17"/>
  <c r="G48" i="17"/>
  <c r="H47" i="17"/>
  <c r="G518" i="17"/>
  <c r="G337" i="17"/>
  <c r="H418" i="17"/>
  <c r="G162" i="17"/>
  <c r="H161" i="17"/>
  <c r="G390" i="17"/>
  <c r="H608" i="17"/>
  <c r="H471" i="17"/>
  <c r="H327" i="17"/>
  <c r="G71" i="17"/>
  <c r="H158" i="17"/>
  <c r="H408" i="17"/>
  <c r="H413" i="17"/>
  <c r="G600" i="17"/>
  <c r="G250" i="17"/>
  <c r="H294" i="17"/>
  <c r="H325" i="17"/>
  <c r="G101" i="17"/>
  <c r="E23" i="1"/>
  <c r="H419" i="17"/>
  <c r="G595" i="17"/>
  <c r="H316" i="17"/>
  <c r="H160" i="17"/>
  <c r="H187" i="17"/>
  <c r="H133" i="17"/>
  <c r="H64" i="17"/>
  <c r="G274" i="17"/>
  <c r="G612" i="17"/>
  <c r="G456" i="17"/>
  <c r="H37" i="17"/>
  <c r="H277" i="17"/>
  <c r="H16" i="17"/>
  <c r="H135" i="17"/>
  <c r="H515" i="17"/>
  <c r="G451" i="17"/>
  <c r="H27" i="17"/>
  <c r="G212" i="17"/>
  <c r="G464" i="17"/>
  <c r="H310" i="17"/>
  <c r="H53" i="17"/>
  <c r="H541" i="17"/>
  <c r="H285" i="17"/>
  <c r="G29" i="17"/>
  <c r="H24" i="17"/>
  <c r="G327" i="17"/>
  <c r="H167" i="17"/>
  <c r="H282" i="17"/>
  <c r="H531" i="17"/>
  <c r="H238" i="17"/>
  <c r="H42" i="17"/>
  <c r="H162" i="17"/>
  <c r="H226" i="17"/>
  <c r="G39" i="17"/>
  <c r="G103" i="17"/>
  <c r="G167" i="17"/>
  <c r="G231" i="17"/>
  <c r="H295" i="17"/>
  <c r="H359" i="17"/>
  <c r="H391" i="17"/>
  <c r="H423" i="17"/>
  <c r="H455" i="17"/>
  <c r="H487" i="17"/>
  <c r="H519" i="17"/>
  <c r="H551" i="17"/>
  <c r="H583" i="17"/>
  <c r="G278" i="17"/>
  <c r="G310" i="17"/>
  <c r="G342" i="17"/>
  <c r="G374" i="17"/>
  <c r="G406" i="17"/>
  <c r="G438" i="17"/>
  <c r="H65" i="17"/>
  <c r="H129" i="17"/>
  <c r="H193" i="17"/>
  <c r="H257" i="17"/>
  <c r="G66" i="17"/>
  <c r="G130" i="17"/>
  <c r="G194" i="17"/>
  <c r="G258" i="17"/>
  <c r="H322" i="17"/>
  <c r="H386" i="17"/>
  <c r="H450" i="17"/>
  <c r="H514" i="17"/>
  <c r="H578" i="17"/>
  <c r="G305" i="17"/>
  <c r="G369" i="17"/>
  <c r="G433" i="17"/>
  <c r="G470" i="17"/>
  <c r="G502" i="17"/>
  <c r="G534" i="17"/>
  <c r="G566" i="17"/>
  <c r="G598" i="17"/>
  <c r="H15" i="17"/>
  <c r="H79" i="17"/>
  <c r="H143" i="17"/>
  <c r="H207" i="17"/>
  <c r="G16" i="17"/>
  <c r="G80" i="17"/>
  <c r="G144" i="17"/>
  <c r="G208" i="17"/>
  <c r="H272" i="17"/>
  <c r="H336" i="17"/>
  <c r="H22" i="17"/>
  <c r="H86" i="17"/>
  <c r="H150" i="17"/>
  <c r="H214" i="17"/>
  <c r="G27" i="17"/>
  <c r="G91" i="17"/>
  <c r="G155" i="17"/>
  <c r="G219" i="17"/>
  <c r="H283" i="17"/>
  <c r="H347" i="17"/>
  <c r="H411" i="17"/>
  <c r="H475" i="17"/>
  <c r="H539" i="17"/>
  <c r="G266" i="17"/>
  <c r="G330" i="17"/>
  <c r="G394" i="17"/>
  <c r="H41" i="17"/>
  <c r="H169" i="17"/>
  <c r="G42" i="17"/>
  <c r="G170" i="17"/>
  <c r="H298" i="17"/>
  <c r="H426" i="17"/>
  <c r="H554" i="17"/>
  <c r="G345" i="17"/>
  <c r="G458" i="17"/>
  <c r="G522" i="17"/>
  <c r="G586" i="17"/>
  <c r="H55" i="17"/>
  <c r="H183" i="17"/>
  <c r="G56" i="17"/>
  <c r="G184" i="17"/>
  <c r="H312" i="17"/>
  <c r="H416" i="17"/>
  <c r="H480" i="17"/>
  <c r="H544" i="17"/>
  <c r="G271" i="17"/>
  <c r="G335" i="17"/>
  <c r="G399" i="17"/>
  <c r="G453" i="17"/>
  <c r="G485" i="17"/>
  <c r="G517" i="17"/>
  <c r="G549" i="17"/>
  <c r="G581" i="17"/>
  <c r="G613" i="17"/>
  <c r="H28" i="17"/>
  <c r="H60" i="17"/>
  <c r="H92" i="17"/>
  <c r="H124" i="17"/>
  <c r="H156" i="17"/>
  <c r="H188" i="17"/>
  <c r="H220" i="17"/>
  <c r="H252" i="17"/>
  <c r="G33" i="17"/>
  <c r="G65" i="17"/>
  <c r="G97" i="17"/>
  <c r="G129" i="17"/>
  <c r="G161" i="17"/>
  <c r="G193" i="17"/>
  <c r="G225" i="17"/>
  <c r="G257" i="17"/>
  <c r="H289" i="17"/>
  <c r="H321" i="17"/>
  <c r="H353" i="17"/>
  <c r="H385" i="17"/>
  <c r="H417" i="17"/>
  <c r="H449" i="17"/>
  <c r="H481" i="17"/>
  <c r="H513" i="17"/>
  <c r="H545" i="17"/>
  <c r="H577" i="17"/>
  <c r="G272" i="17"/>
  <c r="G304" i="17"/>
  <c r="G336" i="17"/>
  <c r="G368" i="17"/>
  <c r="G400" i="17"/>
  <c r="G432" i="17"/>
  <c r="H61" i="17"/>
  <c r="H125" i="17"/>
  <c r="H189" i="17"/>
  <c r="H253" i="17"/>
  <c r="G62" i="17"/>
  <c r="G126" i="17"/>
  <c r="G190" i="17"/>
  <c r="G254" i="17"/>
  <c r="H318" i="17"/>
  <c r="H382" i="17"/>
  <c r="H446" i="17"/>
  <c r="H510" i="17"/>
  <c r="H574" i="17"/>
  <c r="G301" i="17"/>
  <c r="G365" i="17"/>
  <c r="G429" i="17"/>
  <c r="G468" i="17"/>
  <c r="G500" i="17"/>
  <c r="G532" i="17"/>
  <c r="G564" i="17"/>
  <c r="G608" i="17"/>
  <c r="H99" i="17"/>
  <c r="H227" i="17"/>
  <c r="G100" i="17"/>
  <c r="G228" i="17"/>
  <c r="H356" i="17"/>
  <c r="H484" i="17"/>
  <c r="G275" i="17"/>
  <c r="G403" i="17"/>
  <c r="G487" i="17"/>
  <c r="G551" i="17"/>
  <c r="H591" i="17"/>
  <c r="H43" i="17"/>
  <c r="H171" i="17"/>
  <c r="G44" i="17"/>
  <c r="G172" i="17"/>
  <c r="H300" i="17"/>
  <c r="H428" i="17"/>
  <c r="H556" i="17"/>
  <c r="G347" i="17"/>
  <c r="G459" i="17"/>
  <c r="G523" i="17"/>
  <c r="G587" i="17"/>
  <c r="H368" i="17"/>
  <c r="G240" i="17"/>
  <c r="G112" i="17"/>
  <c r="H239" i="17"/>
  <c r="H111" i="17"/>
  <c r="H13" i="17"/>
  <c r="G550" i="17"/>
  <c r="G486" i="17"/>
  <c r="G401" i="17"/>
  <c r="G273" i="17"/>
  <c r="H482" i="17"/>
  <c r="H354" i="17"/>
  <c r="G226" i="17"/>
  <c r="G98" i="17"/>
  <c r="H225" i="17"/>
  <c r="H97" i="17"/>
  <c r="G422" i="17"/>
  <c r="G358" i="17"/>
  <c r="G294" i="17"/>
  <c r="H567" i="17"/>
  <c r="H503" i="17"/>
  <c r="H439" i="17"/>
  <c r="H375" i="17"/>
  <c r="G263" i="17"/>
  <c r="G135" i="17"/>
  <c r="H258" i="17"/>
  <c r="H106" i="17"/>
  <c r="H275" i="17"/>
  <c r="G450" i="17"/>
  <c r="G513" i="17"/>
  <c r="G157" i="17"/>
  <c r="G332" i="17"/>
  <c r="H566" i="17"/>
  <c r="G387" i="17"/>
  <c r="H206" i="17"/>
  <c r="G311" i="17"/>
  <c r="H533" i="17"/>
  <c r="G180" i="17"/>
  <c r="G72" i="17"/>
  <c r="G504" i="17"/>
  <c r="G70" i="17"/>
  <c r="G559" i="17"/>
  <c r="H485" i="17"/>
  <c r="H454" i="17"/>
  <c r="H570" i="17"/>
  <c r="H593" i="17"/>
  <c r="H421" i="17"/>
  <c r="H424" i="17"/>
  <c r="G531" i="17"/>
  <c r="H372" i="17"/>
  <c r="H390" i="17"/>
  <c r="H581" i="17"/>
  <c r="G69" i="17"/>
  <c r="G407" i="17"/>
  <c r="H442" i="17"/>
  <c r="G99" i="17"/>
  <c r="G252" i="17"/>
  <c r="G355" i="17"/>
  <c r="G584" i="17"/>
  <c r="H550" i="17"/>
  <c r="G38" i="17"/>
  <c r="G324" i="17"/>
  <c r="H405" i="17"/>
  <c r="G149" i="17"/>
  <c r="H144" i="17"/>
  <c r="G505" i="17"/>
  <c r="H392" i="17"/>
  <c r="G425" i="17"/>
  <c r="G434" i="17"/>
  <c r="G259" i="17"/>
  <c r="G579" i="17"/>
  <c r="H540" i="17"/>
  <c r="G28" i="17"/>
  <c r="G543" i="17"/>
  <c r="H468" i="17"/>
  <c r="H211" i="17"/>
  <c r="G528" i="17"/>
  <c r="G357" i="17"/>
  <c r="H438" i="17"/>
  <c r="G182" i="17"/>
  <c r="H181" i="17"/>
  <c r="G396" i="17"/>
  <c r="G268" i="17"/>
  <c r="H477" i="17"/>
  <c r="H349" i="17"/>
  <c r="G221" i="17"/>
  <c r="G93" i="17"/>
  <c r="H216" i="17"/>
  <c r="H88" i="17"/>
  <c r="G577" i="17"/>
  <c r="G449" i="17"/>
  <c r="H536" i="17"/>
  <c r="G168" i="17"/>
  <c r="G578" i="17"/>
  <c r="H538" i="17"/>
  <c r="G26" i="17"/>
  <c r="G322" i="17"/>
  <c r="H403" i="17"/>
  <c r="G147" i="17"/>
  <c r="G35" i="17"/>
  <c r="H623" i="17"/>
  <c r="H74" i="17"/>
  <c r="H138" i="17"/>
  <c r="H178" i="17"/>
  <c r="H210" i="17"/>
  <c r="H242" i="17"/>
  <c r="G23" i="17"/>
  <c r="G55" i="17"/>
  <c r="G87" i="17"/>
  <c r="G119" i="17"/>
  <c r="G151" i="17"/>
  <c r="G183" i="17"/>
  <c r="G215" i="17"/>
  <c r="G247" i="17"/>
  <c r="H279" i="17"/>
  <c r="H311" i="17"/>
  <c r="H343" i="17"/>
  <c r="H30" i="17"/>
  <c r="G404" i="17"/>
  <c r="G585" i="17"/>
  <c r="G229" i="17"/>
  <c r="H572" i="17"/>
  <c r="G198" i="17"/>
  <c r="H224" i="17"/>
  <c r="G58" i="17"/>
  <c r="G60" i="17"/>
  <c r="G536" i="17"/>
  <c r="H197" i="17"/>
  <c r="H357" i="17"/>
  <c r="H96" i="17"/>
  <c r="G200" i="17"/>
  <c r="G338" i="17"/>
  <c r="G467" i="17"/>
  <c r="H59" i="17"/>
  <c r="G244" i="17"/>
  <c r="G472" i="17"/>
  <c r="H326" i="17"/>
  <c r="H69" i="17"/>
  <c r="H549" i="17"/>
  <c r="H293" i="17"/>
  <c r="G37" i="17"/>
  <c r="H32" i="17"/>
  <c r="G343" i="17"/>
  <c r="H199" i="17"/>
  <c r="H314" i="17"/>
  <c r="H547" i="17"/>
  <c r="G19" i="17"/>
  <c r="G363" i="17"/>
  <c r="G188" i="17"/>
  <c r="H607" i="17"/>
  <c r="G291" i="17"/>
  <c r="G116" i="17"/>
  <c r="G568" i="17"/>
  <c r="G437" i="17"/>
  <c r="H518" i="17"/>
  <c r="G262" i="17"/>
  <c r="H261" i="17"/>
  <c r="G436" i="17"/>
  <c r="G308" i="17"/>
  <c r="H517" i="17"/>
  <c r="H389" i="17"/>
  <c r="G261" i="17"/>
  <c r="G133" i="17"/>
  <c r="H256" i="17"/>
  <c r="H128" i="17"/>
  <c r="H595" i="17"/>
  <c r="G489" i="17"/>
  <c r="G279" i="17"/>
  <c r="H328" i="17"/>
  <c r="H71" i="17"/>
  <c r="G361" i="17"/>
  <c r="G186" i="17"/>
  <c r="G402" i="17"/>
  <c r="H483" i="17"/>
  <c r="G227" i="17"/>
  <c r="H142" i="17"/>
  <c r="G499" i="17"/>
  <c r="G299" i="17"/>
  <c r="H380" i="17"/>
  <c r="G124" i="17"/>
  <c r="H123" i="17"/>
  <c r="G591" i="17"/>
  <c r="G463" i="17"/>
  <c r="H564" i="17"/>
  <c r="H308" i="17"/>
  <c r="G52" i="17"/>
  <c r="H51" i="17"/>
  <c r="G552" i="17"/>
  <c r="G488" i="17"/>
  <c r="G405" i="17"/>
  <c r="G277" i="17"/>
  <c r="H486" i="17"/>
  <c r="H358" i="17"/>
  <c r="G230" i="17"/>
  <c r="G102" i="17"/>
  <c r="H229" i="17"/>
  <c r="H101" i="17"/>
  <c r="G420" i="17"/>
  <c r="G356" i="17"/>
  <c r="G292" i="17"/>
  <c r="H565" i="17"/>
  <c r="H501" i="17"/>
  <c r="H437" i="17"/>
  <c r="H373" i="17"/>
  <c r="H309" i="17"/>
  <c r="G245" i="17"/>
  <c r="G181" i="17"/>
  <c r="G117" i="17"/>
  <c r="G53" i="17"/>
  <c r="H240" i="17"/>
  <c r="H176" i="17"/>
  <c r="H112" i="17"/>
  <c r="H48" i="17"/>
  <c r="G601" i="17"/>
  <c r="G537" i="17"/>
  <c r="G473" i="17"/>
  <c r="G375" i="17"/>
  <c r="H584" i="17"/>
  <c r="H456" i="17"/>
  <c r="G264" i="17"/>
  <c r="H263" i="17"/>
  <c r="H613" i="17"/>
  <c r="G498" i="17"/>
  <c r="G297" i="17"/>
  <c r="H378" i="17"/>
  <c r="G122" i="17"/>
  <c r="H121" i="17"/>
  <c r="G370" i="17"/>
  <c r="H579" i="17"/>
  <c r="H451" i="17"/>
  <c r="H323" i="17"/>
  <c r="G195" i="17"/>
  <c r="G67" i="17"/>
  <c r="H78" i="17"/>
  <c r="G611" i="17"/>
  <c r="G547" i="17"/>
  <c r="G483" i="17"/>
  <c r="G395" i="17"/>
  <c r="G267" i="17"/>
  <c r="H476" i="17"/>
  <c r="H348" i="17"/>
  <c r="G220" i="17"/>
  <c r="G92" i="17"/>
  <c r="H219" i="17"/>
  <c r="H91" i="17"/>
  <c r="G596" i="17"/>
  <c r="G575" i="17"/>
  <c r="G511" i="17"/>
  <c r="G447" i="17"/>
  <c r="G323" i="17"/>
  <c r="H532" i="17"/>
  <c r="H404" i="17"/>
  <c r="H276" i="17"/>
  <c r="G148" i="17"/>
  <c r="G20" i="17"/>
  <c r="H147" i="17"/>
  <c r="H19" i="17"/>
  <c r="G576" i="17"/>
  <c r="G544" i="17"/>
  <c r="G512" i="17"/>
  <c r="G480" i="17"/>
  <c r="G448" i="17"/>
  <c r="G389" i="17"/>
  <c r="G325" i="17"/>
  <c r="H606" i="17"/>
  <c r="H534" i="17"/>
  <c r="H470" i="17"/>
  <c r="H406" i="17"/>
  <c r="H342" i="17"/>
  <c r="H278" i="17"/>
  <c r="G214" i="17"/>
  <c r="G150" i="17"/>
  <c r="G86" i="17"/>
  <c r="G22" i="17"/>
  <c r="H213" i="17"/>
  <c r="H149" i="17"/>
  <c r="H85" i="17"/>
  <c r="H21" i="17"/>
  <c r="G412" i="17"/>
  <c r="G380" i="17"/>
  <c r="G348" i="17"/>
  <c r="G316" i="17"/>
  <c r="G284" i="17"/>
  <c r="H589" i="17"/>
  <c r="H557" i="17"/>
  <c r="H525" i="17"/>
  <c r="H493" i="17"/>
  <c r="H461" i="17"/>
  <c r="H429" i="17"/>
  <c r="H397" i="17"/>
  <c r="H365" i="17"/>
  <c r="H333" i="17"/>
  <c r="H301" i="17"/>
  <c r="H269" i="17"/>
  <c r="G237" i="17"/>
  <c r="G205" i="17"/>
  <c r="G173" i="17"/>
  <c r="G141" i="17"/>
  <c r="G109" i="17"/>
  <c r="G77" i="17"/>
  <c r="G45" i="17"/>
  <c r="H264" i="17"/>
  <c r="H232" i="17"/>
  <c r="H200" i="17"/>
  <c r="H168" i="17"/>
  <c r="H136" i="17"/>
  <c r="H104" i="17"/>
  <c r="H72" i="17"/>
  <c r="H40" i="17"/>
  <c r="H611" i="17"/>
  <c r="G593" i="17"/>
  <c r="G561" i="17"/>
  <c r="G529" i="17"/>
  <c r="G497" i="17"/>
  <c r="G465" i="17"/>
  <c r="G423" i="17"/>
  <c r="G359" i="17"/>
  <c r="G295" i="17"/>
  <c r="H568" i="17"/>
  <c r="H504" i="17"/>
  <c r="H440" i="17"/>
  <c r="H360" i="17"/>
  <c r="G232" i="17"/>
  <c r="G104" i="17"/>
  <c r="H231" i="17"/>
  <c r="H103" i="17"/>
  <c r="G610" i="17"/>
  <c r="G546" i="17"/>
  <c r="G482" i="17"/>
  <c r="G393" i="17"/>
  <c r="G13" i="17"/>
  <c r="H474" i="17"/>
  <c r="H346" i="17"/>
  <c r="G218" i="17"/>
  <c r="G90" i="17"/>
  <c r="H217" i="17"/>
  <c r="H89" i="17"/>
  <c r="G418" i="17"/>
  <c r="G354" i="17"/>
  <c r="G290" i="17"/>
  <c r="H563" i="17"/>
  <c r="H499" i="17"/>
  <c r="H435" i="17"/>
  <c r="H371" i="17"/>
  <c r="H307" i="17"/>
  <c r="G243" i="17"/>
  <c r="G179" i="17"/>
  <c r="G115" i="17"/>
  <c r="G51" i="17"/>
  <c r="H174" i="17"/>
  <c r="H46" i="17"/>
  <c r="H254" i="17"/>
  <c r="H190" i="17"/>
  <c r="H126" i="17"/>
  <c r="H62" i="17"/>
  <c r="H18" i="17"/>
  <c r="H34" i="17"/>
  <c r="H50" i="17"/>
  <c r="H66" i="17"/>
  <c r="H82" i="17"/>
  <c r="H98" i="17"/>
  <c r="H114" i="17"/>
  <c r="H130" i="17"/>
  <c r="H146" i="17"/>
  <c r="G623" i="17"/>
  <c r="H38" i="17"/>
  <c r="H70" i="17"/>
  <c r="H102" i="17"/>
  <c r="H134" i="17"/>
  <c r="H166" i="17"/>
  <c r="H198" i="17"/>
  <c r="H230" i="17"/>
  <c r="H262" i="17"/>
  <c r="G43" i="17"/>
  <c r="G75" i="17"/>
  <c r="G107" i="17"/>
  <c r="G139" i="17"/>
  <c r="G171" i="17"/>
  <c r="G203" i="17"/>
  <c r="G235" i="17"/>
  <c r="H267" i="17"/>
  <c r="H299" i="17"/>
  <c r="H331" i="17"/>
  <c r="H363" i="17"/>
  <c r="H395" i="17"/>
  <c r="H427" i="17"/>
  <c r="H459" i="17"/>
  <c r="H491" i="17"/>
  <c r="H523" i="17"/>
  <c r="H555" i="17"/>
  <c r="H587" i="17"/>
  <c r="G282" i="17"/>
  <c r="G314" i="17"/>
  <c r="G346" i="17"/>
  <c r="G378" i="17"/>
  <c r="G410" i="17"/>
  <c r="G442" i="17"/>
  <c r="H73" i="17"/>
  <c r="H137" i="17"/>
  <c r="H201" i="17"/>
  <c r="H265" i="17"/>
  <c r="G74" i="17"/>
  <c r="G138" i="17"/>
  <c r="G202" i="17"/>
  <c r="H266" i="17"/>
  <c r="H330" i="17"/>
  <c r="H394" i="17"/>
  <c r="H458" i="17"/>
  <c r="H522" i="17"/>
  <c r="H586" i="17"/>
  <c r="G313" i="17"/>
  <c r="G377" i="17"/>
  <c r="G441" i="17"/>
  <c r="G474" i="17"/>
  <c r="G506" i="17"/>
  <c r="G538" i="17"/>
  <c r="G570" i="17"/>
  <c r="G602" i="17"/>
  <c r="H23" i="17"/>
  <c r="H87" i="17"/>
  <c r="H151" i="17"/>
  <c r="H215" i="17"/>
  <c r="G24" i="17"/>
  <c r="G88" i="17"/>
  <c r="G152" i="17"/>
  <c r="G216" i="17"/>
  <c r="H280" i="17"/>
  <c r="H344" i="17"/>
  <c r="H400" i="17"/>
  <c r="H432" i="17"/>
  <c r="H464" i="17"/>
  <c r="H496" i="17"/>
  <c r="H528" i="17"/>
  <c r="H560" i="17"/>
  <c r="H594" i="17"/>
  <c r="G287" i="17"/>
  <c r="G319" i="17"/>
  <c r="G351" i="17"/>
  <c r="G383" i="17"/>
  <c r="G415" i="17"/>
  <c r="G445" i="17"/>
  <c r="G461" i="17"/>
  <c r="G477" i="17"/>
  <c r="G493" i="17"/>
  <c r="G509" i="17"/>
  <c r="G525" i="17"/>
  <c r="G541" i="17"/>
  <c r="G557" i="17"/>
  <c r="G573" i="17"/>
  <c r="G589" i="17"/>
  <c r="G605" i="17"/>
  <c r="H603" i="17"/>
  <c r="H20" i="17"/>
  <c r="H36" i="17"/>
  <c r="H52" i="17"/>
  <c r="H68" i="17"/>
  <c r="H84" i="17"/>
  <c r="H100" i="17"/>
  <c r="H116" i="17"/>
  <c r="H132" i="17"/>
  <c r="H148" i="17"/>
  <c r="H164" i="17"/>
  <c r="H180" i="17"/>
  <c r="H196" i="17"/>
  <c r="H212" i="17"/>
  <c r="H228" i="17"/>
  <c r="H244" i="17"/>
  <c r="H260" i="17"/>
  <c r="G25" i="17"/>
  <c r="G41" i="17"/>
  <c r="G57" i="17"/>
  <c r="G73" i="17"/>
  <c r="G89" i="17"/>
  <c r="G105" i="17"/>
  <c r="G121" i="17"/>
  <c r="G137" i="17"/>
  <c r="G153" i="17"/>
  <c r="G169" i="17"/>
  <c r="G185" i="17"/>
  <c r="G201" i="17"/>
  <c r="G217" i="17"/>
  <c r="G233" i="17"/>
  <c r="G249" i="17"/>
  <c r="G265" i="17"/>
  <c r="H281" i="17"/>
  <c r="H297" i="17"/>
  <c r="H313" i="17"/>
  <c r="H329" i="17"/>
  <c r="H345" i="17"/>
  <c r="H361" i="17"/>
  <c r="H377" i="17"/>
  <c r="H393" i="17"/>
  <c r="H409" i="17"/>
  <c r="H425" i="17"/>
  <c r="H441" i="17"/>
  <c r="H457" i="17"/>
  <c r="H473" i="17"/>
  <c r="H489" i="17"/>
  <c r="H505" i="17"/>
  <c r="H521" i="17"/>
  <c r="H537" i="17"/>
  <c r="H553" i="17"/>
  <c r="H569" i="17"/>
  <c r="H585" i="17"/>
  <c r="H612" i="17"/>
  <c r="G280" i="17"/>
  <c r="G296" i="17"/>
  <c r="G312" i="17"/>
  <c r="G328" i="17"/>
  <c r="G344" i="17"/>
  <c r="G360" i="17"/>
  <c r="G376" i="17"/>
  <c r="G392" i="17"/>
  <c r="G408" i="17"/>
  <c r="G424" i="17"/>
  <c r="G440" i="17"/>
  <c r="H45" i="17"/>
  <c r="H77" i="17"/>
  <c r="H109" i="17"/>
  <c r="H141" i="17"/>
  <c r="H173" i="17"/>
  <c r="H205" i="17"/>
  <c r="H237" i="17"/>
  <c r="G14" i="17"/>
  <c r="G46" i="17"/>
  <c r="G78" i="17"/>
  <c r="G110" i="17"/>
  <c r="G142" i="17"/>
  <c r="G174" i="17"/>
  <c r="G206" i="17"/>
  <c r="G238" i="17"/>
  <c r="H270" i="17"/>
  <c r="H302" i="17"/>
  <c r="H334" i="17"/>
  <c r="H366" i="17"/>
  <c r="H398" i="17"/>
  <c r="H430" i="17"/>
  <c r="H462" i="17"/>
  <c r="H494" i="17"/>
  <c r="H526" i="17"/>
  <c r="H558" i="17"/>
  <c r="H590" i="17"/>
  <c r="G285" i="17"/>
  <c r="G317" i="17"/>
  <c r="G349" i="17"/>
  <c r="G381" i="17"/>
  <c r="G413" i="17"/>
  <c r="G444" i="17"/>
  <c r="G460" i="17"/>
  <c r="G476" i="17"/>
  <c r="G492" i="17"/>
  <c r="G508" i="17"/>
  <c r="G524" i="17"/>
  <c r="G540" i="17"/>
  <c r="G556" i="17"/>
  <c r="G572" i="17"/>
  <c r="G592" i="17"/>
  <c r="H609" i="17"/>
  <c r="H67" i="17"/>
  <c r="H131" i="17"/>
  <c r="H195" i="17"/>
  <c r="H259" i="17"/>
  <c r="G68" i="17"/>
  <c r="G132" i="17"/>
  <c r="G196" i="17"/>
  <c r="G260" i="17"/>
  <c r="H324" i="17"/>
  <c r="H388" i="17"/>
  <c r="H452" i="17"/>
  <c r="H516" i="17"/>
  <c r="H580" i="17"/>
  <c r="G307" i="17"/>
  <c r="G371" i="17"/>
  <c r="G435" i="17"/>
  <c r="G471" i="17"/>
  <c r="G503" i="17"/>
  <c r="G535" i="17"/>
  <c r="G567" i="17"/>
  <c r="G599" i="17"/>
  <c r="G588" i="17"/>
  <c r="H602" i="17"/>
  <c r="H75" i="17"/>
  <c r="H139" i="17"/>
  <c r="H203" i="17"/>
  <c r="G626" i="17"/>
  <c r="G76" i="17"/>
  <c r="G140" i="17"/>
  <c r="G204" i="17"/>
  <c r="H268" i="17"/>
  <c r="H332" i="17"/>
  <c r="H396" i="17"/>
  <c r="H460" i="17"/>
  <c r="H524" i="17"/>
  <c r="H588" i="17"/>
  <c r="G315" i="17"/>
  <c r="G379" i="17"/>
  <c r="G443" i="17"/>
  <c r="G475" i="17"/>
  <c r="G507" i="17"/>
  <c r="G539" i="17"/>
  <c r="G571" i="17"/>
  <c r="G603" i="17"/>
  <c r="H384" i="17"/>
  <c r="H352" i="17"/>
  <c r="H320" i="17"/>
  <c r="H288" i="17"/>
  <c r="G256" i="17"/>
  <c r="G224" i="17"/>
  <c r="G192" i="17"/>
  <c r="G160" i="17"/>
  <c r="G128" i="17"/>
  <c r="G96" i="17"/>
  <c r="G64" i="17"/>
  <c r="G32" i="17"/>
  <c r="H255" i="17"/>
  <c r="H223" i="17"/>
  <c r="H191" i="17"/>
  <c r="H159" i="17"/>
  <c r="H127" i="17"/>
  <c r="H95" i="17"/>
  <c r="H63" i="17"/>
  <c r="H31" i="17"/>
  <c r="H605" i="17"/>
  <c r="G606" i="17"/>
  <c r="G590" i="17"/>
  <c r="G574" i="17"/>
  <c r="G558" i="17"/>
  <c r="G542" i="17"/>
  <c r="G526" i="17"/>
  <c r="G510" i="17"/>
  <c r="G494" i="17"/>
  <c r="G478" i="17"/>
  <c r="G462" i="17"/>
  <c r="G446" i="17"/>
  <c r="G417" i="17"/>
  <c r="G385" i="17"/>
  <c r="G353" i="17"/>
  <c r="G321" i="17"/>
  <c r="G289" i="17"/>
  <c r="H598" i="17"/>
  <c r="H562" i="17"/>
  <c r="H530" i="17"/>
  <c r="H498" i="17"/>
  <c r="H466" i="17"/>
  <c r="H434" i="17"/>
  <c r="H402" i="17"/>
  <c r="H370" i="17"/>
  <c r="H338" i="17"/>
  <c r="H306" i="17"/>
  <c r="H274" i="17"/>
  <c r="G242" i="17"/>
  <c r="G210" i="17"/>
  <c r="G178" i="17"/>
  <c r="G146" i="17"/>
  <c r="G114" i="17"/>
  <c r="G82" i="17"/>
  <c r="G50" i="17"/>
  <c r="G18" i="17"/>
  <c r="H241" i="17"/>
  <c r="H209" i="17"/>
  <c r="H177" i="17"/>
  <c r="H145" i="17"/>
  <c r="H113" i="17"/>
  <c r="H81" i="17"/>
  <c r="H49" i="17"/>
  <c r="H17" i="17"/>
  <c r="G430" i="17"/>
  <c r="G414" i="17"/>
  <c r="G398" i="17"/>
  <c r="G382" i="17"/>
  <c r="G366" i="17"/>
  <c r="G350" i="17"/>
  <c r="G334" i="17"/>
  <c r="G318" i="17"/>
  <c r="G302" i="17"/>
  <c r="G286" i="17"/>
  <c r="G270" i="17"/>
  <c r="H592" i="17"/>
  <c r="H575" i="17"/>
  <c r="H559" i="17"/>
  <c r="H543" i="17"/>
  <c r="H527" i="17"/>
  <c r="H511" i="17"/>
  <c r="H495" i="17"/>
  <c r="H479" i="17"/>
  <c r="H463" i="17"/>
  <c r="H447" i="17"/>
  <c r="H431" i="17"/>
  <c r="H415" i="17"/>
  <c r="H399" i="17"/>
  <c r="H383" i="17"/>
  <c r="H367" i="17"/>
  <c r="H351" i="17"/>
  <c r="H335" i="17"/>
  <c r="H319" i="17"/>
  <c r="H303" i="17"/>
  <c r="H287" i="17"/>
  <c r="H271" i="17"/>
  <c r="G255" i="17"/>
  <c r="G239" i="17"/>
  <c r="G223" i="17"/>
  <c r="G207" i="17"/>
  <c r="G191" i="17"/>
  <c r="G175" i="17"/>
  <c r="G159" i="17"/>
  <c r="G143" i="17"/>
  <c r="G127" i="17"/>
  <c r="G111" i="17"/>
  <c r="G95" i="17"/>
  <c r="G79" i="17"/>
  <c r="G63" i="17"/>
  <c r="G47" i="17"/>
  <c r="G31" i="17"/>
  <c r="G15" i="17"/>
  <c r="H250" i="17"/>
  <c r="H234" i="17"/>
  <c r="H218" i="17"/>
  <c r="H202" i="17"/>
  <c r="H186" i="17"/>
  <c r="H170" i="17"/>
  <c r="H154" i="17"/>
  <c r="H122" i="17"/>
  <c r="H90" i="17"/>
  <c r="H58" i="17"/>
  <c r="H26" i="17"/>
  <c r="H94" i="17"/>
  <c r="H222" i="17"/>
  <c r="H110" i="17"/>
  <c r="G83" i="17"/>
  <c r="G211" i="17"/>
  <c r="H339" i="17"/>
  <c r="H467" i="17"/>
  <c r="H599" i="17"/>
  <c r="G386" i="17"/>
  <c r="H153" i="17"/>
  <c r="G154" i="17"/>
  <c r="H410" i="17"/>
  <c r="G329" i="17"/>
  <c r="G514" i="17"/>
  <c r="H39" i="17"/>
  <c r="G40" i="17"/>
  <c r="H296" i="17"/>
  <c r="H472" i="17"/>
  <c r="H610" i="17"/>
  <c r="G391" i="17"/>
  <c r="G481" i="17"/>
  <c r="G545" i="17"/>
  <c r="G609" i="17"/>
  <c r="H56" i="17"/>
  <c r="H120" i="17"/>
  <c r="H184" i="17"/>
  <c r="H248" i="17"/>
  <c r="G61" i="17"/>
  <c r="G125" i="17"/>
  <c r="G189" i="17"/>
  <c r="G253" i="17"/>
  <c r="H317" i="17"/>
  <c r="H381" i="17"/>
  <c r="H445" i="17"/>
  <c r="H509" i="17"/>
  <c r="H573" i="17"/>
  <c r="G300" i="17"/>
  <c r="G364" i="17"/>
  <c r="G428" i="17"/>
  <c r="H117" i="17"/>
  <c r="H245" i="17"/>
  <c r="G118" i="17"/>
  <c r="G246" i="17"/>
  <c r="H374" i="17"/>
  <c r="H502" i="17"/>
  <c r="G293" i="17"/>
  <c r="G421" i="17"/>
  <c r="G496" i="17"/>
  <c r="G560" i="17"/>
  <c r="H83" i="17"/>
  <c r="G84" i="17"/>
  <c r="H340" i="17"/>
  <c r="H601" i="17"/>
  <c r="G479" i="17"/>
  <c r="G607" i="17"/>
  <c r="H155" i="17"/>
  <c r="G156" i="17"/>
  <c r="H412" i="17"/>
  <c r="G331" i="17"/>
  <c r="G515" i="17"/>
  <c r="H14" i="17"/>
  <c r="G131" i="17"/>
  <c r="H387" i="17"/>
  <c r="G306" i="17"/>
  <c r="H249" i="17"/>
  <c r="H506" i="17"/>
  <c r="G562" i="17"/>
  <c r="G136" i="17"/>
  <c r="H520" i="17"/>
  <c r="G439" i="17"/>
  <c r="G569" i="17"/>
  <c r="H80" i="17"/>
  <c r="H208" i="17"/>
  <c r="G85" i="17"/>
  <c r="G213" i="17"/>
  <c r="H341" i="17"/>
  <c r="H469" i="17"/>
  <c r="H604" i="17"/>
  <c r="G388" i="17"/>
  <c r="H165" i="17"/>
  <c r="G166" i="17"/>
  <c r="H422" i="17"/>
  <c r="G341" i="17"/>
  <c r="G520" i="17"/>
  <c r="H179" i="17"/>
  <c r="H436" i="17"/>
  <c r="G527" i="17"/>
  <c r="H251" i="17"/>
  <c r="H508" i="17"/>
  <c r="G563" i="17"/>
  <c r="H355" i="17"/>
  <c r="H185" i="17"/>
  <c r="G530" i="17"/>
  <c r="H488" i="17"/>
  <c r="G553" i="17"/>
  <c r="H192" i="17"/>
  <c r="G197" i="17"/>
  <c r="H453" i="17"/>
  <c r="G372" i="17"/>
  <c r="G134" i="17"/>
  <c r="G309" i="17"/>
  <c r="H115" i="17"/>
  <c r="G495" i="17"/>
  <c r="H444" i="17"/>
  <c r="H291" i="17"/>
  <c r="G466" i="17"/>
  <c r="G521" i="17"/>
  <c r="G165" i="17"/>
  <c r="G340" i="17"/>
  <c r="H582" i="17"/>
  <c r="G419" i="17"/>
  <c r="G163" i="17"/>
  <c r="G457" i="17"/>
  <c r="G276" i="17"/>
  <c r="H500" i="17"/>
  <c r="H552" i="17"/>
  <c r="H243" i="17"/>
  <c r="G373" i="17"/>
  <c r="B65" i="2"/>
  <c r="B222" i="2" l="1"/>
  <c r="U3" i="17" s="1"/>
  <c r="Q13" i="17"/>
  <c r="Q568" i="17"/>
  <c r="Q509" i="17"/>
  <c r="Q456" i="17"/>
  <c r="Q361" i="17"/>
  <c r="Q299" i="17"/>
  <c r="Q439" i="17"/>
  <c r="Q597" i="17"/>
  <c r="Q101" i="17"/>
  <c r="Q243" i="17"/>
  <c r="Q303" i="17"/>
  <c r="Q321" i="17"/>
  <c r="Q582" i="17"/>
  <c r="Q475" i="17"/>
  <c r="Q36" i="17"/>
  <c r="Q181" i="17"/>
  <c r="Q128" i="17"/>
  <c r="Q244" i="17"/>
  <c r="Q474" i="17"/>
  <c r="Q178" i="17"/>
  <c r="R626" i="17"/>
  <c r="R623" i="17"/>
  <c r="Q337" i="17"/>
  <c r="Q511" i="17"/>
  <c r="Q587" i="17"/>
  <c r="Q278" i="17"/>
  <c r="Q145" i="17"/>
  <c r="Q414" i="17"/>
  <c r="Q118" i="17"/>
  <c r="Q609" i="17"/>
  <c r="Q218" i="17"/>
  <c r="Q23" i="17"/>
  <c r="Q626" i="17"/>
  <c r="Q133" i="17"/>
  <c r="Q58" i="17"/>
  <c r="Q224" i="17"/>
  <c r="Q358" i="17"/>
  <c r="Q88" i="17"/>
  <c r="Q546" i="17"/>
  <c r="Q428" i="17"/>
  <c r="Q105" i="17"/>
  <c r="Q194" i="17"/>
  <c r="Q499" i="17"/>
  <c r="Q421" i="17"/>
  <c r="Q99" i="17"/>
  <c r="Q14" i="17"/>
  <c r="Q592" i="17"/>
  <c r="Q239" i="17"/>
  <c r="Q209" i="17"/>
  <c r="Q216" i="17"/>
  <c r="Q235" i="17"/>
  <c r="Q152" i="17"/>
  <c r="Q351" i="17"/>
  <c r="Q561" i="17"/>
  <c r="Q240" i="17"/>
  <c r="Q529" i="17"/>
  <c r="Q331" i="17"/>
  <c r="Q280" i="17"/>
  <c r="Q288" i="17"/>
  <c r="Q347" i="17"/>
  <c r="Q481" i="17"/>
  <c r="Q418" i="17"/>
  <c r="Q365" i="17"/>
  <c r="Q130" i="17"/>
  <c r="Q400" i="17"/>
  <c r="Q160" i="17"/>
  <c r="Q375" i="17"/>
  <c r="Q606" i="17"/>
  <c r="Q350" i="17"/>
  <c r="Q553" i="17"/>
  <c r="Q297" i="17"/>
  <c r="Q64" i="17"/>
  <c r="Q594" i="17"/>
  <c r="Q525" i="17"/>
  <c r="Q20" i="17"/>
  <c r="Q604" i="17"/>
  <c r="Q412" i="17"/>
  <c r="Q435" i="17"/>
  <c r="Q173" i="17"/>
  <c r="Q410" i="17"/>
  <c r="Q89" i="17"/>
  <c r="Q357" i="17"/>
  <c r="Q124" i="17"/>
  <c r="Q50" i="17"/>
  <c r="Q126" i="17"/>
  <c r="Q35" i="17"/>
  <c r="Q484" i="17"/>
  <c r="Q559" i="17"/>
  <c r="Q390" i="17"/>
  <c r="Q392" i="17"/>
  <c r="Q555" i="17"/>
  <c r="Q438" i="17"/>
  <c r="Q200" i="17"/>
  <c r="Q223" i="17"/>
  <c r="Q305" i="17"/>
  <c r="Q591" i="17"/>
  <c r="Q40" i="17"/>
  <c r="Q502" i="17"/>
  <c r="Q588" i="17"/>
  <c r="Q572" i="17"/>
  <c r="Q219" i="17"/>
  <c r="Q225" i="17"/>
  <c r="Q306" i="17"/>
  <c r="Q237" i="17"/>
  <c r="Q532" i="17"/>
  <c r="Q613" i="17"/>
  <c r="Q567" i="17"/>
  <c r="Q311" i="17"/>
  <c r="Q542" i="17"/>
  <c r="Q286" i="17"/>
  <c r="Q489" i="17"/>
  <c r="Q233" i="17"/>
  <c r="Q175" i="17"/>
  <c r="Q466" i="17"/>
  <c r="Q413" i="17"/>
  <c r="Q98" i="17"/>
  <c r="Q384" i="17"/>
  <c r="Q97" i="17"/>
  <c r="Q371" i="17"/>
  <c r="Q602" i="17"/>
  <c r="Q346" i="17"/>
  <c r="Q549" i="17"/>
  <c r="Q293" i="17"/>
  <c r="Q60" i="17"/>
  <c r="Q151" i="17"/>
  <c r="Q62" i="17"/>
  <c r="Q138" i="17"/>
  <c r="Q228" i="17"/>
  <c r="Q495" i="17"/>
  <c r="Q262" i="17"/>
  <c r="Q340" i="17"/>
  <c r="Q491" i="17"/>
  <c r="Q310" i="17"/>
  <c r="Q408" i="17"/>
  <c r="Q72" i="17"/>
  <c r="Q335" i="17"/>
  <c r="Q352" i="17"/>
  <c r="Q449" i="17"/>
  <c r="Q479" i="17"/>
  <c r="Q603" i="17"/>
  <c r="Q534" i="17"/>
  <c r="Q95" i="17"/>
  <c r="Q172" i="17"/>
  <c r="Q148" i="17"/>
  <c r="Q260" i="17"/>
  <c r="Q516" i="17"/>
  <c r="Q503" i="17"/>
  <c r="Q247" i="17"/>
  <c r="Q478" i="17"/>
  <c r="Q222" i="17"/>
  <c r="Q425" i="17"/>
  <c r="Q149" i="17"/>
  <c r="Q47" i="17"/>
  <c r="Q338" i="17"/>
  <c r="Q285" i="17"/>
  <c r="Q500" i="17"/>
  <c r="Q605" i="17"/>
  <c r="Q563" i="17"/>
  <c r="Q307" i="17"/>
  <c r="Q538" i="17"/>
  <c r="Q282" i="17"/>
  <c r="Q485" i="17"/>
  <c r="Q229" i="17"/>
  <c r="Q139" i="17"/>
  <c r="Q87" i="17"/>
  <c r="Q163" i="17"/>
  <c r="Q74" i="17"/>
  <c r="Q548" i="17"/>
  <c r="Q396" i="17"/>
  <c r="Q431" i="17"/>
  <c r="Q165" i="17"/>
  <c r="Q593" i="17"/>
  <c r="Q104" i="17"/>
  <c r="Q424" i="17"/>
  <c r="Q508" i="17"/>
  <c r="Q427" i="17"/>
  <c r="Q157" i="17"/>
  <c r="Q180" i="17"/>
  <c r="Q24" i="17"/>
  <c r="Q292" i="17"/>
  <c r="Q460" i="17"/>
  <c r="Q447" i="17"/>
  <c r="Q319" i="17"/>
  <c r="Q191" i="17"/>
  <c r="Q550" i="17"/>
  <c r="Q294" i="17"/>
  <c r="Q497" i="17"/>
  <c r="Q241" i="17"/>
  <c r="Q127" i="17"/>
  <c r="Q356" i="17"/>
  <c r="Q264" i="17"/>
  <c r="Q527" i="17"/>
  <c r="Q271" i="17"/>
  <c r="Q454" i="17"/>
  <c r="Q401" i="17"/>
  <c r="Q102" i="17"/>
  <c r="Q536" i="17"/>
  <c r="Q523" i="17"/>
  <c r="Q267" i="17"/>
  <c r="Q374" i="17"/>
  <c r="Q385" i="17"/>
  <c r="Q31" i="17"/>
  <c r="Q432" i="17"/>
  <c r="Q332" i="17"/>
  <c r="Q580" i="17"/>
  <c r="Q232" i="17"/>
  <c r="Q113" i="17"/>
  <c r="Q444" i="17"/>
  <c r="Q571" i="17"/>
  <c r="Q443" i="17"/>
  <c r="Q315" i="17"/>
  <c r="Q187" i="17"/>
  <c r="Q470" i="17"/>
  <c r="Q214" i="17"/>
  <c r="Q417" i="17"/>
  <c r="Q117" i="17"/>
  <c r="Q134" i="17"/>
  <c r="Q514" i="17"/>
  <c r="Q386" i="17"/>
  <c r="Q258" i="17"/>
  <c r="Q57" i="17"/>
  <c r="Q461" i="17"/>
  <c r="Q333" i="17"/>
  <c r="Q205" i="17"/>
  <c r="Q116" i="17"/>
  <c r="Q155" i="17"/>
  <c r="Q66" i="17"/>
  <c r="Q452" i="17"/>
  <c r="Q196" i="17"/>
  <c r="Q601" i="17"/>
  <c r="Q336" i="17"/>
  <c r="Q488" i="17"/>
  <c r="Q608" i="17"/>
  <c r="Q364" i="17"/>
  <c r="Q551" i="17"/>
  <c r="Q487" i="17"/>
  <c r="Q423" i="17"/>
  <c r="Q359" i="17"/>
  <c r="Q295" i="17"/>
  <c r="Q231" i="17"/>
  <c r="Q141" i="17"/>
  <c r="Q590" i="17"/>
  <c r="Q526" i="17"/>
  <c r="Q462" i="17"/>
  <c r="Q398" i="17"/>
  <c r="Q334" i="17"/>
  <c r="Q270" i="17"/>
  <c r="Q206" i="17"/>
  <c r="Q41" i="17"/>
  <c r="Q537" i="17"/>
  <c r="Q473" i="17"/>
  <c r="Q409" i="17"/>
  <c r="Q345" i="17"/>
  <c r="Q281" i="17"/>
  <c r="Q217" i="17"/>
  <c r="Q85" i="17"/>
  <c r="Q112" i="17"/>
  <c r="Q48" i="17"/>
  <c r="Q143" i="17"/>
  <c r="Q15" i="17"/>
  <c r="Q86" i="17"/>
  <c r="Q562" i="17"/>
  <c r="Q434" i="17"/>
  <c r="Q290" i="17"/>
  <c r="Q121" i="17"/>
  <c r="Q493" i="17"/>
  <c r="Q381" i="17"/>
  <c r="Q253" i="17"/>
  <c r="Q132" i="17"/>
  <c r="Q123" i="17"/>
  <c r="Q34" i="17"/>
  <c r="Q436" i="17"/>
  <c r="Q176" i="17"/>
  <c r="Q576" i="17"/>
  <c r="Q320" i="17"/>
  <c r="Q440" i="17"/>
  <c r="Q600" i="17"/>
  <c r="Q348" i="17"/>
  <c r="Q611" i="17"/>
  <c r="Q547" i="17"/>
  <c r="Q483" i="17"/>
  <c r="Q419" i="17"/>
  <c r="Q355" i="17"/>
  <c r="Q291" i="17"/>
  <c r="Q227" i="17"/>
  <c r="Q125" i="17"/>
  <c r="Q586" i="17"/>
  <c r="Q522" i="17"/>
  <c r="Q458" i="17"/>
  <c r="Q394" i="17"/>
  <c r="Q330" i="17"/>
  <c r="Q266" i="17"/>
  <c r="Q202" i="17"/>
  <c r="Q25" i="17"/>
  <c r="Q533" i="17"/>
  <c r="Q469" i="17"/>
  <c r="Q405" i="17"/>
  <c r="Q341" i="17"/>
  <c r="Q277" i="17"/>
  <c r="Q213" i="17"/>
  <c r="Q69" i="17"/>
  <c r="Q108" i="17"/>
  <c r="Q44" i="17"/>
  <c r="Q107" i="17"/>
  <c r="Q146" i="17"/>
  <c r="Q18" i="17"/>
  <c r="Q135" i="17"/>
  <c r="Q71" i="17"/>
  <c r="Q174" i="17"/>
  <c r="Q110" i="17"/>
  <c r="Q46" i="17"/>
  <c r="Q147" i="17"/>
  <c r="Q83" i="17"/>
  <c r="Q19" i="17"/>
  <c r="Q122" i="17"/>
  <c r="R18" i="17"/>
  <c r="R34" i="17"/>
  <c r="R50" i="17"/>
  <c r="R66" i="17"/>
  <c r="R82" i="17"/>
  <c r="R98" i="17"/>
  <c r="R114" i="17"/>
  <c r="R130" i="17"/>
  <c r="R146" i="17"/>
  <c r="R162" i="17"/>
  <c r="R178" i="17"/>
  <c r="R194" i="17"/>
  <c r="R210" i="17"/>
  <c r="R15" i="17"/>
  <c r="R31" i="17"/>
  <c r="R47" i="17"/>
  <c r="R63" i="17"/>
  <c r="R79" i="17"/>
  <c r="R95" i="17"/>
  <c r="R111" i="17"/>
  <c r="R127" i="17"/>
  <c r="R143" i="17"/>
  <c r="R159" i="17"/>
  <c r="R175" i="17"/>
  <c r="R191" i="17"/>
  <c r="R207" i="17"/>
  <c r="R223" i="17"/>
  <c r="R239" i="17"/>
  <c r="R255" i="17"/>
  <c r="R271" i="17"/>
  <c r="R287" i="17"/>
  <c r="R24" i="17"/>
  <c r="R40" i="17"/>
  <c r="R56" i="17"/>
  <c r="R72" i="17"/>
  <c r="R88" i="17"/>
  <c r="R104" i="17"/>
  <c r="R120" i="17"/>
  <c r="R136" i="17"/>
  <c r="R152" i="17"/>
  <c r="R168" i="17"/>
  <c r="R184" i="17"/>
  <c r="R200" i="17"/>
  <c r="R216" i="17"/>
  <c r="R232" i="17"/>
  <c r="R248" i="17"/>
  <c r="R264" i="17"/>
  <c r="R280" i="17"/>
  <c r="R65" i="17"/>
  <c r="R129" i="17"/>
  <c r="R193" i="17"/>
  <c r="R241" i="17"/>
  <c r="R273" i="17"/>
  <c r="R299" i="17"/>
  <c r="R315" i="17"/>
  <c r="R331" i="17"/>
  <c r="R347" i="17"/>
  <c r="R22" i="17"/>
  <c r="R38" i="17"/>
  <c r="R54" i="17"/>
  <c r="R70" i="17"/>
  <c r="R86" i="17"/>
  <c r="R102" i="17"/>
  <c r="R118" i="17"/>
  <c r="R134" i="17"/>
  <c r="R150" i="17"/>
  <c r="R166" i="17"/>
  <c r="R182" i="17"/>
  <c r="R198" i="17"/>
  <c r="R214" i="17"/>
  <c r="R19" i="17"/>
  <c r="R35" i="17"/>
  <c r="R51" i="17"/>
  <c r="R67" i="17"/>
  <c r="R83" i="17"/>
  <c r="R99" i="17"/>
  <c r="R115" i="17"/>
  <c r="R131" i="17"/>
  <c r="R147" i="17"/>
  <c r="R163" i="17"/>
  <c r="R179" i="17"/>
  <c r="R195" i="17"/>
  <c r="R211" i="17"/>
  <c r="R227" i="17"/>
  <c r="R243" i="17"/>
  <c r="R259" i="17"/>
  <c r="R275" i="17"/>
  <c r="R291" i="17"/>
  <c r="R28" i="17"/>
  <c r="R44" i="17"/>
  <c r="R60" i="17"/>
  <c r="R76" i="17"/>
  <c r="R92" i="17"/>
  <c r="R108" i="17"/>
  <c r="R124" i="17"/>
  <c r="R140" i="17"/>
  <c r="R156" i="17"/>
  <c r="R172" i="17"/>
  <c r="R188" i="17"/>
  <c r="R204" i="17"/>
  <c r="R220" i="17"/>
  <c r="R236" i="17"/>
  <c r="R252" i="17"/>
  <c r="R268" i="17"/>
  <c r="R284" i="17"/>
  <c r="R17" i="17"/>
  <c r="R81" i="17"/>
  <c r="R145" i="17"/>
  <c r="R209" i="17"/>
  <c r="R249" i="17"/>
  <c r="R281" i="17"/>
  <c r="R303" i="17"/>
  <c r="R319" i="17"/>
  <c r="R335" i="17"/>
  <c r="R351" i="17"/>
  <c r="R367" i="17"/>
  <c r="R383" i="17"/>
  <c r="R399" i="17"/>
  <c r="R415" i="17"/>
  <c r="R431" i="17"/>
  <c r="R447" i="17"/>
  <c r="R463" i="17"/>
  <c r="R479" i="17"/>
  <c r="R495" i="17"/>
  <c r="R511" i="17"/>
  <c r="R527" i="17"/>
  <c r="R543" i="17"/>
  <c r="R559" i="17"/>
  <c r="R575" i="17"/>
  <c r="R26" i="17"/>
  <c r="R58" i="17"/>
  <c r="R90" i="17"/>
  <c r="R122" i="17"/>
  <c r="R154" i="17"/>
  <c r="R186" i="17"/>
  <c r="R218" i="17"/>
  <c r="R23" i="17"/>
  <c r="R55" i="17"/>
  <c r="R87" i="17"/>
  <c r="R119" i="17"/>
  <c r="R151" i="17"/>
  <c r="R183" i="17"/>
  <c r="R215" i="17"/>
  <c r="R247" i="17"/>
  <c r="R279" i="17"/>
  <c r="R16" i="17"/>
  <c r="R48" i="17"/>
  <c r="R80" i="17"/>
  <c r="R112" i="17"/>
  <c r="R144" i="17"/>
  <c r="R176" i="17"/>
  <c r="R208" i="17"/>
  <c r="R240" i="17"/>
  <c r="R272" i="17"/>
  <c r="R33" i="17"/>
  <c r="R161" i="17"/>
  <c r="R257" i="17"/>
  <c r="R307" i="17"/>
  <c r="R339" i="17"/>
  <c r="R363" i="17"/>
  <c r="R387" i="17"/>
  <c r="R407" i="17"/>
  <c r="R427" i="17"/>
  <c r="R451" i="17"/>
  <c r="R471" i="17"/>
  <c r="R491" i="17"/>
  <c r="R515" i="17"/>
  <c r="R535" i="17"/>
  <c r="R555" i="17"/>
  <c r="R579" i="17"/>
  <c r="R595" i="17"/>
  <c r="R611" i="17"/>
  <c r="R69" i="17"/>
  <c r="R133" i="17"/>
  <c r="R197" i="17"/>
  <c r="R242" i="17"/>
  <c r="R274" i="17"/>
  <c r="R300" i="17"/>
  <c r="R316" i="17"/>
  <c r="R332" i="17"/>
  <c r="R348" i="17"/>
  <c r="R364" i="17"/>
  <c r="R380" i="17"/>
  <c r="R396" i="17"/>
  <c r="R412" i="17"/>
  <c r="R428" i="17"/>
  <c r="R444" i="17"/>
  <c r="R460" i="17"/>
  <c r="R476" i="17"/>
  <c r="R492" i="17"/>
  <c r="R508" i="17"/>
  <c r="R524" i="17"/>
  <c r="R540" i="17"/>
  <c r="R556" i="17"/>
  <c r="R572" i="17"/>
  <c r="R588" i="17"/>
  <c r="R604" i="17"/>
  <c r="R41" i="17"/>
  <c r="R105" i="17"/>
  <c r="R169" i="17"/>
  <c r="R229" i="17"/>
  <c r="R261" i="17"/>
  <c r="R293" i="17"/>
  <c r="R309" i="17"/>
  <c r="R325" i="17"/>
  <c r="R341" i="17"/>
  <c r="R357" i="17"/>
  <c r="R373" i="17"/>
  <c r="R389" i="17"/>
  <c r="R405" i="17"/>
  <c r="R421" i="17"/>
  <c r="R437" i="17"/>
  <c r="R453" i="17"/>
  <c r="R469" i="17"/>
  <c r="R485" i="17"/>
  <c r="R501" i="17"/>
  <c r="R517" i="17"/>
  <c r="R30" i="17"/>
  <c r="R62" i="17"/>
  <c r="R94" i="17"/>
  <c r="R126" i="17"/>
  <c r="R158" i="17"/>
  <c r="R190" i="17"/>
  <c r="R222" i="17"/>
  <c r="R27" i="17"/>
  <c r="R59" i="17"/>
  <c r="R91" i="17"/>
  <c r="R123" i="17"/>
  <c r="R155" i="17"/>
  <c r="R187" i="17"/>
  <c r="R219" i="17"/>
  <c r="R251" i="17"/>
  <c r="R283" i="17"/>
  <c r="R20" i="17"/>
  <c r="R52" i="17"/>
  <c r="R84" i="17"/>
  <c r="R116" i="17"/>
  <c r="R148" i="17"/>
  <c r="R180" i="17"/>
  <c r="R212" i="17"/>
  <c r="R244" i="17"/>
  <c r="R276" i="17"/>
  <c r="R49" i="17"/>
  <c r="R177" i="17"/>
  <c r="R265" i="17"/>
  <c r="R311" i="17"/>
  <c r="R343" i="17"/>
  <c r="R371" i="17"/>
  <c r="R391" i="17"/>
  <c r="R411" i="17"/>
  <c r="R435" i="17"/>
  <c r="R455" i="17"/>
  <c r="R475" i="17"/>
  <c r="R499" i="17"/>
  <c r="R519" i="17"/>
  <c r="R539" i="17"/>
  <c r="R563" i="17"/>
  <c r="R583" i="17"/>
  <c r="R599" i="17"/>
  <c r="R13" i="17"/>
  <c r="R21" i="17"/>
  <c r="R85" i="17"/>
  <c r="R149" i="17"/>
  <c r="R213" i="17"/>
  <c r="R250" i="17"/>
  <c r="R282" i="17"/>
  <c r="R304" i="17"/>
  <c r="R320" i="17"/>
  <c r="R336" i="17"/>
  <c r="R352" i="17"/>
  <c r="R368" i="17"/>
  <c r="R384" i="17"/>
  <c r="R400" i="17"/>
  <c r="R416" i="17"/>
  <c r="R432" i="17"/>
  <c r="R448" i="17"/>
  <c r="R464" i="17"/>
  <c r="R480" i="17"/>
  <c r="R496" i="17"/>
  <c r="R512" i="17"/>
  <c r="R528" i="17"/>
  <c r="R544" i="17"/>
  <c r="R560" i="17"/>
  <c r="R576" i="17"/>
  <c r="R592" i="17"/>
  <c r="R608" i="17"/>
  <c r="R57" i="17"/>
  <c r="R121" i="17"/>
  <c r="R185" i="17"/>
  <c r="R237" i="17"/>
  <c r="R269" i="17"/>
  <c r="R297" i="17"/>
  <c r="R313" i="17"/>
  <c r="R329" i="17"/>
  <c r="R345" i="17"/>
  <c r="R361" i="17"/>
  <c r="R377" i="17"/>
  <c r="R393" i="17"/>
  <c r="R409" i="17"/>
  <c r="R425" i="17"/>
  <c r="R441" i="17"/>
  <c r="R457" i="17"/>
  <c r="R473" i="17"/>
  <c r="R489" i="17"/>
  <c r="R505" i="17"/>
  <c r="R521" i="17"/>
  <c r="R74" i="17"/>
  <c r="R138" i="17"/>
  <c r="R202" i="17"/>
  <c r="R39" i="17"/>
  <c r="R103" i="17"/>
  <c r="R167" i="17"/>
  <c r="R231" i="17"/>
  <c r="R64" i="17"/>
  <c r="R128" i="17"/>
  <c r="R192" i="17"/>
  <c r="R256" i="17"/>
  <c r="R225" i="17"/>
  <c r="R323" i="17"/>
  <c r="R375" i="17"/>
  <c r="R419" i="17"/>
  <c r="R459" i="17"/>
  <c r="R503" i="17"/>
  <c r="R547" i="17"/>
  <c r="R587" i="17"/>
  <c r="R101" i="17"/>
  <c r="R226" i="17"/>
  <c r="R290" i="17"/>
  <c r="R324" i="17"/>
  <c r="R356" i="17"/>
  <c r="R388" i="17"/>
  <c r="R420" i="17"/>
  <c r="R452" i="17"/>
  <c r="R484" i="17"/>
  <c r="R516" i="17"/>
  <c r="R548" i="17"/>
  <c r="R580" i="17"/>
  <c r="R612" i="17"/>
  <c r="R73" i="17"/>
  <c r="R201" i="17"/>
  <c r="R277" i="17"/>
  <c r="R317" i="17"/>
  <c r="R349" i="17"/>
  <c r="R381" i="17"/>
  <c r="R413" i="17"/>
  <c r="R445" i="17"/>
  <c r="R477" i="17"/>
  <c r="R509" i="17"/>
  <c r="R533" i="17"/>
  <c r="R549" i="17"/>
  <c r="R565" i="17"/>
  <c r="R581" i="17"/>
  <c r="R597" i="17"/>
  <c r="R613" i="17"/>
  <c r="R77" i="17"/>
  <c r="R278" i="17"/>
  <c r="R350" i="17"/>
  <c r="R414" i="17"/>
  <c r="R478" i="17"/>
  <c r="R542" i="17"/>
  <c r="R606" i="17"/>
  <c r="R157" i="17"/>
  <c r="R306" i="17"/>
  <c r="R370" i="17"/>
  <c r="R434" i="17"/>
  <c r="R498" i="17"/>
  <c r="R562" i="17"/>
  <c r="R189" i="17"/>
  <c r="R394" i="17"/>
  <c r="R522" i="17"/>
  <c r="R45" i="17"/>
  <c r="R262" i="17"/>
  <c r="R342" i="17"/>
  <c r="R406" i="17"/>
  <c r="R470" i="17"/>
  <c r="R534" i="17"/>
  <c r="R598" i="17"/>
  <c r="R314" i="17"/>
  <c r="R442" i="17"/>
  <c r="R570" i="17"/>
  <c r="R106" i="17"/>
  <c r="R170" i="17"/>
  <c r="R71" i="17"/>
  <c r="R263" i="17"/>
  <c r="R96" i="17"/>
  <c r="R224" i="17"/>
  <c r="R288" i="17"/>
  <c r="R97" i="17"/>
  <c r="R289" i="17"/>
  <c r="R395" i="17"/>
  <c r="R483" i="17"/>
  <c r="R567" i="17"/>
  <c r="R37" i="17"/>
  <c r="R258" i="17"/>
  <c r="R340" i="17"/>
  <c r="R404" i="17"/>
  <c r="R468" i="17"/>
  <c r="R532" i="17"/>
  <c r="R596" i="17"/>
  <c r="R137" i="17"/>
  <c r="R301" i="17"/>
  <c r="R365" i="17"/>
  <c r="R429" i="17"/>
  <c r="R493" i="17"/>
  <c r="R541" i="17"/>
  <c r="R589" i="17"/>
  <c r="R205" i="17"/>
  <c r="R382" i="17"/>
  <c r="R446" i="17"/>
  <c r="R574" i="17"/>
  <c r="R29" i="17"/>
  <c r="R338" i="17"/>
  <c r="R466" i="17"/>
  <c r="R594" i="17"/>
  <c r="R458" i="17"/>
  <c r="R78" i="17"/>
  <c r="R142" i="17"/>
  <c r="R206" i="17"/>
  <c r="R43" i="17"/>
  <c r="R107" i="17"/>
  <c r="R171" i="17"/>
  <c r="R235" i="17"/>
  <c r="R68" i="17"/>
  <c r="R132" i="17"/>
  <c r="R196" i="17"/>
  <c r="R260" i="17"/>
  <c r="R233" i="17"/>
  <c r="R327" i="17"/>
  <c r="R379" i="17"/>
  <c r="R423" i="17"/>
  <c r="R467" i="17"/>
  <c r="R507" i="17"/>
  <c r="R551" i="17"/>
  <c r="R591" i="17"/>
  <c r="R117" i="17"/>
  <c r="R234" i="17"/>
  <c r="R296" i="17"/>
  <c r="R328" i="17"/>
  <c r="R360" i="17"/>
  <c r="R392" i="17"/>
  <c r="R424" i="17"/>
  <c r="R456" i="17"/>
  <c r="R488" i="17"/>
  <c r="R520" i="17"/>
  <c r="R552" i="17"/>
  <c r="R584" i="17"/>
  <c r="R89" i="17"/>
  <c r="R217" i="17"/>
  <c r="R285" i="17"/>
  <c r="R321" i="17"/>
  <c r="R353" i="17"/>
  <c r="R385" i="17"/>
  <c r="R417" i="17"/>
  <c r="R449" i="17"/>
  <c r="R481" i="17"/>
  <c r="R513" i="17"/>
  <c r="R537" i="17"/>
  <c r="R553" i="17"/>
  <c r="R569" i="17"/>
  <c r="R585" i="17"/>
  <c r="R601" i="17"/>
  <c r="R141" i="17"/>
  <c r="R302" i="17"/>
  <c r="R366" i="17"/>
  <c r="R430" i="17"/>
  <c r="R494" i="17"/>
  <c r="R558" i="17"/>
  <c r="R221" i="17"/>
  <c r="R322" i="17"/>
  <c r="R386" i="17"/>
  <c r="R450" i="17"/>
  <c r="R514" i="17"/>
  <c r="R578" i="17"/>
  <c r="R298" i="17"/>
  <c r="R426" i="17"/>
  <c r="R554" i="17"/>
  <c r="R109" i="17"/>
  <c r="R294" i="17"/>
  <c r="R358" i="17"/>
  <c r="R422" i="17"/>
  <c r="R486" i="17"/>
  <c r="R550" i="17"/>
  <c r="R14" i="17"/>
  <c r="R125" i="17"/>
  <c r="R346" i="17"/>
  <c r="R474" i="17"/>
  <c r="R602" i="17"/>
  <c r="R42" i="17"/>
  <c r="R135" i="17"/>
  <c r="R199" i="17"/>
  <c r="R32" i="17"/>
  <c r="R160" i="17"/>
  <c r="R355" i="17"/>
  <c r="R439" i="17"/>
  <c r="R523" i="17"/>
  <c r="R603" i="17"/>
  <c r="R165" i="17"/>
  <c r="R308" i="17"/>
  <c r="R372" i="17"/>
  <c r="R436" i="17"/>
  <c r="R500" i="17"/>
  <c r="R564" i="17"/>
  <c r="R245" i="17"/>
  <c r="R333" i="17"/>
  <c r="R397" i="17"/>
  <c r="R461" i="17"/>
  <c r="R525" i="17"/>
  <c r="R557" i="17"/>
  <c r="R573" i="17"/>
  <c r="R605" i="17"/>
  <c r="R318" i="17"/>
  <c r="R510" i="17"/>
  <c r="R254" i="17"/>
  <c r="R402" i="17"/>
  <c r="R530" i="17"/>
  <c r="R330" i="17"/>
  <c r="R586" i="17"/>
  <c r="R174" i="17"/>
  <c r="R75" i="17"/>
  <c r="R164" i="17"/>
  <c r="R113" i="17"/>
  <c r="R443" i="17"/>
  <c r="R607" i="17"/>
  <c r="R312" i="17"/>
  <c r="R440" i="17"/>
  <c r="R568" i="17"/>
  <c r="R253" i="17"/>
  <c r="R401" i="17"/>
  <c r="R529" i="17"/>
  <c r="R593" i="17"/>
  <c r="R462" i="17"/>
  <c r="R418" i="17"/>
  <c r="R490" i="17"/>
  <c r="R310" i="17"/>
  <c r="R438" i="17"/>
  <c r="R566" i="17"/>
  <c r="R238" i="17"/>
  <c r="R506" i="17"/>
  <c r="R538" i="17"/>
  <c r="R46" i="17"/>
  <c r="R292" i="17"/>
  <c r="R531" i="17"/>
  <c r="R376" i="17"/>
  <c r="R25" i="17"/>
  <c r="R561" i="17"/>
  <c r="R334" i="17"/>
  <c r="R546" i="17"/>
  <c r="R61" i="17"/>
  <c r="R173" i="17"/>
  <c r="R502" i="17"/>
  <c r="R378" i="17"/>
  <c r="R110" i="17"/>
  <c r="R267" i="17"/>
  <c r="R100" i="17"/>
  <c r="R403" i="17"/>
  <c r="R266" i="17"/>
  <c r="R536" i="17"/>
  <c r="R369" i="17"/>
  <c r="R497" i="17"/>
  <c r="R354" i="17"/>
  <c r="R390" i="17"/>
  <c r="R410" i="17"/>
  <c r="R139" i="17"/>
  <c r="R228" i="17"/>
  <c r="R295" i="17"/>
  <c r="R487" i="17"/>
  <c r="R53" i="17"/>
  <c r="R344" i="17"/>
  <c r="R472" i="17"/>
  <c r="R600" i="17"/>
  <c r="R305" i="17"/>
  <c r="R433" i="17"/>
  <c r="R545" i="17"/>
  <c r="R609" i="17"/>
  <c r="R246" i="17"/>
  <c r="R526" i="17"/>
  <c r="R93" i="17"/>
  <c r="R482" i="17"/>
  <c r="R326" i="17"/>
  <c r="R454" i="17"/>
  <c r="R582" i="17"/>
  <c r="R270" i="17"/>
  <c r="R203" i="17"/>
  <c r="R36" i="17"/>
  <c r="R359" i="17"/>
  <c r="R181" i="17"/>
  <c r="R504" i="17"/>
  <c r="R337" i="17"/>
  <c r="R465" i="17"/>
  <c r="R590" i="17"/>
  <c r="R286" i="17"/>
  <c r="R374" i="17"/>
  <c r="R571" i="17"/>
  <c r="R408" i="17"/>
  <c r="R153" i="17"/>
  <c r="R577" i="17"/>
  <c r="R398" i="17"/>
  <c r="R610" i="17"/>
  <c r="R362" i="17"/>
  <c r="R230" i="17"/>
  <c r="R518" i="17"/>
  <c r="Q368" i="17"/>
  <c r="Q65" i="17"/>
  <c r="Q367" i="17"/>
  <c r="Q518" i="17"/>
  <c r="Q465" i="17"/>
  <c r="Q63" i="17"/>
  <c r="Q480" i="17"/>
  <c r="Q252" i="17"/>
  <c r="Q363" i="17"/>
  <c r="Q566" i="17"/>
  <c r="Q513" i="17"/>
  <c r="Q159" i="17"/>
  <c r="Q560" i="17"/>
  <c r="Q204" i="17"/>
  <c r="Q415" i="17"/>
  <c r="Q287" i="17"/>
  <c r="Q109" i="17"/>
  <c r="Q486" i="17"/>
  <c r="Q230" i="17"/>
  <c r="Q433" i="17"/>
  <c r="Q169" i="17"/>
  <c r="Q166" i="17"/>
  <c r="Q472" i="17"/>
  <c r="Q524" i="17"/>
  <c r="Q463" i="17"/>
  <c r="Q207" i="17"/>
  <c r="Q326" i="17"/>
  <c r="Q273" i="17"/>
  <c r="Q468" i="17"/>
  <c r="Q380" i="17"/>
  <c r="Q459" i="17"/>
  <c r="Q203" i="17"/>
  <c r="Q246" i="17"/>
  <c r="Q257" i="17"/>
  <c r="Q420" i="17"/>
  <c r="Q168" i="17"/>
  <c r="Q607" i="17"/>
  <c r="Q404" i="17"/>
  <c r="Q544" i="17"/>
  <c r="Q360" i="17"/>
  <c r="Q316" i="17"/>
  <c r="Q539" i="17"/>
  <c r="Q411" i="17"/>
  <c r="Q283" i="17"/>
  <c r="Q93" i="17"/>
  <c r="Q406" i="17"/>
  <c r="Q73" i="17"/>
  <c r="Q353" i="17"/>
  <c r="Q120" i="17"/>
  <c r="Q610" i="17"/>
  <c r="Q482" i="17"/>
  <c r="Q354" i="17"/>
  <c r="Q242" i="17"/>
  <c r="Q573" i="17"/>
  <c r="Q429" i="17"/>
  <c r="Q301" i="17"/>
  <c r="Q161" i="17"/>
  <c r="Q84" i="17"/>
  <c r="Q91" i="17"/>
  <c r="Q584" i="17"/>
  <c r="Q388" i="17"/>
  <c r="Q552" i="17"/>
  <c r="Q528" i="17"/>
  <c r="Q272" i="17"/>
  <c r="Q344" i="17"/>
  <c r="Q556" i="17"/>
  <c r="Q300" i="17"/>
  <c r="Q599" i="17"/>
  <c r="Q535" i="17"/>
  <c r="Q471" i="17"/>
  <c r="Q407" i="17"/>
  <c r="Q343" i="17"/>
  <c r="Q279" i="17"/>
  <c r="Q215" i="17"/>
  <c r="Q77" i="17"/>
  <c r="Q574" i="17"/>
  <c r="Q510" i="17"/>
  <c r="Q446" i="17"/>
  <c r="Q382" i="17"/>
  <c r="Q318" i="17"/>
  <c r="Q254" i="17"/>
  <c r="Q190" i="17"/>
  <c r="Q585" i="17"/>
  <c r="Q521" i="17"/>
  <c r="Q457" i="17"/>
  <c r="Q393" i="17"/>
  <c r="Q329" i="17"/>
  <c r="Q265" i="17"/>
  <c r="Q201" i="17"/>
  <c r="Q21" i="17"/>
  <c r="Q96" i="17"/>
  <c r="Q32" i="17"/>
  <c r="Q111" i="17"/>
  <c r="Q182" i="17"/>
  <c r="Q54" i="17"/>
  <c r="Q530" i="17"/>
  <c r="Q402" i="17"/>
  <c r="Q274" i="17"/>
  <c r="Q589" i="17"/>
  <c r="Q477" i="17"/>
  <c r="Q349" i="17"/>
  <c r="Q221" i="17"/>
  <c r="Q100" i="17"/>
  <c r="Q59" i="17"/>
  <c r="Q520" i="17"/>
  <c r="Q372" i="17"/>
  <c r="Q504" i="17"/>
  <c r="Q512" i="17"/>
  <c r="Q256" i="17"/>
  <c r="Q296" i="17"/>
  <c r="Q540" i="17"/>
  <c r="Q284" i="17"/>
  <c r="Q595" i="17"/>
  <c r="Q531" i="17"/>
  <c r="Q467" i="17"/>
  <c r="Q403" i="17"/>
  <c r="Q339" i="17"/>
  <c r="Q275" i="17"/>
  <c r="Q211" i="17"/>
  <c r="Q61" i="17"/>
  <c r="Q570" i="17"/>
  <c r="Q506" i="17"/>
  <c r="Q442" i="17"/>
  <c r="Q378" i="17"/>
  <c r="Q314" i="17"/>
  <c r="Q250" i="17"/>
  <c r="Q186" i="17"/>
  <c r="Q581" i="17"/>
  <c r="Q517" i="17"/>
  <c r="Q453" i="17"/>
  <c r="Q389" i="17"/>
  <c r="Q325" i="17"/>
  <c r="Q261" i="17"/>
  <c r="Q197" i="17"/>
  <c r="Q156" i="17"/>
  <c r="Q92" i="17"/>
  <c r="Q28" i="17"/>
  <c r="Q75" i="17"/>
  <c r="Q114" i="17"/>
  <c r="Q183" i="17"/>
  <c r="Q119" i="17"/>
  <c r="Q55" i="17"/>
  <c r="Q158" i="17"/>
  <c r="Q94" i="17"/>
  <c r="Q30" i="17"/>
  <c r="Q131" i="17"/>
  <c r="Q67" i="17"/>
  <c r="Q170" i="17"/>
  <c r="Q106" i="17"/>
  <c r="Q42" i="17"/>
  <c r="Q70" i="17"/>
  <c r="Q304" i="17"/>
  <c r="Q575" i="17"/>
  <c r="Q383" i="17"/>
  <c r="Q255" i="17"/>
  <c r="Q17" i="17"/>
  <c r="Q422" i="17"/>
  <c r="Q137" i="17"/>
  <c r="Q369" i="17"/>
  <c r="Q136" i="17"/>
  <c r="Q38" i="17"/>
  <c r="Q496" i="17"/>
  <c r="Q268" i="17"/>
  <c r="Q399" i="17"/>
  <c r="Q45" i="17"/>
  <c r="Q198" i="17"/>
  <c r="Q53" i="17"/>
  <c r="Q212" i="17"/>
  <c r="Q33" i="17"/>
  <c r="Q395" i="17"/>
  <c r="Q29" i="17"/>
  <c r="Q577" i="17"/>
  <c r="Q193" i="17"/>
  <c r="Q129" i="17"/>
  <c r="Q596" i="17"/>
  <c r="Q543" i="17"/>
  <c r="Q276" i="17"/>
  <c r="Q416" i="17"/>
  <c r="Q564" i="17"/>
  <c r="Q188" i="17"/>
  <c r="Q507" i="17"/>
  <c r="Q379" i="17"/>
  <c r="Q251" i="17"/>
  <c r="Q598" i="17"/>
  <c r="Q342" i="17"/>
  <c r="Q545" i="17"/>
  <c r="Q289" i="17"/>
  <c r="Q56" i="17"/>
  <c r="Q578" i="17"/>
  <c r="Q450" i="17"/>
  <c r="Q322" i="17"/>
  <c r="Q210" i="17"/>
  <c r="Q541" i="17"/>
  <c r="Q397" i="17"/>
  <c r="Q269" i="17"/>
  <c r="Q37" i="17"/>
  <c r="Q52" i="17"/>
  <c r="Q27" i="17"/>
  <c r="Q312" i="17"/>
  <c r="Q324" i="17"/>
  <c r="Q376" i="17"/>
  <c r="Q464" i="17"/>
  <c r="Q208" i="17"/>
  <c r="Q184" i="17"/>
  <c r="Q492" i="17"/>
  <c r="Q236" i="17"/>
  <c r="Q583" i="17"/>
  <c r="Q519" i="17"/>
  <c r="Q455" i="17"/>
  <c r="Q391" i="17"/>
  <c r="Q327" i="17"/>
  <c r="Q263" i="17"/>
  <c r="Q199" i="17"/>
  <c r="Q81" i="17"/>
  <c r="Q558" i="17"/>
  <c r="Q494" i="17"/>
  <c r="Q430" i="17"/>
  <c r="Q366" i="17"/>
  <c r="Q302" i="17"/>
  <c r="Q238" i="17"/>
  <c r="Q164" i="17"/>
  <c r="Q569" i="17"/>
  <c r="Q505" i="17"/>
  <c r="Q441" i="17"/>
  <c r="Q377" i="17"/>
  <c r="Q313" i="17"/>
  <c r="Q249" i="17"/>
  <c r="Q185" i="17"/>
  <c r="Q144" i="17"/>
  <c r="Q80" i="17"/>
  <c r="Q16" i="17"/>
  <c r="Q79" i="17"/>
  <c r="Q150" i="17"/>
  <c r="Q22" i="17"/>
  <c r="Q498" i="17"/>
  <c r="Q370" i="17"/>
  <c r="Q226" i="17"/>
  <c r="Q557" i="17"/>
  <c r="Q445" i="17"/>
  <c r="Q317" i="17"/>
  <c r="Q189" i="17"/>
  <c r="Q68" i="17"/>
  <c r="Q162" i="17"/>
  <c r="Q248" i="17"/>
  <c r="Q308" i="17"/>
  <c r="Q328" i="17"/>
  <c r="Q448" i="17"/>
  <c r="Q192" i="17"/>
  <c r="Q612" i="17"/>
  <c r="Q476" i="17"/>
  <c r="Q220" i="17"/>
  <c r="Q579" i="17"/>
  <c r="Q515" i="17"/>
  <c r="Q451" i="17"/>
  <c r="Q387" i="17"/>
  <c r="Q323" i="17"/>
  <c r="Q259" i="17"/>
  <c r="Q195" i="17"/>
  <c r="Q49" i="17"/>
  <c r="Q554" i="17"/>
  <c r="Q490" i="17"/>
  <c r="Q426" i="17"/>
  <c r="Q362" i="17"/>
  <c r="Q298" i="17"/>
  <c r="Q234" i="17"/>
  <c r="Q153" i="17"/>
  <c r="Q565" i="17"/>
  <c r="Q501" i="17"/>
  <c r="Q437" i="17"/>
  <c r="Q373" i="17"/>
  <c r="Q309" i="17"/>
  <c r="Q245" i="17"/>
  <c r="Q177" i="17"/>
  <c r="Q140" i="17"/>
  <c r="Q76" i="17"/>
  <c r="Q171" i="17"/>
  <c r="Q43" i="17"/>
  <c r="Q82" i="17"/>
  <c r="Q167" i="17"/>
  <c r="Q103" i="17"/>
  <c r="Q39" i="17"/>
  <c r="Q142" i="17"/>
  <c r="Q78" i="17"/>
  <c r="Q179" i="17"/>
  <c r="Q115" i="17"/>
  <c r="Q51" i="17"/>
  <c r="Q154" i="17"/>
  <c r="Q90" i="17"/>
  <c r="Q26" i="17"/>
  <c r="E47" i="1"/>
  <c r="B282" i="2"/>
  <c r="E43" i="1"/>
  <c r="B114" i="2"/>
  <c r="E39" i="1" s="1"/>
  <c r="U82" i="21"/>
  <c r="AK97" i="21"/>
  <c r="BD97" i="21" s="1"/>
  <c r="AX97" i="21" s="1"/>
  <c r="U11" i="21"/>
  <c r="AK83" i="21"/>
  <c r="BD83" i="21" s="1"/>
  <c r="AX83" i="21" s="1"/>
  <c r="U22" i="21"/>
  <c r="AK35" i="21"/>
  <c r="BD35" i="21" s="1"/>
  <c r="AX35" i="21" s="1"/>
  <c r="AK47" i="21"/>
  <c r="BD47" i="21" s="1"/>
  <c r="AX47" i="21" s="1"/>
  <c r="AI67" i="21"/>
  <c r="AK67" i="21" s="1"/>
  <c r="BD67" i="21" s="1"/>
  <c r="AX67" i="21" s="1"/>
  <c r="AK81" i="21"/>
  <c r="BD81" i="21" s="1"/>
  <c r="AX81" i="21" s="1"/>
  <c r="AK82" i="21"/>
  <c r="BD82" i="21" s="1"/>
  <c r="AX82" i="21" s="1"/>
  <c r="AK106" i="21"/>
  <c r="BD106" i="21" s="1"/>
  <c r="AX106" i="21" s="1"/>
  <c r="AT58" i="21"/>
  <c r="AK105" i="21"/>
  <c r="BD105" i="21" s="1"/>
  <c r="AX105" i="21" s="1"/>
  <c r="AK109" i="21"/>
  <c r="BD109" i="21" s="1"/>
  <c r="AX109" i="21" s="1"/>
  <c r="AK93" i="21"/>
  <c r="BD93" i="21" s="1"/>
  <c r="AX93" i="21" s="1"/>
  <c r="AK45" i="21"/>
  <c r="BD45" i="21" s="1"/>
  <c r="AX45" i="21" s="1"/>
  <c r="AK90" i="21"/>
  <c r="BD90" i="21" s="1"/>
  <c r="AX90" i="21" s="1"/>
  <c r="AK101" i="21"/>
  <c r="BD101" i="21" s="1"/>
  <c r="AX101" i="21" s="1"/>
  <c r="AK43" i="21"/>
  <c r="BD43" i="21" s="1"/>
  <c r="AX43" i="21" s="1"/>
  <c r="AK62" i="21"/>
  <c r="BD62" i="21" s="1"/>
  <c r="AX62" i="21" s="1"/>
  <c r="U68" i="21"/>
  <c r="AT74" i="21"/>
  <c r="AT66" i="21"/>
  <c r="U9" i="21"/>
  <c r="U89" i="21"/>
  <c r="U14" i="21"/>
  <c r="U63" i="21"/>
  <c r="AT70" i="21"/>
  <c r="AK89" i="21"/>
  <c r="BD89" i="21" s="1"/>
  <c r="AX89" i="21" s="1"/>
  <c r="U72" i="21"/>
  <c r="U53" i="21"/>
  <c r="AK63" i="21"/>
  <c r="BD63" i="21" s="1"/>
  <c r="AX63" i="21" s="1"/>
  <c r="U44" i="21"/>
  <c r="AK56" i="21"/>
  <c r="BD56" i="21" s="1"/>
  <c r="AX56" i="21" s="1"/>
  <c r="U59" i="21"/>
  <c r="AK99" i="21"/>
  <c r="BD99" i="21" s="1"/>
  <c r="AX99" i="21" s="1"/>
  <c r="U102" i="21"/>
  <c r="AI59" i="21"/>
  <c r="AK59" i="21" s="1"/>
  <c r="BD59" i="21" s="1"/>
  <c r="AX59" i="21" s="1"/>
  <c r="AK55" i="21"/>
  <c r="BD55" i="21" s="1"/>
  <c r="AX55" i="21" s="1"/>
  <c r="AK76" i="21"/>
  <c r="BD76" i="21" s="1"/>
  <c r="AX76" i="21" s="1"/>
  <c r="AI9" i="21"/>
  <c r="AK9" i="21" s="1"/>
  <c r="BD9" i="21" s="1"/>
  <c r="AX9" i="21" s="1"/>
  <c r="BE9" i="21"/>
  <c r="AI14" i="21"/>
  <c r="AK14" i="21" s="1"/>
  <c r="BD14" i="21" s="1"/>
  <c r="AX14" i="21" s="1"/>
  <c r="U62" i="21"/>
  <c r="U93" i="21"/>
  <c r="U76" i="21"/>
  <c r="U24" i="21"/>
  <c r="AK42" i="21"/>
  <c r="BD42" i="21" s="1"/>
  <c r="AX42" i="21" s="1"/>
  <c r="U97" i="21"/>
  <c r="U98" i="21"/>
  <c r="AK87" i="21"/>
  <c r="BD87" i="21" s="1"/>
  <c r="AX87" i="21" s="1"/>
  <c r="AK85" i="21"/>
  <c r="BD85" i="21" s="1"/>
  <c r="AX85" i="21" s="1"/>
  <c r="AK107" i="21"/>
  <c r="BD107" i="21" s="1"/>
  <c r="AX107" i="21" s="1"/>
  <c r="AK61" i="21"/>
  <c r="BD61" i="21" s="1"/>
  <c r="AX61" i="21" s="1"/>
  <c r="AK64" i="21"/>
  <c r="BD64" i="21" s="1"/>
  <c r="AX64" i="21" s="1"/>
  <c r="AK91" i="21"/>
  <c r="BD91" i="21" s="1"/>
  <c r="AX91" i="21" s="1"/>
  <c r="AK46" i="21"/>
  <c r="BD46" i="21" s="1"/>
  <c r="AX46" i="21" s="1"/>
  <c r="AK28" i="21"/>
  <c r="BD28" i="21" s="1"/>
  <c r="AX28" i="21" s="1"/>
  <c r="AK21" i="21"/>
  <c r="BD21" i="21" s="1"/>
  <c r="AX21" i="21" s="1"/>
  <c r="AK24" i="21"/>
  <c r="BD24" i="21" s="1"/>
  <c r="AX24" i="21" s="1"/>
  <c r="AK32" i="21"/>
  <c r="BD32" i="21" s="1"/>
  <c r="AX32" i="21" s="1"/>
  <c r="AK12" i="21"/>
  <c r="BD12" i="21" s="1"/>
  <c r="AX12" i="21" s="1"/>
  <c r="AK16" i="21"/>
  <c r="BD16" i="21" s="1"/>
  <c r="AX16" i="21" s="1"/>
  <c r="AK25" i="21"/>
  <c r="BD25" i="21" s="1"/>
  <c r="AX25" i="21" s="1"/>
  <c r="AK34" i="21"/>
  <c r="BD34" i="21" s="1"/>
  <c r="AX34" i="21" s="1"/>
  <c r="AK11" i="21"/>
  <c r="BD11" i="21" s="1"/>
  <c r="AX11" i="21" s="1"/>
  <c r="AK15" i="21"/>
  <c r="BD15" i="21" s="1"/>
  <c r="AX15" i="21" s="1"/>
  <c r="AK26" i="21"/>
  <c r="BD26" i="21" s="1"/>
  <c r="AX26" i="21" s="1"/>
  <c r="AK20" i="21"/>
  <c r="BD20" i="21" s="1"/>
  <c r="AX20" i="21" s="1"/>
  <c r="AK29" i="21"/>
  <c r="BD29" i="21" s="1"/>
  <c r="AX29" i="21" s="1"/>
  <c r="AT94" i="21"/>
  <c r="AK27" i="21"/>
  <c r="BD27" i="21" s="1"/>
  <c r="AX27" i="21" s="1"/>
  <c r="AT84" i="21"/>
  <c r="AK10" i="21"/>
  <c r="BD10" i="21" s="1"/>
  <c r="AX10" i="21" s="1"/>
  <c r="U21" i="21"/>
  <c r="AK33" i="21"/>
  <c r="BD33" i="21" s="1"/>
  <c r="AX33" i="21" s="1"/>
  <c r="AK13" i="21"/>
  <c r="BD13" i="21" s="1"/>
  <c r="AX13" i="21" s="1"/>
  <c r="AK19" i="21"/>
  <c r="BD19" i="21" s="1"/>
  <c r="AX19" i="21" s="1"/>
  <c r="AK22" i="21"/>
  <c r="BD22" i="21" s="1"/>
  <c r="AX22" i="21" s="1"/>
  <c r="AK18" i="21"/>
  <c r="BD18" i="21" s="1"/>
  <c r="AX18" i="21" s="1"/>
  <c r="AK31" i="21"/>
  <c r="BD31" i="21" s="1"/>
  <c r="AX31" i="21" s="1"/>
  <c r="AK17" i="21"/>
  <c r="BD17" i="21" s="1"/>
  <c r="AX17" i="21" s="1"/>
  <c r="AK23" i="21"/>
  <c r="BD23" i="21" s="1"/>
  <c r="AX23" i="21" s="1"/>
  <c r="AK30" i="21"/>
  <c r="BD30" i="21" s="1"/>
  <c r="AX30" i="21" s="1"/>
  <c r="AT57" i="21"/>
  <c r="U83" i="21"/>
  <c r="U45" i="21"/>
  <c r="U49" i="21"/>
  <c r="U46" i="21"/>
  <c r="U36" i="21"/>
  <c r="U35" i="21"/>
  <c r="U38" i="21"/>
  <c r="U52" i="21"/>
  <c r="U54" i="21"/>
  <c r="U56" i="21"/>
  <c r="U43" i="21"/>
  <c r="U51" i="21"/>
  <c r="U41" i="21"/>
  <c r="U40" i="21"/>
  <c r="U42" i="21"/>
  <c r="U50" i="21"/>
  <c r="U37" i="21"/>
  <c r="U39" i="21"/>
  <c r="U48" i="21"/>
  <c r="AI41" i="21"/>
  <c r="AK41" i="21" s="1"/>
  <c r="BD41" i="21" s="1"/>
  <c r="AX41" i="21" s="1"/>
  <c r="AI71" i="21"/>
  <c r="AK71" i="21" s="1"/>
  <c r="BD71" i="21" s="1"/>
  <c r="AX71" i="21" s="1"/>
  <c r="AI95" i="21"/>
  <c r="AK95" i="21" s="1"/>
  <c r="BD95" i="21" s="1"/>
  <c r="AX95" i="21" s="1"/>
  <c r="U20" i="21"/>
  <c r="AI38" i="21"/>
  <c r="AK38" i="21" s="1"/>
  <c r="BD38" i="21" s="1"/>
  <c r="AX38" i="21" s="1"/>
  <c r="AI65" i="21"/>
  <c r="AK65" i="21" s="1"/>
  <c r="BD65" i="21" s="1"/>
  <c r="AX65" i="21" s="1"/>
  <c r="AI88" i="21"/>
  <c r="AK88" i="21" s="1"/>
  <c r="BD88" i="21" s="1"/>
  <c r="AX88" i="21" s="1"/>
  <c r="AI100" i="21"/>
  <c r="AK100" i="21" s="1"/>
  <c r="BD100" i="21" s="1"/>
  <c r="AX100" i="21" s="1"/>
  <c r="AI51" i="21"/>
  <c r="AK51" i="21" s="1"/>
  <c r="BD51" i="21" s="1"/>
  <c r="AX51" i="21" s="1"/>
  <c r="U18" i="21"/>
  <c r="AI60" i="21"/>
  <c r="AK60" i="21" s="1"/>
  <c r="BD60" i="21" s="1"/>
  <c r="AX60" i="21" s="1"/>
  <c r="AI75" i="21"/>
  <c r="AK75" i="21" s="1"/>
  <c r="BD75" i="21" s="1"/>
  <c r="AX75" i="21" s="1"/>
  <c r="U71" i="21"/>
  <c r="U99" i="21"/>
  <c r="U17" i="21"/>
  <c r="U108" i="21"/>
  <c r="U92" i="21"/>
  <c r="U32" i="21"/>
  <c r="U34" i="21"/>
  <c r="AI37" i="21"/>
  <c r="AK37" i="21" s="1"/>
  <c r="BD37" i="21" s="1"/>
  <c r="AX37" i="21" s="1"/>
  <c r="AI52" i="21"/>
  <c r="AK52" i="21" s="1"/>
  <c r="BD52" i="21" s="1"/>
  <c r="AX52" i="21" s="1"/>
  <c r="AI39" i="21"/>
  <c r="AK39" i="21" s="1"/>
  <c r="BD39" i="21" s="1"/>
  <c r="AX39" i="21" s="1"/>
  <c r="AI54" i="21"/>
  <c r="AK54" i="21" s="1"/>
  <c r="BD54" i="21" s="1"/>
  <c r="AX54" i="21" s="1"/>
  <c r="AI80" i="21"/>
  <c r="AK80" i="21" s="1"/>
  <c r="BD80" i="21" s="1"/>
  <c r="AX80" i="21" s="1"/>
  <c r="BA66" i="21"/>
  <c r="U95" i="21"/>
  <c r="U19" i="21"/>
  <c r="U23" i="21"/>
  <c r="U65" i="21"/>
  <c r="U77" i="21"/>
  <c r="U80" i="21"/>
  <c r="U79" i="21"/>
  <c r="U104" i="21"/>
  <c r="U12" i="21"/>
  <c r="U31" i="21"/>
  <c r="AI103" i="21"/>
  <c r="AK103" i="21" s="1"/>
  <c r="BD103" i="21" s="1"/>
  <c r="AX103" i="21" s="1"/>
  <c r="AI77" i="21"/>
  <c r="AK77" i="21" s="1"/>
  <c r="BD77" i="21" s="1"/>
  <c r="AX77" i="21" s="1"/>
  <c r="AI49" i="21"/>
  <c r="AK49" i="21" s="1"/>
  <c r="BD49" i="21" s="1"/>
  <c r="AX49" i="21" s="1"/>
  <c r="AI73" i="21"/>
  <c r="AK73" i="21" s="1"/>
  <c r="BD73" i="21" s="1"/>
  <c r="AX73" i="21" s="1"/>
  <c r="AI108" i="21"/>
  <c r="AK108" i="21" s="1"/>
  <c r="BD108" i="21" s="1"/>
  <c r="AX108" i="21" s="1"/>
  <c r="AI92" i="21"/>
  <c r="AK92" i="21" s="1"/>
  <c r="BD92" i="21" s="1"/>
  <c r="AX92" i="21" s="1"/>
  <c r="U25" i="21"/>
  <c r="AI69" i="21"/>
  <c r="AK69" i="21" s="1"/>
  <c r="BD69" i="21" s="1"/>
  <c r="AX69" i="21" s="1"/>
  <c r="AI50" i="21"/>
  <c r="AK50" i="21" s="1"/>
  <c r="BD50" i="21" s="1"/>
  <c r="AX50" i="21" s="1"/>
  <c r="U107" i="21"/>
  <c r="U91" i="21"/>
  <c r="U61" i="21"/>
  <c r="U87" i="21"/>
  <c r="U27" i="21"/>
  <c r="U88" i="21"/>
  <c r="U73" i="21"/>
  <c r="U100" i="21"/>
  <c r="U64" i="21"/>
  <c r="U85" i="21"/>
  <c r="AI78" i="21"/>
  <c r="AK78" i="21" s="1"/>
  <c r="BD78" i="21" s="1"/>
  <c r="AX78" i="21" s="1"/>
  <c r="U29" i="21"/>
  <c r="U28" i="21"/>
  <c r="AI79" i="21"/>
  <c r="AK79" i="21" s="1"/>
  <c r="BD79" i="21" s="1"/>
  <c r="AX79" i="21" s="1"/>
  <c r="AI104" i="21"/>
  <c r="AK104" i="21" s="1"/>
  <c r="BD104" i="21" s="1"/>
  <c r="AX104" i="21" s="1"/>
  <c r="AI96" i="21"/>
  <c r="AK96" i="21" s="1"/>
  <c r="BD96" i="21" s="1"/>
  <c r="AX96" i="21" s="1"/>
  <c r="AI48" i="21"/>
  <c r="AK48" i="21" s="1"/>
  <c r="BD48" i="21" s="1"/>
  <c r="AX48" i="21" s="1"/>
  <c r="U26" i="21"/>
  <c r="AI40" i="21"/>
  <c r="AK40" i="21" s="1"/>
  <c r="BD40" i="21" s="1"/>
  <c r="AX40" i="21" s="1"/>
  <c r="AI86" i="21"/>
  <c r="AK86" i="21" s="1"/>
  <c r="BD86" i="21" s="1"/>
  <c r="AX86" i="21" s="1"/>
  <c r="U78" i="21"/>
  <c r="U103" i="21"/>
  <c r="U13" i="21"/>
  <c r="AI36" i="21"/>
  <c r="AK36" i="21" s="1"/>
  <c r="BD36" i="21" s="1"/>
  <c r="AX36" i="21" s="1"/>
  <c r="U96" i="21"/>
  <c r="U16" i="21"/>
  <c r="U33" i="21"/>
  <c r="U60" i="21"/>
  <c r="U69" i="21"/>
  <c r="U75" i="21"/>
  <c r="U86" i="21"/>
  <c r="E21" i="1"/>
  <c r="F4" i="17"/>
  <c r="E22" i="1"/>
  <c r="E34" i="1"/>
  <c r="B125" i="2"/>
  <c r="L126" i="2" s="1"/>
  <c r="L127" i="2"/>
  <c r="K126" i="2"/>
  <c r="E45" i="1"/>
  <c r="B215" i="2"/>
  <c r="F7" i="17"/>
  <c r="B233" i="2"/>
  <c r="H120" i="2"/>
  <c r="C3" i="17" l="1"/>
  <c r="B241" i="2"/>
  <c r="F14" i="29"/>
  <c r="I14" i="29"/>
  <c r="E17" i="29"/>
  <c r="B284" i="2"/>
  <c r="B285" i="2" s="1"/>
  <c r="B292" i="2" s="1"/>
  <c r="G13" i="28"/>
  <c r="K241" i="2"/>
  <c r="N4" i="17"/>
  <c r="AT42" i="21"/>
  <c r="AV42" i="21" s="1"/>
  <c r="AZ42" i="21" s="1"/>
  <c r="AT100" i="21"/>
  <c r="AV100" i="21" s="1"/>
  <c r="AZ100" i="21" s="1"/>
  <c r="AT34" i="21"/>
  <c r="AV34" i="21" s="1"/>
  <c r="AZ34" i="21" s="1"/>
  <c r="AT17" i="21"/>
  <c r="AV17" i="21" s="1"/>
  <c r="AZ17" i="21" s="1"/>
  <c r="AT35" i="21"/>
  <c r="AV35" i="21" s="1"/>
  <c r="AZ35" i="21" s="1"/>
  <c r="AT25" i="21"/>
  <c r="AV25" i="21" s="1"/>
  <c r="AZ25" i="21" s="1"/>
  <c r="AT106" i="21"/>
  <c r="AV106" i="21" s="1"/>
  <c r="AZ106" i="21" s="1"/>
  <c r="AT56" i="21"/>
  <c r="AV56" i="21" s="1"/>
  <c r="AZ56" i="21" s="1"/>
  <c r="AT75" i="21"/>
  <c r="AV75" i="21" s="1"/>
  <c r="AZ75" i="21" s="1"/>
  <c r="AT26" i="21"/>
  <c r="AV26" i="21" s="1"/>
  <c r="AZ26" i="21" s="1"/>
  <c r="AT85" i="21"/>
  <c r="AV85" i="21" s="1"/>
  <c r="AZ85" i="21" s="1"/>
  <c r="AT32" i="21"/>
  <c r="AV32" i="21" s="1"/>
  <c r="AZ32" i="21" s="1"/>
  <c r="AT99" i="21"/>
  <c r="AV99" i="21" s="1"/>
  <c r="AZ99" i="21" s="1"/>
  <c r="AT41" i="21"/>
  <c r="AV41" i="21" s="1"/>
  <c r="AZ41" i="21" s="1"/>
  <c r="AT83" i="21"/>
  <c r="AV83" i="21" s="1"/>
  <c r="AZ83" i="21" s="1"/>
  <c r="AT44" i="21"/>
  <c r="AV44" i="21" s="1"/>
  <c r="AZ44" i="21" s="1"/>
  <c r="AT103" i="21"/>
  <c r="AV103" i="21" s="1"/>
  <c r="AZ103" i="21" s="1"/>
  <c r="AT98" i="21"/>
  <c r="AV98" i="21" s="1"/>
  <c r="AZ98" i="21" s="1"/>
  <c r="AT96" i="21"/>
  <c r="AV96" i="21" s="1"/>
  <c r="AZ96" i="21" s="1"/>
  <c r="AT27" i="21"/>
  <c r="AV27" i="21" s="1"/>
  <c r="AZ27" i="21" s="1"/>
  <c r="AT50" i="21"/>
  <c r="AV50" i="21" s="1"/>
  <c r="AZ50" i="21" s="1"/>
  <c r="AT90" i="21"/>
  <c r="AV90" i="21" s="1"/>
  <c r="AZ90" i="21" s="1"/>
  <c r="AT105" i="21"/>
  <c r="AV105" i="21" s="1"/>
  <c r="AZ105" i="21" s="1"/>
  <c r="AT86" i="21"/>
  <c r="AV86" i="21" s="1"/>
  <c r="AZ86" i="21" s="1"/>
  <c r="AT33" i="21"/>
  <c r="AV33" i="21" s="1"/>
  <c r="AZ33" i="21" s="1"/>
  <c r="AT13" i="21"/>
  <c r="AV13" i="21" s="1"/>
  <c r="AZ13" i="21" s="1"/>
  <c r="AT73" i="21"/>
  <c r="AV73" i="21" s="1"/>
  <c r="AZ73" i="21" s="1"/>
  <c r="AT61" i="21"/>
  <c r="AV61" i="21" s="1"/>
  <c r="AZ61" i="21" s="1"/>
  <c r="AT31" i="21"/>
  <c r="AV31" i="21" s="1"/>
  <c r="AZ31" i="21" s="1"/>
  <c r="AT80" i="21"/>
  <c r="AV80" i="21" s="1"/>
  <c r="AZ80" i="21" s="1"/>
  <c r="AT19" i="21"/>
  <c r="AV19" i="21" s="1"/>
  <c r="AT39" i="21"/>
  <c r="AV39" i="21" s="1"/>
  <c r="AZ39" i="21" s="1"/>
  <c r="AT45" i="21"/>
  <c r="AV45" i="21" s="1"/>
  <c r="AZ45" i="21" s="1"/>
  <c r="AT24" i="21"/>
  <c r="AV24" i="21" s="1"/>
  <c r="AZ24" i="21" s="1"/>
  <c r="AT81" i="21"/>
  <c r="AV81" i="21" s="1"/>
  <c r="AZ81" i="21" s="1"/>
  <c r="AT9" i="21"/>
  <c r="AV9" i="21" s="1"/>
  <c r="AZ9" i="21" s="1"/>
  <c r="AT55" i="21"/>
  <c r="AV55" i="21" s="1"/>
  <c r="AZ55" i="21" s="1"/>
  <c r="AT101" i="21"/>
  <c r="AV101" i="21" s="1"/>
  <c r="AZ101" i="21" s="1"/>
  <c r="AT109" i="21"/>
  <c r="AV109" i="21" s="1"/>
  <c r="AZ109" i="21" s="1"/>
  <c r="AT47" i="21"/>
  <c r="AV47" i="21" s="1"/>
  <c r="AZ47" i="21" s="1"/>
  <c r="AT30" i="21"/>
  <c r="AV30" i="21" s="1"/>
  <c r="AZ30" i="21" s="1"/>
  <c r="AT102" i="21"/>
  <c r="AV102" i="21" s="1"/>
  <c r="AZ102" i="21" s="1"/>
  <c r="AT72" i="21"/>
  <c r="AV72" i="21" s="1"/>
  <c r="AZ72" i="21" s="1"/>
  <c r="AT15" i="21"/>
  <c r="AV15" i="21" s="1"/>
  <c r="AZ15" i="21" s="1"/>
  <c r="AT88" i="21"/>
  <c r="AV88" i="21" s="1"/>
  <c r="AZ88" i="21" s="1"/>
  <c r="AT12" i="21"/>
  <c r="AV12" i="21" s="1"/>
  <c r="AZ12" i="21" s="1"/>
  <c r="AT95" i="21"/>
  <c r="AV95" i="21" s="1"/>
  <c r="AZ95" i="21" s="1"/>
  <c r="AT37" i="21"/>
  <c r="AV37" i="21" s="1"/>
  <c r="AZ37" i="21" s="1"/>
  <c r="AT54" i="21"/>
  <c r="AV54" i="21" s="1"/>
  <c r="AZ54" i="21" s="1"/>
  <c r="AT76" i="21"/>
  <c r="AV76" i="21" s="1"/>
  <c r="AZ76" i="21" s="1"/>
  <c r="AT63" i="21"/>
  <c r="AV63" i="21" s="1"/>
  <c r="AZ63" i="21" s="1"/>
  <c r="AT22" i="21"/>
  <c r="AV22" i="21" s="1"/>
  <c r="AZ22" i="21" s="1"/>
  <c r="AT69" i="21"/>
  <c r="AV69" i="21" s="1"/>
  <c r="AZ69" i="21" s="1"/>
  <c r="AT78" i="21"/>
  <c r="AV78" i="21" s="1"/>
  <c r="AZ78" i="21" s="1"/>
  <c r="AT28" i="21"/>
  <c r="AV28" i="21" s="1"/>
  <c r="AZ28" i="21" s="1"/>
  <c r="AT64" i="21"/>
  <c r="AV64" i="21" s="1"/>
  <c r="AZ64" i="21" s="1"/>
  <c r="AT107" i="21"/>
  <c r="AV107" i="21" s="1"/>
  <c r="AZ107" i="21" s="1"/>
  <c r="AT104" i="21"/>
  <c r="AV104" i="21" s="1"/>
  <c r="AZ104" i="21" s="1"/>
  <c r="AT65" i="21"/>
  <c r="AV65" i="21" s="1"/>
  <c r="AZ65" i="21" s="1"/>
  <c r="AT92" i="21"/>
  <c r="AV92" i="21" s="1"/>
  <c r="AZ92" i="21" s="1"/>
  <c r="AT71" i="21"/>
  <c r="AV71" i="21" s="1"/>
  <c r="AZ71" i="21" s="1"/>
  <c r="AT51" i="21"/>
  <c r="AV51" i="21" s="1"/>
  <c r="AZ51" i="21" s="1"/>
  <c r="AT52" i="21"/>
  <c r="AV52" i="21" s="1"/>
  <c r="AZ52" i="21" s="1"/>
  <c r="AT46" i="21"/>
  <c r="AV46" i="21" s="1"/>
  <c r="AZ46" i="21" s="1"/>
  <c r="AT97" i="21"/>
  <c r="AV97" i="21" s="1"/>
  <c r="AZ97" i="21" s="1"/>
  <c r="AT93" i="21"/>
  <c r="AV93" i="21" s="1"/>
  <c r="AZ93" i="21" s="1"/>
  <c r="AT14" i="21"/>
  <c r="AV14" i="21" s="1"/>
  <c r="AZ14" i="21" s="1"/>
  <c r="AT67" i="21"/>
  <c r="AV67" i="21" s="1"/>
  <c r="AZ67" i="21" s="1"/>
  <c r="AT60" i="21"/>
  <c r="AV60" i="21" s="1"/>
  <c r="AZ60" i="21" s="1"/>
  <c r="AT29" i="21"/>
  <c r="AV29" i="21" s="1"/>
  <c r="AZ29" i="21" s="1"/>
  <c r="AT87" i="21"/>
  <c r="AV87" i="21" s="1"/>
  <c r="AZ87" i="21" s="1"/>
  <c r="AT79" i="21"/>
  <c r="AV79" i="21" s="1"/>
  <c r="AZ79" i="21" s="1"/>
  <c r="AT23" i="21"/>
  <c r="AT108" i="21"/>
  <c r="AV108" i="21" s="1"/>
  <c r="AZ108" i="21" s="1"/>
  <c r="AT20" i="21"/>
  <c r="AV20" i="21" s="1"/>
  <c r="AZ20" i="21" s="1"/>
  <c r="AT48" i="21"/>
  <c r="AV48" i="21" s="1"/>
  <c r="AZ48" i="21" s="1"/>
  <c r="AT43" i="21"/>
  <c r="AV43" i="21" s="1"/>
  <c r="AZ43" i="21" s="1"/>
  <c r="AT38" i="21"/>
  <c r="AV38" i="21" s="1"/>
  <c r="AZ38" i="21" s="1"/>
  <c r="AT49" i="21"/>
  <c r="AV49" i="21" s="1"/>
  <c r="AZ49" i="21" s="1"/>
  <c r="AT21" i="21"/>
  <c r="AV21" i="21" s="1"/>
  <c r="AZ21" i="21" s="1"/>
  <c r="AT62" i="21"/>
  <c r="AV62" i="21" s="1"/>
  <c r="AZ62" i="21" s="1"/>
  <c r="AT59" i="21"/>
  <c r="AV59" i="21" s="1"/>
  <c r="AT53" i="21"/>
  <c r="AV53" i="21" s="1"/>
  <c r="AZ53" i="21" s="1"/>
  <c r="AT89" i="21"/>
  <c r="AV89" i="21" s="1"/>
  <c r="AZ89" i="21" s="1"/>
  <c r="AT11" i="21"/>
  <c r="AV11" i="21" s="1"/>
  <c r="AZ11" i="21" s="1"/>
  <c r="AT40" i="21"/>
  <c r="AV40" i="21" s="1"/>
  <c r="AZ40" i="21" s="1"/>
  <c r="AT16" i="21"/>
  <c r="AV16" i="21" s="1"/>
  <c r="AZ16" i="21" s="1"/>
  <c r="AT91" i="21"/>
  <c r="AV91" i="21" s="1"/>
  <c r="AZ91" i="21" s="1"/>
  <c r="AT77" i="21"/>
  <c r="AV77" i="21" s="1"/>
  <c r="AZ77" i="21" s="1"/>
  <c r="AT18" i="21"/>
  <c r="AV18" i="21" s="1"/>
  <c r="AZ18" i="21" s="1"/>
  <c r="AT36" i="21"/>
  <c r="AV36" i="21" s="1"/>
  <c r="AZ36" i="21" s="1"/>
  <c r="AT68" i="21"/>
  <c r="AV68" i="21" s="1"/>
  <c r="AZ68" i="21" s="1"/>
  <c r="AT82" i="21"/>
  <c r="AV82" i="21" s="1"/>
  <c r="AZ82" i="21" s="1"/>
  <c r="F5" i="17"/>
  <c r="U10" i="21"/>
  <c r="BA50" i="21"/>
  <c r="BC90" i="21"/>
  <c r="AW90" i="21" s="1"/>
  <c r="BB90" i="21"/>
  <c r="BC32" i="21"/>
  <c r="AW32" i="21" s="1"/>
  <c r="BB32" i="21"/>
  <c r="BC17" i="21"/>
  <c r="AW17" i="21" s="1"/>
  <c r="BB17" i="21"/>
  <c r="BC94" i="21"/>
  <c r="AW94" i="21" s="1"/>
  <c r="BB94" i="21"/>
  <c r="BA41" i="21"/>
  <c r="BA54" i="21"/>
  <c r="BA36" i="21"/>
  <c r="BA81" i="21"/>
  <c r="BA83" i="21"/>
  <c r="BC43" i="21"/>
  <c r="AW43" i="21" s="1"/>
  <c r="BB43" i="21"/>
  <c r="BC45" i="21"/>
  <c r="AW45" i="21" s="1"/>
  <c r="BB45" i="21"/>
  <c r="BC13" i="21"/>
  <c r="AW13" i="21" s="1"/>
  <c r="BB13" i="21"/>
  <c r="BC33" i="21"/>
  <c r="AW33" i="21" s="1"/>
  <c r="BB33" i="21"/>
  <c r="BC92" i="21"/>
  <c r="AW92" i="21" s="1"/>
  <c r="BB92" i="21"/>
  <c r="BB108" i="21"/>
  <c r="BC108" i="21"/>
  <c r="AW108" i="21" s="1"/>
  <c r="BC78" i="21"/>
  <c r="AW78" i="21" s="1"/>
  <c r="BB78" i="21"/>
  <c r="BC23" i="21"/>
  <c r="AW23" i="21" s="1"/>
  <c r="BB23" i="21"/>
  <c r="BB95" i="21"/>
  <c r="BC95" i="21"/>
  <c r="AW95" i="21" s="1"/>
  <c r="BC71" i="21"/>
  <c r="AW71" i="21" s="1"/>
  <c r="BB71" i="21"/>
  <c r="BC31" i="21"/>
  <c r="AW31" i="21" s="1"/>
  <c r="BB31" i="21"/>
  <c r="BC51" i="21"/>
  <c r="AW51" i="21" s="1"/>
  <c r="BB51" i="21"/>
  <c r="BB106" i="21"/>
  <c r="BC106" i="21"/>
  <c r="AW106" i="21" s="1"/>
  <c r="BC68" i="21"/>
  <c r="AW68" i="21" s="1"/>
  <c r="BB68" i="21"/>
  <c r="BC73" i="21"/>
  <c r="AW73" i="21" s="1"/>
  <c r="BB73" i="21"/>
  <c r="BA90" i="21"/>
  <c r="BA97" i="21"/>
  <c r="BA72" i="21"/>
  <c r="BC70" i="21"/>
  <c r="AW70" i="21" s="1"/>
  <c r="BB70" i="21"/>
  <c r="BA9" i="21"/>
  <c r="BC74" i="21"/>
  <c r="AW74" i="21" s="1"/>
  <c r="BB74" i="21"/>
  <c r="BA22" i="21"/>
  <c r="BA47" i="21"/>
  <c r="BC55" i="21"/>
  <c r="AW55" i="21" s="1"/>
  <c r="BB55" i="21"/>
  <c r="BC76" i="21"/>
  <c r="AW76" i="21" s="1"/>
  <c r="BB76" i="21"/>
  <c r="BC86" i="21"/>
  <c r="AW86" i="21" s="1"/>
  <c r="BB86" i="21"/>
  <c r="BC63" i="21"/>
  <c r="AW63" i="21" s="1"/>
  <c r="BB63" i="21"/>
  <c r="BB109" i="21"/>
  <c r="BC109" i="21"/>
  <c r="AW109" i="21" s="1"/>
  <c r="BC77" i="21"/>
  <c r="AW77" i="21" s="1"/>
  <c r="BB77" i="21"/>
  <c r="BA52" i="21"/>
  <c r="BC26" i="21"/>
  <c r="AW26" i="21" s="1"/>
  <c r="BB26" i="21"/>
  <c r="BC29" i="21"/>
  <c r="AW29" i="21" s="1"/>
  <c r="BB29" i="21"/>
  <c r="BC84" i="21"/>
  <c r="AW84" i="21" s="1"/>
  <c r="BB84" i="21"/>
  <c r="BB99" i="21"/>
  <c r="BC99" i="21"/>
  <c r="AW99" i="21" s="1"/>
  <c r="BC35" i="21"/>
  <c r="AW35" i="21" s="1"/>
  <c r="BB35" i="21"/>
  <c r="BC20" i="21"/>
  <c r="AW20" i="21" s="1"/>
  <c r="BB20" i="21"/>
  <c r="BC49" i="21"/>
  <c r="AW49" i="21" s="1"/>
  <c r="BB49" i="21"/>
  <c r="BA93" i="21"/>
  <c r="BC81" i="21"/>
  <c r="AW81" i="21" s="1"/>
  <c r="BB81" i="21"/>
  <c r="BA58" i="21"/>
  <c r="AV58" i="21"/>
  <c r="AZ58" i="21" s="1"/>
  <c r="BA44" i="21"/>
  <c r="BC36" i="21"/>
  <c r="AW36" i="21" s="1"/>
  <c r="BB36" i="21"/>
  <c r="BA74" i="21"/>
  <c r="BC66" i="21"/>
  <c r="AW66" i="21" s="1"/>
  <c r="BB66" i="21"/>
  <c r="BA68" i="21"/>
  <c r="BA84" i="21"/>
  <c r="AV84" i="21"/>
  <c r="AZ84" i="21" s="1"/>
  <c r="BA82" i="21"/>
  <c r="BC93" i="21"/>
  <c r="AW93" i="21" s="1"/>
  <c r="BB93" i="21"/>
  <c r="BB97" i="21"/>
  <c r="BC97" i="21"/>
  <c r="AW97" i="21" s="1"/>
  <c r="BC11" i="21"/>
  <c r="AW11" i="21" s="1"/>
  <c r="BB11" i="21"/>
  <c r="BC15" i="21"/>
  <c r="AW15" i="21" s="1"/>
  <c r="BB15" i="21"/>
  <c r="BC101" i="21"/>
  <c r="AW101" i="21" s="1"/>
  <c r="BB101" i="21"/>
  <c r="BA46" i="21"/>
  <c r="BC56" i="21"/>
  <c r="AW56" i="21" s="1"/>
  <c r="BB56" i="21"/>
  <c r="BC40" i="21"/>
  <c r="AW40" i="21" s="1"/>
  <c r="BB40" i="21"/>
  <c r="BC54" i="21"/>
  <c r="AW54" i="21" s="1"/>
  <c r="BB54" i="21"/>
  <c r="BA48" i="21"/>
  <c r="BA42" i="21"/>
  <c r="BA38" i="21"/>
  <c r="BA49" i="21"/>
  <c r="BA106" i="21"/>
  <c r="BC82" i="21"/>
  <c r="AW82" i="21" s="1"/>
  <c r="BB82" i="21"/>
  <c r="BC64" i="21"/>
  <c r="AW64" i="21" s="1"/>
  <c r="BB64" i="21"/>
  <c r="BC16" i="21"/>
  <c r="AW16" i="21" s="1"/>
  <c r="BB16" i="21"/>
  <c r="BC88" i="21"/>
  <c r="AW88" i="21" s="1"/>
  <c r="BB88" i="21"/>
  <c r="BC61" i="21"/>
  <c r="AW61" i="21" s="1"/>
  <c r="BB61" i="21"/>
  <c r="BC19" i="21"/>
  <c r="AW19" i="21" s="1"/>
  <c r="BB19" i="21"/>
  <c r="BC59" i="21"/>
  <c r="AW59" i="21" s="1"/>
  <c r="BB59" i="21"/>
  <c r="BA21" i="21"/>
  <c r="BB100" i="21"/>
  <c r="BC100" i="21"/>
  <c r="AW100" i="21" s="1"/>
  <c r="BC79" i="21"/>
  <c r="AW79" i="21" s="1"/>
  <c r="BB79" i="21"/>
  <c r="BC42" i="21"/>
  <c r="AW42" i="21" s="1"/>
  <c r="BB42" i="21"/>
  <c r="BB103" i="21"/>
  <c r="BC103" i="21"/>
  <c r="AW103" i="21" s="1"/>
  <c r="BC50" i="21"/>
  <c r="AW50" i="21" s="1"/>
  <c r="BB50" i="21"/>
  <c r="BC25" i="21"/>
  <c r="AW25" i="21" s="1"/>
  <c r="BB25" i="21"/>
  <c r="BB98" i="21"/>
  <c r="BC98" i="21"/>
  <c r="AW98" i="21" s="1"/>
  <c r="BC39" i="21"/>
  <c r="AW39" i="21" s="1"/>
  <c r="BB39" i="21"/>
  <c r="BC48" i="21"/>
  <c r="AW48" i="21" s="1"/>
  <c r="BB48" i="21"/>
  <c r="BC27" i="21"/>
  <c r="AW27" i="21" s="1"/>
  <c r="BB27" i="21"/>
  <c r="BA30" i="21"/>
  <c r="BA24" i="21"/>
  <c r="BA62" i="21"/>
  <c r="BC67" i="21"/>
  <c r="AW67" i="21" s="1"/>
  <c r="BB67" i="21"/>
  <c r="BA94" i="21"/>
  <c r="AV94" i="21"/>
  <c r="AZ94" i="21" s="1"/>
  <c r="BA105" i="21"/>
  <c r="BC85" i="21"/>
  <c r="AW85" i="21" s="1"/>
  <c r="BB85" i="21"/>
  <c r="BA70" i="21"/>
  <c r="AV70" i="21"/>
  <c r="AZ70" i="21" s="1"/>
  <c r="BA63" i="21"/>
  <c r="BA14" i="21"/>
  <c r="BC53" i="21"/>
  <c r="AW53" i="21" s="1"/>
  <c r="BB53" i="21"/>
  <c r="BC58" i="21"/>
  <c r="AW58" i="21" s="1"/>
  <c r="BB58" i="21"/>
  <c r="BA11" i="21"/>
  <c r="BC69" i="21"/>
  <c r="AW69" i="21" s="1"/>
  <c r="BB69" i="21"/>
  <c r="BC24" i="21"/>
  <c r="AW24" i="21" s="1"/>
  <c r="BB24" i="21"/>
  <c r="BC75" i="21"/>
  <c r="AW75" i="21" s="1"/>
  <c r="BB75" i="21"/>
  <c r="BA67" i="21"/>
  <c r="BC14" i="21"/>
  <c r="AW14" i="21" s="1"/>
  <c r="BB14" i="21"/>
  <c r="BC30" i="21"/>
  <c r="AW30" i="21" s="1"/>
  <c r="BB30" i="21"/>
  <c r="BA51" i="21"/>
  <c r="BC65" i="21"/>
  <c r="AW65" i="21" s="1"/>
  <c r="BB65" i="21"/>
  <c r="BB96" i="21"/>
  <c r="BC96" i="21"/>
  <c r="AW96" i="21" s="1"/>
  <c r="BC41" i="21"/>
  <c r="AW41" i="21" s="1"/>
  <c r="BB41" i="21"/>
  <c r="BA40" i="21"/>
  <c r="BA56" i="21"/>
  <c r="BA35" i="21"/>
  <c r="BA45" i="21"/>
  <c r="BC57" i="21"/>
  <c r="AW57" i="21" s="1"/>
  <c r="BB57" i="21"/>
  <c r="BC52" i="21"/>
  <c r="AW52" i="21" s="1"/>
  <c r="BB52" i="21"/>
  <c r="BC60" i="21"/>
  <c r="AW60" i="21" s="1"/>
  <c r="BB60" i="21"/>
  <c r="BC12" i="21"/>
  <c r="AW12" i="21" s="1"/>
  <c r="BB12" i="21"/>
  <c r="BC80" i="21"/>
  <c r="AW80" i="21" s="1"/>
  <c r="BB80" i="21"/>
  <c r="BC38" i="21"/>
  <c r="AW38" i="21" s="1"/>
  <c r="BB38" i="21"/>
  <c r="BC46" i="21"/>
  <c r="AW46" i="21" s="1"/>
  <c r="BB46" i="21"/>
  <c r="BB104" i="21"/>
  <c r="BC104" i="21"/>
  <c r="AW104" i="21" s="1"/>
  <c r="BC28" i="21"/>
  <c r="AW28" i="21" s="1"/>
  <c r="BB28" i="21"/>
  <c r="BC37" i="21"/>
  <c r="AW37" i="21" s="1"/>
  <c r="BB37" i="21"/>
  <c r="BC91" i="21"/>
  <c r="AW91" i="21" s="1"/>
  <c r="BB91" i="21"/>
  <c r="BB107" i="21"/>
  <c r="BC107" i="21"/>
  <c r="AW107" i="21" s="1"/>
  <c r="BC34" i="21"/>
  <c r="AW34" i="21" s="1"/>
  <c r="BB34" i="21"/>
  <c r="BC18" i="21"/>
  <c r="AW18" i="21" s="1"/>
  <c r="BB18" i="21"/>
  <c r="BB102" i="21"/>
  <c r="BC102" i="21"/>
  <c r="AW102" i="21" s="1"/>
  <c r="BC72" i="21"/>
  <c r="AW72" i="21" s="1"/>
  <c r="BB72" i="21"/>
  <c r="BC10" i="21"/>
  <c r="AW10" i="21" s="1"/>
  <c r="BB10" i="21"/>
  <c r="BC87" i="21"/>
  <c r="AW87" i="21" s="1"/>
  <c r="BB87" i="21"/>
  <c r="BA57" i="21"/>
  <c r="AV57" i="21"/>
  <c r="AZ57" i="21" s="1"/>
  <c r="BA55" i="21"/>
  <c r="BA15" i="21"/>
  <c r="BA98" i="21"/>
  <c r="BA76" i="21"/>
  <c r="BA102" i="21"/>
  <c r="BA59" i="21"/>
  <c r="BA53" i="21"/>
  <c r="BC44" i="21"/>
  <c r="AW44" i="21" s="1"/>
  <c r="BB44" i="21"/>
  <c r="BA89" i="21"/>
  <c r="BB9" i="21"/>
  <c r="BC9" i="21"/>
  <c r="AW9" i="21" s="1"/>
  <c r="BC47" i="21"/>
  <c r="AW47" i="21" s="1"/>
  <c r="BB47" i="21"/>
  <c r="BC21" i="21"/>
  <c r="AW21" i="21" s="1"/>
  <c r="BB21" i="21"/>
  <c r="BC62" i="21"/>
  <c r="AW62" i="21" s="1"/>
  <c r="BB62" i="21"/>
  <c r="BC83" i="21"/>
  <c r="AW83" i="21" s="1"/>
  <c r="BB83" i="21"/>
  <c r="BC89" i="21"/>
  <c r="AW89" i="21" s="1"/>
  <c r="BB89" i="21"/>
  <c r="BB105" i="21"/>
  <c r="BC105" i="21"/>
  <c r="AW105" i="21" s="1"/>
  <c r="BC22" i="21"/>
  <c r="AW22" i="21" s="1"/>
  <c r="BB22" i="21"/>
  <c r="AV66" i="21"/>
  <c r="AZ66" i="21" s="1"/>
  <c r="E61" i="1"/>
  <c r="AV74" i="21"/>
  <c r="AZ74" i="21" s="1"/>
  <c r="BA109" i="21"/>
  <c r="BA101" i="21"/>
  <c r="BA43" i="21"/>
  <c r="BA75" i="21"/>
  <c r="BA60" i="21"/>
  <c r="BA33" i="21"/>
  <c r="BA39" i="21"/>
  <c r="BA37" i="21"/>
  <c r="BA78" i="21"/>
  <c r="BA26" i="21"/>
  <c r="BA28" i="21"/>
  <c r="BA64" i="21"/>
  <c r="BA73" i="21"/>
  <c r="BA88" i="21"/>
  <c r="BA87" i="21"/>
  <c r="BA25" i="21"/>
  <c r="BA79" i="21"/>
  <c r="BA77" i="21"/>
  <c r="BA19" i="21"/>
  <c r="BA95" i="21"/>
  <c r="BA34" i="21"/>
  <c r="BA108" i="21"/>
  <c r="BA17" i="21"/>
  <c r="BA18" i="21"/>
  <c r="BA20" i="21"/>
  <c r="BA86" i="21"/>
  <c r="BA69" i="21"/>
  <c r="BA16" i="21"/>
  <c r="BA96" i="21"/>
  <c r="BA13" i="21"/>
  <c r="BA103" i="21"/>
  <c r="BA29" i="21"/>
  <c r="BA85" i="21"/>
  <c r="BA100" i="21"/>
  <c r="BA27" i="21"/>
  <c r="BA61" i="21"/>
  <c r="BA91" i="21"/>
  <c r="BA107" i="21"/>
  <c r="BA31" i="21"/>
  <c r="BA12" i="21"/>
  <c r="BA104" i="21"/>
  <c r="BA80" i="21"/>
  <c r="BA65" i="21"/>
  <c r="BA23" i="21"/>
  <c r="BA32" i="21"/>
  <c r="BA92" i="21"/>
  <c r="BA99" i="21"/>
  <c r="BA71" i="21"/>
  <c r="R16" i="8"/>
  <c r="E36" i="1"/>
  <c r="K4" i="17"/>
  <c r="G247" i="2" l="1"/>
  <c r="B243" i="2"/>
  <c r="B73" i="1" s="1"/>
  <c r="B242" i="2"/>
  <c r="K3" i="8"/>
  <c r="L3" i="8" s="1"/>
  <c r="B293" i="2"/>
  <c r="AT10" i="21"/>
  <c r="AV10" i="21" s="1"/>
  <c r="AZ10" i="21" s="1"/>
  <c r="BA10" i="21"/>
  <c r="B428" i="2"/>
  <c r="H4" i="21"/>
  <c r="AV23" i="21"/>
  <c r="AZ23" i="21" s="1"/>
  <c r="AZ19" i="21"/>
  <c r="H2" i="21"/>
  <c r="AZ59" i="21"/>
  <c r="H3" i="21"/>
  <c r="D607" i="17"/>
  <c r="D194" i="17"/>
  <c r="C598" i="17"/>
  <c r="D606" i="17"/>
  <c r="C174" i="17"/>
  <c r="D291" i="17"/>
  <c r="D60" i="17"/>
  <c r="C524" i="17"/>
  <c r="C420" i="17"/>
  <c r="C446" i="17"/>
  <c r="C228" i="17"/>
  <c r="D222" i="17"/>
  <c r="D562" i="17"/>
  <c r="C484" i="17"/>
  <c r="D418" i="17"/>
  <c r="D163" i="17"/>
  <c r="D472" i="17"/>
  <c r="D561" i="17"/>
  <c r="D381" i="17"/>
  <c r="C449" i="17"/>
  <c r="C123" i="17"/>
  <c r="C30" i="17"/>
  <c r="D594" i="17"/>
  <c r="C541" i="17"/>
  <c r="C516" i="17"/>
  <c r="C594" i="17"/>
  <c r="C546" i="17"/>
  <c r="C380" i="17"/>
  <c r="D227" i="17"/>
  <c r="D585" i="17"/>
  <c r="C535" i="17"/>
  <c r="C382" i="17"/>
  <c r="D215" i="17"/>
  <c r="D281" i="17"/>
  <c r="D509" i="17"/>
  <c r="D304" i="17"/>
  <c r="C513" i="17"/>
  <c r="D359" i="17"/>
  <c r="C251" i="17"/>
  <c r="D29" i="17"/>
  <c r="C77" i="17"/>
  <c r="D368" i="17"/>
  <c r="C610" i="17"/>
  <c r="D546" i="17"/>
  <c r="C570" i="17"/>
  <c r="D494" i="17"/>
  <c r="D430" i="17"/>
  <c r="C468" i="17"/>
  <c r="D559" i="17"/>
  <c r="D474" i="17"/>
  <c r="D575" i="17"/>
  <c r="C480" i="17"/>
  <c r="C404" i="17"/>
  <c r="C387" i="17"/>
  <c r="D259" i="17"/>
  <c r="D131" i="17"/>
  <c r="C571" i="17"/>
  <c r="D600" i="17"/>
  <c r="C590" i="17"/>
  <c r="D440" i="17"/>
  <c r="C414" i="17"/>
  <c r="C389" i="17"/>
  <c r="C343" i="17"/>
  <c r="D576" i="17"/>
  <c r="C345" i="17"/>
  <c r="C293" i="17"/>
  <c r="C471" i="17"/>
  <c r="D317" i="17"/>
  <c r="C164" i="17"/>
  <c r="C113" i="17"/>
  <c r="D92" i="17"/>
  <c r="D519" i="17"/>
  <c r="D391" i="17"/>
  <c r="D366" i="17"/>
  <c r="D314" i="17"/>
  <c r="C64" i="17"/>
  <c r="D158" i="17"/>
  <c r="D268" i="17"/>
  <c r="C13" i="17"/>
  <c r="C157" i="17"/>
  <c r="C240" i="17"/>
  <c r="D597" i="17"/>
  <c r="D598" i="17"/>
  <c r="D586" i="17"/>
  <c r="D554" i="17"/>
  <c r="D551" i="17"/>
  <c r="C586" i="17"/>
  <c r="C533" i="17"/>
  <c r="D502" i="17"/>
  <c r="D470" i="17"/>
  <c r="D438" i="17"/>
  <c r="C508" i="17"/>
  <c r="C476" i="17"/>
  <c r="C606" i="17"/>
  <c r="D591" i="17"/>
  <c r="C562" i="17"/>
  <c r="D490" i="17"/>
  <c r="D426" i="17"/>
  <c r="D566" i="17"/>
  <c r="D514" i="17"/>
  <c r="C496" i="17"/>
  <c r="C444" i="17"/>
  <c r="C412" i="17"/>
  <c r="C364" i="17"/>
  <c r="C403" i="17"/>
  <c r="C339" i="17"/>
  <c r="D275" i="17"/>
  <c r="D211" i="17"/>
  <c r="D147" i="17"/>
  <c r="C287" i="17"/>
  <c r="C587" i="17"/>
  <c r="D553" i="17"/>
  <c r="D534" i="17"/>
  <c r="D572" i="17"/>
  <c r="C534" i="17"/>
  <c r="C519" i="17"/>
  <c r="D456" i="17"/>
  <c r="C494" i="17"/>
  <c r="C430" i="17"/>
  <c r="C366" i="17"/>
  <c r="C405" i="17"/>
  <c r="D582" i="17"/>
  <c r="C407" i="17"/>
  <c r="D151" i="17"/>
  <c r="D538" i="17"/>
  <c r="D460" i="17"/>
  <c r="C409" i="17"/>
  <c r="D249" i="17"/>
  <c r="D121" i="17"/>
  <c r="C561" i="17"/>
  <c r="C503" i="17"/>
  <c r="D477" i="17"/>
  <c r="D349" i="17"/>
  <c r="D324" i="17"/>
  <c r="C196" i="17"/>
  <c r="D272" i="17"/>
  <c r="C145" i="17"/>
  <c r="C106" i="17"/>
  <c r="D76" i="17"/>
  <c r="C497" i="17"/>
  <c r="C433" i="17"/>
  <c r="D471" i="17"/>
  <c r="D407" i="17"/>
  <c r="D343" i="17"/>
  <c r="D382" i="17"/>
  <c r="C270" i="17"/>
  <c r="C142" i="17"/>
  <c r="C219" i="17"/>
  <c r="C32" i="17"/>
  <c r="D62" i="17"/>
  <c r="D190" i="17"/>
  <c r="D61" i="17"/>
  <c r="C91" i="17"/>
  <c r="D172" i="17"/>
  <c r="D79" i="17"/>
  <c r="C109" i="17"/>
  <c r="C125" i="17"/>
  <c r="C253" i="17"/>
  <c r="C176" i="17"/>
  <c r="D329" i="17"/>
  <c r="D544" i="17"/>
  <c r="C378" i="17"/>
  <c r="C208" i="17"/>
  <c r="D336" i="17"/>
  <c r="D361" i="17"/>
  <c r="D489" i="17"/>
  <c r="D573" i="17"/>
  <c r="D221" i="17"/>
  <c r="C506" i="17"/>
  <c r="D75" i="17"/>
  <c r="C585" i="17"/>
  <c r="C408" i="17"/>
  <c r="D599" i="17"/>
  <c r="D547" i="17"/>
  <c r="C442" i="17"/>
  <c r="C317" i="17"/>
  <c r="D189" i="17"/>
  <c r="C609" i="17"/>
  <c r="D527" i="17"/>
  <c r="C443" i="17"/>
  <c r="D473" i="17"/>
  <c r="D409" i="17"/>
  <c r="D345" i="17"/>
  <c r="D384" i="17"/>
  <c r="D320" i="17"/>
  <c r="C256" i="17"/>
  <c r="C192" i="17"/>
  <c r="C128" i="17"/>
  <c r="C269" i="17"/>
  <c r="C205" i="17"/>
  <c r="C141" i="17"/>
  <c r="C46" i="17"/>
  <c r="C110" i="17"/>
  <c r="C61" i="17"/>
  <c r="D95" i="17"/>
  <c r="D31" i="17"/>
  <c r="D156" i="17"/>
  <c r="D220" i="17"/>
  <c r="C107" i="17"/>
  <c r="C43" i="17"/>
  <c r="D77" i="17"/>
  <c r="D13" i="17"/>
  <c r="D174" i="17"/>
  <c r="D238" i="17"/>
  <c r="D78" i="17"/>
  <c r="D14" i="17"/>
  <c r="C48" i="17"/>
  <c r="C139" i="17"/>
  <c r="C203" i="17"/>
  <c r="C267" i="17"/>
  <c r="C126" i="17"/>
  <c r="C190" i="17"/>
  <c r="C254" i="17"/>
  <c r="D318" i="17"/>
  <c r="D374" i="17"/>
  <c r="D406" i="17"/>
  <c r="D335" i="17"/>
  <c r="D367" i="17"/>
  <c r="D399" i="17"/>
  <c r="D431" i="17"/>
  <c r="D463" i="17"/>
  <c r="D495" i="17"/>
  <c r="C425" i="17"/>
  <c r="C457" i="17"/>
  <c r="C489" i="17"/>
  <c r="D520" i="17"/>
  <c r="D84" i="17"/>
  <c r="D52" i="17"/>
  <c r="D20" i="17"/>
  <c r="C58" i="17"/>
  <c r="C129" i="17"/>
  <c r="C193" i="17"/>
  <c r="C257" i="17"/>
  <c r="C116" i="17"/>
  <c r="C180" i="17"/>
  <c r="C244" i="17"/>
  <c r="C308" i="17"/>
  <c r="D372" i="17"/>
  <c r="D333" i="17"/>
  <c r="D397" i="17"/>
  <c r="D461" i="17"/>
  <c r="C423" i="17"/>
  <c r="C487" i="17"/>
  <c r="C568" i="17"/>
  <c r="C545" i="17"/>
  <c r="D609" i="17"/>
  <c r="C309" i="17"/>
  <c r="D169" i="17"/>
  <c r="D233" i="17"/>
  <c r="D297" i="17"/>
  <c r="C377" i="17"/>
  <c r="C402" i="17"/>
  <c r="D428" i="17"/>
  <c r="C566" i="17"/>
  <c r="C608" i="17"/>
  <c r="C559" i="17"/>
  <c r="D610" i="17"/>
  <c r="D536" i="17"/>
  <c r="D446" i="17"/>
  <c r="D47" i="17"/>
  <c r="D603" i="17"/>
  <c r="D423" i="17"/>
  <c r="D510" i="17"/>
  <c r="C316" i="17"/>
  <c r="C318" i="17"/>
  <c r="C177" i="17"/>
  <c r="C59" i="17"/>
  <c r="D567" i="17"/>
  <c r="D602" i="17"/>
  <c r="C452" i="17"/>
  <c r="C303" i="17"/>
  <c r="C510" i="17"/>
  <c r="C523" i="17"/>
  <c r="D356" i="17"/>
  <c r="D487" i="17"/>
  <c r="D30" i="17"/>
  <c r="C221" i="17"/>
  <c r="D578" i="17"/>
  <c r="C525" i="17"/>
  <c r="C500" i="17"/>
  <c r="C537" i="17"/>
  <c r="D482" i="17"/>
  <c r="C348" i="17"/>
  <c r="D195" i="17"/>
  <c r="D533" i="17"/>
  <c r="D504" i="17"/>
  <c r="C350" i="17"/>
  <c r="C291" i="17"/>
  <c r="D217" i="17"/>
  <c r="D445" i="17"/>
  <c r="C241" i="17"/>
  <c r="C481" i="17"/>
  <c r="D327" i="17"/>
  <c r="C187" i="17"/>
  <c r="D93" i="17"/>
  <c r="C94" i="17"/>
  <c r="D393" i="17"/>
  <c r="C602" i="17"/>
  <c r="D583" i="17"/>
  <c r="C554" i="17"/>
  <c r="D486" i="17"/>
  <c r="D422" i="17"/>
  <c r="C460" i="17"/>
  <c r="C536" i="17"/>
  <c r="D458" i="17"/>
  <c r="C528" i="17"/>
  <c r="C464" i="17"/>
  <c r="C396" i="17"/>
  <c r="C371" i="17"/>
  <c r="D243" i="17"/>
  <c r="D115" i="17"/>
  <c r="C555" i="17"/>
  <c r="C604" i="17"/>
  <c r="C558" i="17"/>
  <c r="D424" i="17"/>
  <c r="C398" i="17"/>
  <c r="C373" i="17"/>
  <c r="D279" i="17"/>
  <c r="C538" i="17"/>
  <c r="D313" i="17"/>
  <c r="C605" i="17"/>
  <c r="C439" i="17"/>
  <c r="D388" i="17"/>
  <c r="C132" i="17"/>
  <c r="C42" i="17"/>
  <c r="D528" i="17"/>
  <c r="D503" i="17"/>
  <c r="D375" i="17"/>
  <c r="D334" i="17"/>
  <c r="D282" i="17"/>
  <c r="C96" i="17"/>
  <c r="D126" i="17"/>
  <c r="D236" i="17"/>
  <c r="C45" i="17"/>
  <c r="C189" i="17"/>
  <c r="C304" i="17"/>
  <c r="D157" i="17"/>
  <c r="C272" i="17"/>
  <c r="D425" i="17"/>
  <c r="C297" i="17"/>
  <c r="D577" i="17"/>
  <c r="C275" i="17"/>
  <c r="C548" i="17"/>
  <c r="C417" i="17"/>
  <c r="D125" i="17"/>
  <c r="C507" i="17"/>
  <c r="D441" i="17"/>
  <c r="D416" i="17"/>
  <c r="C288" i="17"/>
  <c r="C160" i="17"/>
  <c r="C237" i="17"/>
  <c r="C14" i="17"/>
  <c r="C93" i="17"/>
  <c r="D63" i="17"/>
  <c r="D188" i="17"/>
  <c r="C75" i="17"/>
  <c r="D45" i="17"/>
  <c r="D206" i="17"/>
  <c r="D46" i="17"/>
  <c r="C16" i="17"/>
  <c r="C235" i="17"/>
  <c r="C158" i="17"/>
  <c r="C286" i="17"/>
  <c r="D390" i="17"/>
  <c r="D351" i="17"/>
  <c r="D415" i="17"/>
  <c r="D479" i="17"/>
  <c r="C441" i="17"/>
  <c r="C505" i="17"/>
  <c r="D68" i="17"/>
  <c r="C90" i="17"/>
  <c r="C161" i="17"/>
  <c r="D288" i="17"/>
  <c r="C212" i="17"/>
  <c r="D340" i="17"/>
  <c r="D365" i="17"/>
  <c r="D493" i="17"/>
  <c r="C520" i="17"/>
  <c r="C577" i="17"/>
  <c r="D137" i="17"/>
  <c r="D265" i="17"/>
  <c r="C338" i="17"/>
  <c r="D492" i="17"/>
  <c r="D521" i="17"/>
  <c r="D119" i="17"/>
  <c r="D247" i="17"/>
  <c r="C375" i="17"/>
  <c r="C400" i="17"/>
  <c r="C544" i="17"/>
  <c r="C365" i="17"/>
  <c r="C397" i="17"/>
  <c r="C326" i="17"/>
  <c r="C358" i="17"/>
  <c r="C390" i="17"/>
  <c r="C422" i="17"/>
  <c r="C454" i="17"/>
  <c r="C486" i="17"/>
  <c r="C518" i="17"/>
  <c r="D448" i="17"/>
  <c r="D480" i="17"/>
  <c r="D512" i="17"/>
  <c r="C543" i="17"/>
  <c r="C526" i="17"/>
  <c r="D571" i="17"/>
  <c r="D564" i="17"/>
  <c r="C596" i="17"/>
  <c r="D608" i="17"/>
  <c r="C572" i="17"/>
  <c r="D541" i="17"/>
  <c r="C547" i="17"/>
  <c r="C579" i="17"/>
  <c r="D611" i="17"/>
  <c r="C279" i="17"/>
  <c r="C311" i="17"/>
  <c r="D139" i="17"/>
  <c r="D171" i="17"/>
  <c r="D203" i="17"/>
  <c r="D235" i="17"/>
  <c r="D267" i="17"/>
  <c r="D299" i="17"/>
  <c r="C331" i="17"/>
  <c r="C363" i="17"/>
  <c r="C395" i="17"/>
  <c r="C324" i="17"/>
  <c r="C356" i="17"/>
  <c r="C388" i="17"/>
  <c r="D127" i="17"/>
  <c r="D348" i="17"/>
  <c r="D342" i="17"/>
  <c r="C310" i="17"/>
  <c r="C278" i="17"/>
  <c r="C246" i="17"/>
  <c r="C214" i="17"/>
  <c r="C182" i="17"/>
  <c r="C150" i="17"/>
  <c r="C118" i="17"/>
  <c r="D290" i="17"/>
  <c r="C259" i="17"/>
  <c r="C227" i="17"/>
  <c r="C195" i="17"/>
  <c r="C163" i="17"/>
  <c r="C131" i="17"/>
  <c r="C24" i="17"/>
  <c r="C56" i="17"/>
  <c r="C88" i="17"/>
  <c r="D22" i="17"/>
  <c r="D54" i="17"/>
  <c r="D86" i="17"/>
  <c r="D262" i="17"/>
  <c r="D230" i="17"/>
  <c r="D198" i="17"/>
  <c r="D166" i="17"/>
  <c r="D134" i="17"/>
  <c r="D21" i="17"/>
  <c r="D53" i="17"/>
  <c r="D85" i="17"/>
  <c r="C19" i="17"/>
  <c r="C51" i="17"/>
  <c r="C83" i="17"/>
  <c r="D104" i="17"/>
  <c r="D244" i="17"/>
  <c r="D212" i="17"/>
  <c r="D180" i="17"/>
  <c r="D148" i="17"/>
  <c r="D116" i="17"/>
  <c r="D39" i="17"/>
  <c r="D71" i="17"/>
  <c r="D103" i="17"/>
  <c r="C37" i="17"/>
  <c r="C69" i="17"/>
  <c r="C101" i="17"/>
  <c r="C102" i="17"/>
  <c r="C70" i="17"/>
  <c r="C38" i="17"/>
  <c r="C117" i="17"/>
  <c r="C149" i="17"/>
  <c r="C181" i="17"/>
  <c r="C213" i="17"/>
  <c r="C245" i="17"/>
  <c r="D276" i="17"/>
  <c r="D308" i="17"/>
  <c r="C136" i="17"/>
  <c r="C168" i="17"/>
  <c r="C200" i="17"/>
  <c r="C232" i="17"/>
  <c r="C264" i="17"/>
  <c r="C296" i="17"/>
  <c r="D328" i="17"/>
  <c r="D360" i="17"/>
  <c r="D392" i="17"/>
  <c r="D321" i="17"/>
  <c r="D353" i="17"/>
  <c r="D385" i="17"/>
  <c r="D417" i="17"/>
  <c r="D449" i="17"/>
  <c r="D481" i="17"/>
  <c r="D513" i="17"/>
  <c r="C459" i="17"/>
  <c r="D522" i="17"/>
  <c r="D543" i="17"/>
  <c r="C581" i="17"/>
  <c r="C281" i="17"/>
  <c r="D141" i="17"/>
  <c r="D205" i="17"/>
  <c r="D269" i="17"/>
  <c r="C333" i="17"/>
  <c r="C346" i="17"/>
  <c r="C474" i="17"/>
  <c r="D500" i="17"/>
  <c r="D552" i="17"/>
  <c r="D529" i="17"/>
  <c r="C611" i="17"/>
  <c r="C319" i="17"/>
  <c r="C488" i="17"/>
  <c r="C482" i="17"/>
  <c r="D501" i="17"/>
  <c r="C151" i="17"/>
  <c r="D331" i="17"/>
  <c r="D159" i="17"/>
  <c r="D287" i="17"/>
  <c r="C415" i="17"/>
  <c r="C440" i="17"/>
  <c r="C504" i="17"/>
  <c r="D560" i="17"/>
  <c r="C450" i="17"/>
  <c r="D526" i="17"/>
  <c r="C156" i="17"/>
  <c r="C202" i="17"/>
  <c r="D507" i="17"/>
  <c r="D199" i="17"/>
  <c r="D508" i="17"/>
  <c r="D295" i="17"/>
  <c r="C337" i="17"/>
  <c r="C285" i="17"/>
  <c r="C463" i="17"/>
  <c r="D412" i="17"/>
  <c r="C233" i="17"/>
  <c r="D483" i="17"/>
  <c r="D278" i="17"/>
  <c r="D136" i="17"/>
  <c r="D302" i="17"/>
  <c r="D225" i="17"/>
  <c r="D427" i="17"/>
  <c r="D296" i="17"/>
  <c r="C82" i="17"/>
  <c r="C445" i="17"/>
  <c r="D394" i="17"/>
  <c r="C138" i="17"/>
  <c r="C68" i="17"/>
  <c r="D264" i="17"/>
  <c r="C613" i="17"/>
  <c r="D354" i="17"/>
  <c r="D256" i="17"/>
  <c r="C127" i="17"/>
  <c r="C23" i="17"/>
  <c r="D96" i="17"/>
  <c r="D515" i="17"/>
  <c r="D387" i="17"/>
  <c r="D362" i="17"/>
  <c r="C234" i="17"/>
  <c r="D310" i="17"/>
  <c r="C183" i="17"/>
  <c r="D34" i="17"/>
  <c r="D33" i="17"/>
  <c r="D200" i="17"/>
  <c r="C81" i="17"/>
  <c r="C447" i="17"/>
  <c r="D532" i="17"/>
  <c r="C226" i="17"/>
  <c r="D106" i="17"/>
  <c r="D128" i="17"/>
  <c r="C485" i="17"/>
  <c r="D226" i="17"/>
  <c r="D312" i="17"/>
  <c r="C514" i="17"/>
  <c r="D389" i="17"/>
  <c r="C100" i="17"/>
  <c r="D250" i="17"/>
  <c r="D122" i="17"/>
  <c r="C31" i="17"/>
  <c r="D232" i="17"/>
  <c r="D19" i="17"/>
  <c r="C49" i="17"/>
  <c r="C539" i="17"/>
  <c r="D531" i="17"/>
  <c r="C268" i="17"/>
  <c r="D40" i="17"/>
  <c r="D443" i="17"/>
  <c r="C290" i="17"/>
  <c r="C239" i="17"/>
  <c r="D42" i="17"/>
  <c r="D41" i="17"/>
  <c r="D192" i="17"/>
  <c r="C89" i="17"/>
  <c r="D581" i="17"/>
  <c r="D24" i="17"/>
  <c r="C306" i="17"/>
  <c r="D26" i="17"/>
  <c r="D208" i="17"/>
  <c r="D517" i="17"/>
  <c r="C210" i="17"/>
  <c r="D112" i="17"/>
  <c r="C223" i="17"/>
  <c r="C28" i="17"/>
  <c r="C453" i="17"/>
  <c r="C87" i="17"/>
  <c r="D161" i="17"/>
  <c r="D58" i="17"/>
  <c r="D56" i="17"/>
  <c r="C41" i="17"/>
  <c r="D130" i="17"/>
  <c r="D286" i="17"/>
  <c r="D491" i="17"/>
  <c r="D364" i="17"/>
  <c r="C307" i="17"/>
  <c r="D144" i="17"/>
  <c r="D89" i="17"/>
  <c r="D90" i="17"/>
  <c r="C191" i="17"/>
  <c r="C242" i="17"/>
  <c r="D395" i="17"/>
  <c r="D88" i="17"/>
  <c r="C172" i="17"/>
  <c r="C479" i="17"/>
  <c r="C361" i="17"/>
  <c r="C623" i="17"/>
  <c r="D91" i="17"/>
  <c r="D160" i="17"/>
  <c r="C103" i="17"/>
  <c r="D73" i="17"/>
  <c r="D178" i="17"/>
  <c r="D74" i="17"/>
  <c r="C44" i="17"/>
  <c r="C207" i="17"/>
  <c r="C130" i="17"/>
  <c r="C258" i="17"/>
  <c r="D386" i="17"/>
  <c r="D411" i="17"/>
  <c r="C437" i="17"/>
  <c r="D72" i="17"/>
  <c r="C153" i="17"/>
  <c r="C204" i="17"/>
  <c r="D357" i="17"/>
  <c r="C511" i="17"/>
  <c r="D129" i="17"/>
  <c r="C386" i="17"/>
  <c r="C384" i="17"/>
  <c r="C65" i="17"/>
  <c r="D99" i="17"/>
  <c r="D35" i="17"/>
  <c r="D152" i="17"/>
  <c r="D216" i="17"/>
  <c r="D100" i="17"/>
  <c r="C47" i="17"/>
  <c r="D81" i="17"/>
  <c r="D17" i="17"/>
  <c r="D170" i="17"/>
  <c r="D234" i="17"/>
  <c r="D82" i="17"/>
  <c r="D18" i="17"/>
  <c r="C52" i="17"/>
  <c r="C135" i="17"/>
  <c r="C199" i="17"/>
  <c r="C263" i="17"/>
  <c r="C122" i="17"/>
  <c r="C186" i="17"/>
  <c r="C250" i="17"/>
  <c r="C314" i="17"/>
  <c r="D378" i="17"/>
  <c r="D339" i="17"/>
  <c r="D403" i="17"/>
  <c r="D467" i="17"/>
  <c r="C429" i="17"/>
  <c r="C493" i="17"/>
  <c r="D80" i="17"/>
  <c r="D16" i="17"/>
  <c r="C137" i="17"/>
  <c r="C265" i="17"/>
  <c r="C188" i="17"/>
  <c r="D316" i="17"/>
  <c r="D341" i="17"/>
  <c r="D469" i="17"/>
  <c r="C495" i="17"/>
  <c r="C553" i="17"/>
  <c r="D113" i="17"/>
  <c r="D241" i="17"/>
  <c r="C322" i="17"/>
  <c r="C564" i="17"/>
  <c r="C320" i="17"/>
  <c r="C418" i="17"/>
  <c r="C522" i="17"/>
  <c r="C575" i="17"/>
  <c r="D263" i="17"/>
  <c r="C416" i="17"/>
  <c r="C578" i="17"/>
  <c r="C456" i="17"/>
  <c r="C392" i="17"/>
  <c r="C328" i="17"/>
  <c r="C367" i="17"/>
  <c r="D303" i="17"/>
  <c r="D239" i="17"/>
  <c r="D175" i="17"/>
  <c r="D111" i="17"/>
  <c r="C632" i="17"/>
  <c r="C551" i="17"/>
  <c r="C580" i="17"/>
  <c r="C600" i="17"/>
  <c r="D579" i="17"/>
  <c r="C550" i="17"/>
  <c r="D484" i="17"/>
  <c r="D420" i="17"/>
  <c r="C458" i="17"/>
  <c r="C394" i="17"/>
  <c r="C330" i="17"/>
  <c r="C369" i="17"/>
  <c r="C325" i="17"/>
  <c r="D293" i="17"/>
  <c r="D261" i="17"/>
  <c r="D229" i="17"/>
  <c r="D197" i="17"/>
  <c r="D165" i="17"/>
  <c r="D133" i="17"/>
  <c r="C305" i="17"/>
  <c r="C273" i="17"/>
  <c r="D605" i="17"/>
  <c r="C573" i="17"/>
  <c r="D589" i="17"/>
  <c r="D535" i="17"/>
  <c r="C560" i="17"/>
  <c r="C515" i="17"/>
  <c r="C483" i="17"/>
  <c r="C451" i="17"/>
  <c r="D231" i="17"/>
  <c r="D555" i="17"/>
  <c r="C368" i="17"/>
  <c r="D558" i="17"/>
  <c r="C370" i="17"/>
  <c r="C144" i="17"/>
  <c r="D506" i="17"/>
  <c r="C556" i="17"/>
  <c r="D153" i="17"/>
  <c r="D398" i="17"/>
  <c r="C419" i="17"/>
  <c r="D478" i="17"/>
  <c r="D442" i="17"/>
  <c r="C355" i="17"/>
  <c r="D588" i="17"/>
  <c r="C357" i="17"/>
  <c r="C593" i="17"/>
  <c r="C74" i="17"/>
  <c r="C302" i="17"/>
  <c r="D204" i="17"/>
  <c r="D285" i="17"/>
  <c r="C540" i="17"/>
  <c r="D462" i="17"/>
  <c r="D590" i="17"/>
  <c r="C512" i="17"/>
  <c r="C436" i="17"/>
  <c r="C323" i="17"/>
  <c r="C271" i="17"/>
  <c r="D556" i="17"/>
  <c r="C478" i="17"/>
  <c r="D466" i="17"/>
  <c r="C498" i="17"/>
  <c r="D565" i="17"/>
  <c r="C292" i="17"/>
  <c r="D28" i="17"/>
  <c r="D455" i="17"/>
  <c r="C238" i="17"/>
  <c r="D140" i="17"/>
  <c r="C531" i="17"/>
  <c r="C532" i="17"/>
  <c r="D454" i="17"/>
  <c r="D574" i="17"/>
  <c r="A622" i="17"/>
  <c r="C428" i="17"/>
  <c r="D307" i="17"/>
  <c r="C599" i="17"/>
  <c r="D587" i="17"/>
  <c r="C462" i="17"/>
  <c r="C432" i="17"/>
  <c r="C434" i="17"/>
  <c r="D523" i="17"/>
  <c r="C260" i="17"/>
  <c r="D44" i="17"/>
  <c r="D439" i="17"/>
  <c r="C206" i="17"/>
  <c r="D254" i="17"/>
  <c r="D15" i="17"/>
  <c r="C112" i="17"/>
  <c r="C383" i="17"/>
  <c r="C475" i="17"/>
  <c r="D355" i="17"/>
  <c r="D468" i="17"/>
  <c r="C565" i="17"/>
  <c r="D377" i="17"/>
  <c r="C224" i="17"/>
  <c r="C173" i="17"/>
  <c r="C29" i="17"/>
  <c r="D252" i="17"/>
  <c r="D142" i="17"/>
  <c r="C80" i="17"/>
  <c r="D298" i="17"/>
  <c r="D350" i="17"/>
  <c r="D383" i="17"/>
  <c r="D511" i="17"/>
  <c r="D540" i="17"/>
  <c r="C26" i="17"/>
  <c r="C148" i="17"/>
  <c r="D404" i="17"/>
  <c r="C455" i="17"/>
  <c r="C277" i="17"/>
  <c r="C329" i="17"/>
  <c r="D595" i="17"/>
  <c r="D183" i="17"/>
  <c r="C336" i="17"/>
  <c r="C349" i="17"/>
  <c r="C413" i="17"/>
  <c r="C374" i="17"/>
  <c r="C438" i="17"/>
  <c r="C502" i="17"/>
  <c r="D464" i="17"/>
  <c r="C527" i="17"/>
  <c r="C542" i="17"/>
  <c r="D580" i="17"/>
  <c r="D542" i="17"/>
  <c r="D569" i="17"/>
  <c r="C595" i="17"/>
  <c r="C295" i="17"/>
  <c r="D155" i="17"/>
  <c r="D219" i="17"/>
  <c r="D283" i="17"/>
  <c r="C347" i="17"/>
  <c r="C411" i="17"/>
  <c r="C372" i="17"/>
  <c r="D550" i="17"/>
  <c r="D326" i="17"/>
  <c r="C262" i="17"/>
  <c r="C198" i="17"/>
  <c r="C134" i="17"/>
  <c r="D274" i="17"/>
  <c r="C211" i="17"/>
  <c r="C147" i="17"/>
  <c r="C40" i="17"/>
  <c r="C104" i="17"/>
  <c r="D70" i="17"/>
  <c r="D246" i="17"/>
  <c r="D182" i="17"/>
  <c r="D118" i="17"/>
  <c r="D69" i="17"/>
  <c r="C35" i="17"/>
  <c r="C99" i="17"/>
  <c r="D228" i="17"/>
  <c r="D164" i="17"/>
  <c r="D23" i="17"/>
  <c r="D87" i="17"/>
  <c r="C53" i="17"/>
  <c r="C626" i="17"/>
  <c r="C54" i="17"/>
  <c r="C133" i="17"/>
  <c r="C197" i="17"/>
  <c r="C261" i="17"/>
  <c r="C120" i="17"/>
  <c r="C184" i="17"/>
  <c r="C248" i="17"/>
  <c r="C312" i="17"/>
  <c r="D376" i="17"/>
  <c r="D337" i="17"/>
  <c r="D401" i="17"/>
  <c r="D465" i="17"/>
  <c r="C427" i="17"/>
  <c r="C576" i="17"/>
  <c r="D613" i="17"/>
  <c r="D173" i="17"/>
  <c r="D301" i="17"/>
  <c r="C410" i="17"/>
  <c r="C582" i="17"/>
  <c r="C567" i="17"/>
  <c r="C344" i="17"/>
  <c r="D273" i="17"/>
  <c r="D146" i="17"/>
  <c r="D223" i="17"/>
  <c r="C376" i="17"/>
  <c r="C327" i="17"/>
  <c r="D145" i="17"/>
  <c r="C509" i="17"/>
  <c r="D363" i="17"/>
  <c r="C354" i="17"/>
  <c r="D209" i="17"/>
  <c r="D437" i="17"/>
  <c r="D32" i="17"/>
  <c r="D98" i="17"/>
  <c r="C25" i="17"/>
  <c r="C220" i="17"/>
  <c r="D64" i="17"/>
  <c r="C266" i="17"/>
  <c r="D154" i="17"/>
  <c r="C34" i="17"/>
  <c r="C249" i="17"/>
  <c r="C185" i="17"/>
  <c r="D451" i="17"/>
  <c r="C298" i="17"/>
  <c r="C247" i="17"/>
  <c r="D218" i="17"/>
  <c r="D51" i="17"/>
  <c r="C140" i="17"/>
  <c r="C175" i="17"/>
  <c r="D453" i="17"/>
  <c r="D43" i="17"/>
  <c r="D57" i="17"/>
  <c r="D66" i="17"/>
  <c r="D65" i="17"/>
  <c r="D168" i="17"/>
  <c r="D626" i="17"/>
  <c r="D421" i="17"/>
  <c r="C469" i="17"/>
  <c r="C162" i="17"/>
  <c r="D210" i="17"/>
  <c r="D59" i="17"/>
  <c r="C300" i="17"/>
  <c r="C255" i="17"/>
  <c r="C73" i="17"/>
  <c r="D258" i="17"/>
  <c r="C105" i="17"/>
  <c r="C146" i="17"/>
  <c r="D176" i="17"/>
  <c r="C552" i="17"/>
  <c r="C92" i="17"/>
  <c r="C66" i="17"/>
  <c r="D107" i="17"/>
  <c r="D162" i="17"/>
  <c r="C114" i="17"/>
  <c r="C421" i="17"/>
  <c r="D325" i="17"/>
  <c r="C359" i="17"/>
  <c r="D27" i="17"/>
  <c r="C39" i="17"/>
  <c r="D242" i="17"/>
  <c r="C143" i="17"/>
  <c r="C194" i="17"/>
  <c r="D347" i="17"/>
  <c r="C501" i="17"/>
  <c r="D280" i="17"/>
  <c r="D485" i="17"/>
  <c r="D257" i="17"/>
  <c r="C97" i="17"/>
  <c r="D67" i="17"/>
  <c r="D184" i="17"/>
  <c r="C79" i="17"/>
  <c r="D49" i="17"/>
  <c r="D202" i="17"/>
  <c r="D50" i="17"/>
  <c r="C20" i="17"/>
  <c r="C231" i="17"/>
  <c r="C154" i="17"/>
  <c r="C282" i="17"/>
  <c r="D410" i="17"/>
  <c r="D435" i="17"/>
  <c r="C461" i="17"/>
  <c r="D48" i="17"/>
  <c r="C201" i="17"/>
  <c r="C252" i="17"/>
  <c r="D405" i="17"/>
  <c r="C584" i="17"/>
  <c r="D177" i="17"/>
  <c r="D476" i="17"/>
  <c r="C393" i="17"/>
  <c r="D604" i="17"/>
  <c r="C391" i="17"/>
  <c r="D434" i="17"/>
  <c r="C360" i="17"/>
  <c r="C335" i="17"/>
  <c r="D207" i="17"/>
  <c r="C283" i="17"/>
  <c r="D545" i="17"/>
  <c r="D568" i="17"/>
  <c r="D516" i="17"/>
  <c r="C490" i="17"/>
  <c r="C362" i="17"/>
  <c r="C341" i="17"/>
  <c r="D277" i="17"/>
  <c r="D213" i="17"/>
  <c r="D149" i="17"/>
  <c r="C289" i="17"/>
  <c r="C589" i="17"/>
  <c r="D557" i="17"/>
  <c r="D530" i="17"/>
  <c r="C467" i="17"/>
  <c r="D94" i="17"/>
  <c r="D284" i="17"/>
  <c r="D570" i="17"/>
  <c r="D518" i="17"/>
  <c r="C492" i="17"/>
  <c r="C521" i="17"/>
  <c r="D450" i="17"/>
  <c r="C332" i="17"/>
  <c r="D179" i="17"/>
  <c r="C588" i="17"/>
  <c r="D488" i="17"/>
  <c r="C334" i="17"/>
  <c r="C591" i="17"/>
  <c r="D185" i="17"/>
  <c r="D413" i="17"/>
  <c r="C209" i="17"/>
  <c r="C465" i="17"/>
  <c r="D414" i="17"/>
  <c r="C155" i="17"/>
  <c r="C27" i="17"/>
  <c r="C62" i="17"/>
  <c r="D457" i="17"/>
  <c r="D400" i="17"/>
  <c r="C353" i="17"/>
  <c r="D255" i="17"/>
  <c r="D253" i="17"/>
  <c r="D505" i="17"/>
  <c r="D352" i="17"/>
  <c r="D300" i="17"/>
  <c r="C78" i="17"/>
  <c r="D124" i="17"/>
  <c r="D109" i="17"/>
  <c r="D110" i="17"/>
  <c r="C171" i="17"/>
  <c r="C222" i="17"/>
  <c r="D319" i="17"/>
  <c r="D447" i="17"/>
  <c r="C473" i="17"/>
  <c r="D36" i="17"/>
  <c r="C225" i="17"/>
  <c r="C276" i="17"/>
  <c r="D429" i="17"/>
  <c r="D539" i="17"/>
  <c r="D201" i="17"/>
  <c r="C466" i="17"/>
  <c r="C603" i="17"/>
  <c r="D311" i="17"/>
  <c r="C472" i="17"/>
  <c r="C381" i="17"/>
  <c r="C342" i="17"/>
  <c r="C406" i="17"/>
  <c r="C470" i="17"/>
  <c r="D432" i="17"/>
  <c r="D496" i="17"/>
  <c r="C574" i="17"/>
  <c r="D548" i="17"/>
  <c r="C612" i="17"/>
  <c r="D525" i="17"/>
  <c r="C563" i="17"/>
  <c r="C607" i="17"/>
  <c r="D123" i="17"/>
  <c r="D187" i="17"/>
  <c r="D251" i="17"/>
  <c r="C315" i="17"/>
  <c r="C379" i="17"/>
  <c r="C340" i="17"/>
  <c r="D584" i="17"/>
  <c r="D358" i="17"/>
  <c r="C294" i="17"/>
  <c r="C230" i="17"/>
  <c r="C166" i="17"/>
  <c r="D306" i="17"/>
  <c r="C243" i="17"/>
  <c r="C179" i="17"/>
  <c r="C115" i="17"/>
  <c r="C72" i="17"/>
  <c r="D38" i="17"/>
  <c r="D102" i="17"/>
  <c r="D214" i="17"/>
  <c r="D150" i="17"/>
  <c r="D37" i="17"/>
  <c r="D101" i="17"/>
  <c r="C67" i="17"/>
  <c r="D260" i="17"/>
  <c r="D196" i="17"/>
  <c r="D132" i="17"/>
  <c r="D55" i="17"/>
  <c r="C21" i="17"/>
  <c r="C85" i="17"/>
  <c r="C86" i="17"/>
  <c r="C22" i="17"/>
  <c r="C165" i="17"/>
  <c r="C229" i="17"/>
  <c r="D292" i="17"/>
  <c r="C152" i="17"/>
  <c r="C216" i="17"/>
  <c r="C280" i="17"/>
  <c r="D344" i="17"/>
  <c r="D408" i="17"/>
  <c r="D369" i="17"/>
  <c r="D433" i="17"/>
  <c r="D497" i="17"/>
  <c r="C491" i="17"/>
  <c r="C549" i="17"/>
  <c r="C313" i="17"/>
  <c r="D237" i="17"/>
  <c r="C385" i="17"/>
  <c r="D436" i="17"/>
  <c r="D596" i="17"/>
  <c r="D191" i="17"/>
  <c r="C352" i="17"/>
  <c r="C18" i="17"/>
  <c r="C299" i="17"/>
  <c r="C351" i="17"/>
  <c r="D498" i="17"/>
  <c r="C448" i="17"/>
  <c r="D373" i="17"/>
  <c r="D97" i="17"/>
  <c r="D537" i="17"/>
  <c r="D563" i="17"/>
  <c r="D549" i="17"/>
  <c r="C284" i="17"/>
  <c r="D330" i="17"/>
  <c r="D396" i="17"/>
  <c r="C55" i="17"/>
  <c r="C169" i="17"/>
  <c r="D419" i="17"/>
  <c r="C215" i="17"/>
  <c r="C17" i="17"/>
  <c r="C76" i="17"/>
  <c r="D289" i="17"/>
  <c r="C477" i="17"/>
  <c r="D323" i="17"/>
  <c r="C170" i="17"/>
  <c r="C119" i="17"/>
  <c r="C63" i="17"/>
  <c r="C321" i="17"/>
  <c r="D379" i="17"/>
  <c r="D105" i="17"/>
  <c r="C178" i="17"/>
  <c r="C159" i="17"/>
  <c r="C36" i="17"/>
  <c r="D186" i="17"/>
  <c r="C95" i="17"/>
  <c r="D83" i="17"/>
  <c r="D193" i="17"/>
  <c r="C217" i="17"/>
  <c r="D315" i="17"/>
  <c r="C111" i="17"/>
  <c r="C71" i="17"/>
  <c r="D592" i="17"/>
  <c r="D459" i="17"/>
  <c r="D25" i="17"/>
  <c r="C517" i="17"/>
  <c r="C236" i="17"/>
  <c r="C529" i="17"/>
  <c r="D402" i="17"/>
  <c r="C274" i="17"/>
  <c r="D240" i="17"/>
  <c r="D338" i="17"/>
  <c r="D601" i="17"/>
  <c r="D108" i="17"/>
  <c r="C60" i="17"/>
  <c r="D370" i="17"/>
  <c r="C121" i="17"/>
  <c r="C301" i="17"/>
  <c r="C57" i="17"/>
  <c r="D224" i="17"/>
  <c r="D114" i="17"/>
  <c r="C108" i="17"/>
  <c r="D270" i="17"/>
  <c r="D322" i="17"/>
  <c r="D475" i="17"/>
  <c r="C98" i="17"/>
  <c r="D332" i="17"/>
  <c r="C569" i="17"/>
  <c r="D593" i="17"/>
  <c r="C33" i="17"/>
  <c r="D120" i="17"/>
  <c r="D248" i="17"/>
  <c r="C15" i="17"/>
  <c r="D138" i="17"/>
  <c r="D266" i="17"/>
  <c r="C84" i="17"/>
  <c r="C167" i="17"/>
  <c r="D294" i="17"/>
  <c r="C218" i="17"/>
  <c r="D346" i="17"/>
  <c r="D371" i="17"/>
  <c r="D499" i="17"/>
  <c r="D524" i="17"/>
  <c r="C50" i="17"/>
  <c r="C124" i="17"/>
  <c r="D380" i="17"/>
  <c r="C431" i="17"/>
  <c r="C597" i="17"/>
  <c r="D305" i="17"/>
  <c r="D167" i="17"/>
  <c r="D444" i="17"/>
  <c r="D135" i="17"/>
  <c r="D623" i="17"/>
  <c r="C424" i="17"/>
  <c r="C399" i="17"/>
  <c r="D271" i="17"/>
  <c r="D143" i="17"/>
  <c r="C583" i="17"/>
  <c r="D612" i="17"/>
  <c r="C530" i="17"/>
  <c r="D452" i="17"/>
  <c r="C426" i="17"/>
  <c r="C401" i="17"/>
  <c r="D309" i="17"/>
  <c r="D245" i="17"/>
  <c r="D181" i="17"/>
  <c r="D117" i="17"/>
  <c r="C601" i="17"/>
  <c r="C557" i="17"/>
  <c r="C592" i="17"/>
  <c r="C499" i="17"/>
  <c r="C435" i="17"/>
  <c r="S16" i="8"/>
  <c r="B434" i="2" s="1"/>
  <c r="B295" i="2" l="1"/>
  <c r="B296" i="2"/>
  <c r="R26" i="8" s="1"/>
  <c r="S26" i="8" s="1"/>
  <c r="Q622" i="17"/>
  <c r="P622" i="17"/>
  <c r="O622" i="17"/>
  <c r="R622" i="17"/>
  <c r="M3" i="8"/>
  <c r="M159" i="8" s="1"/>
  <c r="M158" i="8" s="1"/>
  <c r="M157" i="8" s="1"/>
  <c r="M156" i="8" s="1"/>
  <c r="M155" i="8" s="1"/>
  <c r="M154" i="8" s="1"/>
  <c r="M153" i="8" s="1"/>
  <c r="M152" i="8" s="1"/>
  <c r="M151" i="8" s="1"/>
  <c r="M150" i="8" s="1"/>
  <c r="M149" i="8" s="1"/>
  <c r="M148" i="8" s="1"/>
  <c r="M147" i="8" s="1"/>
  <c r="M146" i="8" s="1"/>
  <c r="M145" i="8" s="1"/>
  <c r="M144" i="8" s="1"/>
  <c r="M143" i="8" s="1"/>
  <c r="M142" i="8" s="1"/>
  <c r="M141" i="8" s="1"/>
  <c r="M140" i="8" s="1"/>
  <c r="M139" i="8" s="1"/>
  <c r="M138" i="8" s="1"/>
  <c r="M137" i="8" s="1"/>
  <c r="M136" i="8" s="1"/>
  <c r="M135" i="8" s="1"/>
  <c r="M134" i="8" s="1"/>
  <c r="M133" i="8" s="1"/>
  <c r="M132" i="8" s="1"/>
  <c r="M131" i="8" s="1"/>
  <c r="M130" i="8" s="1"/>
  <c r="M129" i="8" s="1"/>
  <c r="M128" i="8" s="1"/>
  <c r="M127" i="8" s="1"/>
  <c r="M126" i="8" s="1"/>
  <c r="M125" i="8" s="1"/>
  <c r="M124" i="8" s="1"/>
  <c r="M123" i="8" s="1"/>
  <c r="M122" i="8" s="1"/>
  <c r="M121" i="8" s="1"/>
  <c r="M120" i="8" s="1"/>
  <c r="M119" i="8" s="1"/>
  <c r="M118" i="8" s="1"/>
  <c r="M117" i="8" s="1"/>
  <c r="M116" i="8" s="1"/>
  <c r="M115" i="8" s="1"/>
  <c r="M114" i="8" s="1"/>
  <c r="M113" i="8" s="1"/>
  <c r="M112" i="8" s="1"/>
  <c r="M111" i="8" s="1"/>
  <c r="M110" i="8" s="1"/>
  <c r="M109" i="8" s="1"/>
  <c r="M108" i="8" s="1"/>
  <c r="M107" i="8" s="1"/>
  <c r="M106" i="8" s="1"/>
  <c r="M105" i="8" s="1"/>
  <c r="M104" i="8" s="1"/>
  <c r="M103" i="8" s="1"/>
  <c r="M102" i="8" s="1"/>
  <c r="M101" i="8" s="1"/>
  <c r="M100" i="8" s="1"/>
  <c r="M99" i="8" s="1"/>
  <c r="M98" i="8" s="1"/>
  <c r="M97" i="8" s="1"/>
  <c r="M96" i="8" s="1"/>
  <c r="M95" i="8" s="1"/>
  <c r="M94" i="8" s="1"/>
  <c r="M93" i="8" s="1"/>
  <c r="M92" i="8" s="1"/>
  <c r="M91" i="8" s="1"/>
  <c r="M90" i="8" s="1"/>
  <c r="M89" i="8" s="1"/>
  <c r="M88" i="8" s="1"/>
  <c r="M87" i="8" s="1"/>
  <c r="M86" i="8" s="1"/>
  <c r="M85" i="8" s="1"/>
  <c r="M84" i="8" s="1"/>
  <c r="M83" i="8" s="1"/>
  <c r="M82" i="8" s="1"/>
  <c r="M81" i="8" s="1"/>
  <c r="M80" i="8" s="1"/>
  <c r="M79" i="8" s="1"/>
  <c r="M78" i="8" s="1"/>
  <c r="M77" i="8" s="1"/>
  <c r="M76" i="8" s="1"/>
  <c r="M75" i="8" s="1"/>
  <c r="M74" i="8" s="1"/>
  <c r="M73" i="8" s="1"/>
  <c r="M72" i="8" s="1"/>
  <c r="M71" i="8" s="1"/>
  <c r="M70" i="8" s="1"/>
  <c r="M69" i="8" s="1"/>
  <c r="M68" i="8" s="1"/>
  <c r="M67" i="8" s="1"/>
  <c r="M66" i="8" s="1"/>
  <c r="M65" i="8" s="1"/>
  <c r="M64" i="8" s="1"/>
  <c r="M63" i="8" s="1"/>
  <c r="M62" i="8" s="1"/>
  <c r="M61" i="8" s="1"/>
  <c r="M60" i="8" s="1"/>
  <c r="M59" i="8" s="1"/>
  <c r="M58" i="8" s="1"/>
  <c r="M57" i="8" s="1"/>
  <c r="M56" i="8" s="1"/>
  <c r="M55" i="8" s="1"/>
  <c r="M54" i="8" s="1"/>
  <c r="M53" i="8" s="1"/>
  <c r="M52" i="8" s="1"/>
  <c r="M51" i="8" s="1"/>
  <c r="M50" i="8" s="1"/>
  <c r="M49" i="8" s="1"/>
  <c r="M48" i="8" s="1"/>
  <c r="M47" i="8" s="1"/>
  <c r="M46" i="8" s="1"/>
  <c r="M45" i="8" s="1"/>
  <c r="M44" i="8" s="1"/>
  <c r="M43" i="8" s="1"/>
  <c r="M42" i="8" s="1"/>
  <c r="M41" i="8" s="1"/>
  <c r="M40" i="8" s="1"/>
  <c r="M39" i="8" s="1"/>
  <c r="M38" i="8" s="1"/>
  <c r="M37" i="8" s="1"/>
  <c r="M36" i="8" s="1"/>
  <c r="M35" i="8" s="1"/>
  <c r="M34" i="8" s="1"/>
  <c r="M33" i="8" s="1"/>
  <c r="M32" i="8" s="1"/>
  <c r="M31" i="8" s="1"/>
  <c r="M30" i="8" s="1"/>
  <c r="M29" i="8" s="1"/>
  <c r="M28" i="8" s="1"/>
  <c r="M27" i="8" s="1"/>
  <c r="M26" i="8" s="1"/>
  <c r="M25" i="8" s="1"/>
  <c r="M24" i="8" s="1"/>
  <c r="M23" i="8" s="1"/>
  <c r="M22" i="8" s="1"/>
  <c r="M21" i="8" s="1"/>
  <c r="M20" i="8" s="1"/>
  <c r="M19" i="8" s="1"/>
  <c r="M18" i="8" s="1"/>
  <c r="M17" i="8" s="1"/>
  <c r="M16" i="8" s="1"/>
  <c r="M15" i="8" s="1"/>
  <c r="M14" i="8" s="1"/>
  <c r="M13" i="8" s="1"/>
  <c r="M12" i="8" s="1"/>
  <c r="M11" i="8" s="1"/>
  <c r="M10" i="8" s="1"/>
  <c r="M9" i="8" s="1"/>
  <c r="M8" i="8" s="1"/>
  <c r="M7" i="8" s="1"/>
  <c r="M6" i="8" s="1"/>
  <c r="M4" i="8" s="1"/>
  <c r="R24" i="8"/>
  <c r="B429" i="2"/>
  <c r="G622" i="17"/>
  <c r="H622" i="17"/>
  <c r="F622" i="17"/>
  <c r="E622" i="17"/>
  <c r="D622" i="17"/>
  <c r="C622" i="17"/>
  <c r="G4" i="8"/>
  <c r="S24" i="8" l="1"/>
  <c r="R25" i="8"/>
  <c r="N3" i="8"/>
  <c r="N159" i="8" s="1"/>
  <c r="N158" i="8" s="1"/>
  <c r="N157" i="8" s="1"/>
  <c r="N156" i="8" s="1"/>
  <c r="N155" i="8" s="1"/>
  <c r="N154" i="8" s="1"/>
  <c r="N153" i="8" s="1"/>
  <c r="N152" i="8" s="1"/>
  <c r="N151" i="8" s="1"/>
  <c r="N150" i="8" s="1"/>
  <c r="N149" i="8" s="1"/>
  <c r="N148" i="8" s="1"/>
  <c r="N147" i="8" s="1"/>
  <c r="N146" i="8" s="1"/>
  <c r="N145" i="8" s="1"/>
  <c r="N144" i="8" s="1"/>
  <c r="N143" i="8" s="1"/>
  <c r="N142" i="8" s="1"/>
  <c r="N141" i="8" s="1"/>
  <c r="N140" i="8" s="1"/>
  <c r="N139" i="8" s="1"/>
  <c r="N138" i="8" s="1"/>
  <c r="N137" i="8" s="1"/>
  <c r="N136" i="8" s="1"/>
  <c r="N135" i="8" s="1"/>
  <c r="N134" i="8" s="1"/>
  <c r="N133" i="8" s="1"/>
  <c r="N132" i="8" s="1"/>
  <c r="N131" i="8" s="1"/>
  <c r="N130" i="8" s="1"/>
  <c r="N129" i="8" s="1"/>
  <c r="N128" i="8" s="1"/>
  <c r="N127" i="8" s="1"/>
  <c r="N126" i="8" s="1"/>
  <c r="N125" i="8" s="1"/>
  <c r="N124" i="8" s="1"/>
  <c r="N123" i="8" s="1"/>
  <c r="N122" i="8" s="1"/>
  <c r="N121" i="8" s="1"/>
  <c r="N120" i="8" s="1"/>
  <c r="N119" i="8" s="1"/>
  <c r="N118" i="8" s="1"/>
  <c r="N117" i="8" s="1"/>
  <c r="N116" i="8" s="1"/>
  <c r="N115" i="8" s="1"/>
  <c r="N114" i="8" s="1"/>
  <c r="N113" i="8" s="1"/>
  <c r="N112" i="8" s="1"/>
  <c r="N111" i="8" s="1"/>
  <c r="N110" i="8" s="1"/>
  <c r="N109" i="8" s="1"/>
  <c r="N108" i="8" s="1"/>
  <c r="N107" i="8" s="1"/>
  <c r="N106" i="8" s="1"/>
  <c r="N105" i="8" s="1"/>
  <c r="N104" i="8" s="1"/>
  <c r="N103" i="8" s="1"/>
  <c r="N102" i="8" s="1"/>
  <c r="N101" i="8" s="1"/>
  <c r="N100" i="8" s="1"/>
  <c r="N99" i="8" s="1"/>
  <c r="N98" i="8" s="1"/>
  <c r="N97" i="8" s="1"/>
  <c r="N96" i="8" s="1"/>
  <c r="N95" i="8" s="1"/>
  <c r="N94" i="8" s="1"/>
  <c r="N93" i="8" s="1"/>
  <c r="N92" i="8" s="1"/>
  <c r="N91" i="8" s="1"/>
  <c r="N90" i="8" s="1"/>
  <c r="N89" i="8" s="1"/>
  <c r="N88" i="8" s="1"/>
  <c r="N87" i="8" s="1"/>
  <c r="N86" i="8" s="1"/>
  <c r="N85" i="8" s="1"/>
  <c r="N84" i="8" s="1"/>
  <c r="N83" i="8" s="1"/>
  <c r="N82" i="8" s="1"/>
  <c r="N81" i="8" s="1"/>
  <c r="N80" i="8" s="1"/>
  <c r="N79" i="8" s="1"/>
  <c r="N78" i="8" s="1"/>
  <c r="N77" i="8" s="1"/>
  <c r="N76" i="8" s="1"/>
  <c r="N75" i="8" s="1"/>
  <c r="N74" i="8" s="1"/>
  <c r="N73" i="8" s="1"/>
  <c r="N72" i="8" s="1"/>
  <c r="N71" i="8" s="1"/>
  <c r="N70" i="8" s="1"/>
  <c r="N69" i="8" s="1"/>
  <c r="N68" i="8" s="1"/>
  <c r="N67" i="8" s="1"/>
  <c r="N66" i="8" s="1"/>
  <c r="N65" i="8" s="1"/>
  <c r="N64" i="8" s="1"/>
  <c r="N63" i="8" s="1"/>
  <c r="N62" i="8" s="1"/>
  <c r="N61" i="8" s="1"/>
  <c r="N60" i="8" s="1"/>
  <c r="N59" i="8" s="1"/>
  <c r="N58" i="8" s="1"/>
  <c r="N57" i="8" s="1"/>
  <c r="N56" i="8" s="1"/>
  <c r="N55" i="8" s="1"/>
  <c r="N54" i="8" s="1"/>
  <c r="N53" i="8" s="1"/>
  <c r="N52" i="8" s="1"/>
  <c r="N51" i="8" s="1"/>
  <c r="N50" i="8" s="1"/>
  <c r="N49" i="8" s="1"/>
  <c r="N48" i="8" s="1"/>
  <c r="N47" i="8" s="1"/>
  <c r="N46" i="8" s="1"/>
  <c r="N45" i="8" s="1"/>
  <c r="N44" i="8" s="1"/>
  <c r="N43" i="8" s="1"/>
  <c r="N42" i="8" s="1"/>
  <c r="N41" i="8" s="1"/>
  <c r="N40" i="8" s="1"/>
  <c r="N39" i="8" s="1"/>
  <c r="N38" i="8" s="1"/>
  <c r="N37" i="8" s="1"/>
  <c r="N36" i="8" s="1"/>
  <c r="N35" i="8" s="1"/>
  <c r="N34" i="8" s="1"/>
  <c r="N33" i="8" s="1"/>
  <c r="N32" i="8" s="1"/>
  <c r="N31" i="8" s="1"/>
  <c r="N30" i="8" s="1"/>
  <c r="N29" i="8" s="1"/>
  <c r="N28" i="8" s="1"/>
  <c r="N27" i="8" s="1"/>
  <c r="N26" i="8" s="1"/>
  <c r="N25" i="8" s="1"/>
  <c r="N24" i="8" s="1"/>
  <c r="N23" i="8" s="1"/>
  <c r="N22" i="8" s="1"/>
  <c r="N21" i="8" s="1"/>
  <c r="N20" i="8" s="1"/>
  <c r="N19" i="8" s="1"/>
  <c r="N18" i="8" s="1"/>
  <c r="N17" i="8" s="1"/>
  <c r="N16" i="8" s="1"/>
  <c r="N15" i="8" s="1"/>
  <c r="N14" i="8" s="1"/>
  <c r="N13" i="8" s="1"/>
  <c r="N12" i="8" s="1"/>
  <c r="N11" i="8" s="1"/>
  <c r="N10" i="8" s="1"/>
  <c r="N9" i="8" s="1"/>
  <c r="N8" i="8" s="1"/>
  <c r="N7" i="8" s="1"/>
  <c r="N6" i="8" s="1"/>
  <c r="N4" i="8" s="1"/>
  <c r="J55" i="27" s="1"/>
  <c r="N55" i="27" s="1"/>
  <c r="S17" i="8"/>
  <c r="B175" i="2"/>
  <c r="C445" i="2" s="1"/>
  <c r="B435" i="2"/>
  <c r="J64" i="27" l="1"/>
  <c r="J62" i="27"/>
  <c r="J65" i="27"/>
  <c r="J60" i="27"/>
  <c r="J67" i="27"/>
  <c r="J58" i="27"/>
  <c r="J61" i="27"/>
  <c r="J63" i="27"/>
  <c r="J66" i="27"/>
  <c r="J57" i="27"/>
  <c r="J68" i="27"/>
  <c r="J59" i="27"/>
  <c r="O55" i="27"/>
  <c r="J53" i="27"/>
  <c r="N53" i="27" s="1"/>
  <c r="O53" i="27" s="1"/>
  <c r="J72" i="27"/>
  <c r="N72" i="27" s="1"/>
  <c r="J75" i="27"/>
  <c r="N75" i="27" s="1"/>
  <c r="J50" i="27"/>
  <c r="N50" i="27" s="1"/>
  <c r="J76" i="27"/>
  <c r="N76" i="27" s="1"/>
  <c r="J73" i="27"/>
  <c r="N73" i="27" s="1"/>
  <c r="J56" i="27"/>
  <c r="N56" i="27" s="1"/>
  <c r="J74" i="27"/>
  <c r="N74" i="27" s="1"/>
  <c r="J78" i="27"/>
  <c r="N78" i="27" s="1"/>
  <c r="J77" i="27"/>
  <c r="N77" i="27" s="1"/>
  <c r="J52" i="27"/>
  <c r="N52" i="27" s="1"/>
  <c r="J51" i="27"/>
  <c r="N51" i="27" s="1"/>
  <c r="J54" i="27"/>
  <c r="N54" i="27" s="1"/>
  <c r="J97" i="27"/>
  <c r="J88" i="27"/>
  <c r="J83" i="27"/>
  <c r="J25" i="27"/>
  <c r="J33" i="27"/>
  <c r="J92" i="27"/>
  <c r="J46" i="27"/>
  <c r="J43" i="27"/>
  <c r="S25" i="8"/>
  <c r="J42" i="27"/>
  <c r="J84" i="27"/>
  <c r="J89" i="27"/>
  <c r="J71" i="27"/>
  <c r="J17" i="27"/>
  <c r="J69" i="27"/>
  <c r="J87" i="27"/>
  <c r="J35" i="27"/>
  <c r="J20" i="27"/>
  <c r="J45" i="27"/>
  <c r="J93" i="27"/>
  <c r="J23" i="27"/>
  <c r="J30" i="27"/>
  <c r="J24" i="27"/>
  <c r="J13" i="27"/>
  <c r="J96" i="27"/>
  <c r="J28" i="27"/>
  <c r="J37" i="27"/>
  <c r="J22" i="27"/>
  <c r="J40" i="27"/>
  <c r="J70" i="27"/>
  <c r="J49" i="27"/>
  <c r="J79" i="27"/>
  <c r="J27" i="27"/>
  <c r="J34" i="27"/>
  <c r="J81" i="27"/>
  <c r="J47" i="27"/>
  <c r="J15" i="27"/>
  <c r="J18" i="27"/>
  <c r="J14" i="27"/>
  <c r="J26" i="27"/>
  <c r="J41" i="27"/>
  <c r="J44" i="27"/>
  <c r="J90" i="27"/>
  <c r="J80" i="27"/>
  <c r="J85" i="27"/>
  <c r="J32" i="27"/>
  <c r="J19" i="27"/>
  <c r="J21" i="27"/>
  <c r="J91" i="27"/>
  <c r="J39" i="27"/>
  <c r="J82" i="27"/>
  <c r="J94" i="27"/>
  <c r="J95" i="27"/>
  <c r="J29" i="27"/>
  <c r="J36" i="27"/>
  <c r="J48" i="27"/>
  <c r="J31" i="27"/>
  <c r="J86" i="27"/>
  <c r="J16" i="27"/>
  <c r="J38" i="27"/>
  <c r="B445" i="2"/>
  <c r="D445" i="2"/>
  <c r="B433" i="2"/>
  <c r="O72" i="27" l="1"/>
  <c r="N66" i="27"/>
  <c r="O66" i="27" s="1"/>
  <c r="O56" i="27"/>
  <c r="N59" i="27"/>
  <c r="O59" i="27" s="1"/>
  <c r="N61" i="27"/>
  <c r="O61" i="27" s="1"/>
  <c r="N65" i="27"/>
  <c r="O65" i="27" s="1"/>
  <c r="N57" i="27"/>
  <c r="O57" i="27" s="1"/>
  <c r="N63" i="27"/>
  <c r="O63" i="27" s="1"/>
  <c r="N58" i="27"/>
  <c r="O58" i="27" s="1"/>
  <c r="N67" i="27"/>
  <c r="O67" i="27" s="1"/>
  <c r="N62" i="27"/>
  <c r="O62" i="27" s="1"/>
  <c r="N68" i="27"/>
  <c r="O68" i="27" s="1"/>
  <c r="N60" i="27"/>
  <c r="O60" i="27" s="1"/>
  <c r="N64" i="27"/>
  <c r="O64" i="27" s="1"/>
  <c r="O75" i="27"/>
  <c r="O76" i="27"/>
  <c r="O51" i="27"/>
  <c r="O74" i="27"/>
  <c r="O50" i="27"/>
  <c r="O78" i="27"/>
  <c r="O77" i="27"/>
  <c r="O54" i="27"/>
  <c r="O52" i="27"/>
  <c r="O73" i="27"/>
  <c r="N39" i="27"/>
  <c r="O39" i="27" s="1"/>
  <c r="N41" i="27"/>
  <c r="O41" i="27" s="1"/>
  <c r="N15" i="27"/>
  <c r="O15" i="27" s="1"/>
  <c r="N34" i="27"/>
  <c r="O34" i="27" s="1"/>
  <c r="N96" i="27"/>
  <c r="O96" i="27" s="1"/>
  <c r="N13" i="27"/>
  <c r="O13" i="27" s="1"/>
  <c r="V13" i="27" s="1"/>
  <c r="N24" i="27"/>
  <c r="O24" i="27" s="1"/>
  <c r="N23" i="27"/>
  <c r="O23" i="27" s="1"/>
  <c r="N17" i="27"/>
  <c r="O17" i="27" s="1"/>
  <c r="N43" i="27"/>
  <c r="O43" i="27" s="1"/>
  <c r="N33" i="27"/>
  <c r="O33" i="27" s="1"/>
  <c r="N88" i="27"/>
  <c r="O88" i="27" s="1"/>
  <c r="N19" i="27"/>
  <c r="O19" i="27" s="1"/>
  <c r="N85" i="27"/>
  <c r="O85" i="27" s="1"/>
  <c r="N80" i="27"/>
  <c r="O80" i="27" s="1"/>
  <c r="N26" i="27"/>
  <c r="O26" i="27" s="1"/>
  <c r="N47" i="27"/>
  <c r="O47" i="27" s="1"/>
  <c r="N22" i="27"/>
  <c r="O22" i="27" s="1"/>
  <c r="N37" i="27"/>
  <c r="O37" i="27" s="1"/>
  <c r="N28" i="27"/>
  <c r="O28" i="27" s="1"/>
  <c r="N93" i="27"/>
  <c r="O93" i="27" s="1"/>
  <c r="N20" i="27"/>
  <c r="O20" i="27" s="1"/>
  <c r="N71" i="27"/>
  <c r="O71" i="27" s="1"/>
  <c r="N89" i="27"/>
  <c r="O89" i="27" s="1"/>
  <c r="N84" i="27"/>
  <c r="O84" i="27" s="1"/>
  <c r="N90" i="27"/>
  <c r="O90" i="27" s="1"/>
  <c r="N31" i="27"/>
  <c r="O31" i="27" s="1"/>
  <c r="N48" i="27"/>
  <c r="O48" i="27" s="1"/>
  <c r="N36" i="27"/>
  <c r="O36" i="27" s="1"/>
  <c r="N21" i="27"/>
  <c r="O21" i="27" s="1"/>
  <c r="N95" i="27"/>
  <c r="O95" i="27" s="1"/>
  <c r="N94" i="27"/>
  <c r="O94" i="27" s="1"/>
  <c r="N82" i="27"/>
  <c r="O82" i="27" s="1"/>
  <c r="N18" i="27"/>
  <c r="O18" i="27" s="1"/>
  <c r="N81" i="27"/>
  <c r="O81" i="27" s="1"/>
  <c r="N27" i="27"/>
  <c r="O27" i="27" s="1"/>
  <c r="N30" i="27"/>
  <c r="O30" i="27" s="1"/>
  <c r="N45" i="27"/>
  <c r="O45" i="27" s="1"/>
  <c r="N35" i="27"/>
  <c r="O35" i="27" s="1"/>
  <c r="N46" i="27"/>
  <c r="O46" i="27" s="1"/>
  <c r="N25" i="27"/>
  <c r="O25" i="27" s="1"/>
  <c r="N97" i="27"/>
  <c r="O97" i="27" s="1"/>
  <c r="N86" i="27"/>
  <c r="O86" i="27" s="1"/>
  <c r="N32" i="27"/>
  <c r="O32" i="27" s="1"/>
  <c r="N29" i="27"/>
  <c r="O29" i="27" s="1"/>
  <c r="N91" i="27"/>
  <c r="O91" i="27" s="1"/>
  <c r="N38" i="27"/>
  <c r="O38" i="27" s="1"/>
  <c r="N16" i="27"/>
  <c r="O16" i="27" s="1"/>
  <c r="N44" i="27"/>
  <c r="O44" i="27" s="1"/>
  <c r="N14" i="27"/>
  <c r="O14" i="27" s="1"/>
  <c r="N79" i="27"/>
  <c r="O79" i="27" s="1"/>
  <c r="N49" i="27"/>
  <c r="O49" i="27" s="1"/>
  <c r="N70" i="27"/>
  <c r="O70" i="27" s="1"/>
  <c r="N40" i="27"/>
  <c r="O40" i="27" s="1"/>
  <c r="N87" i="27"/>
  <c r="O87" i="27" s="1"/>
  <c r="N69" i="27"/>
  <c r="O69" i="27" s="1"/>
  <c r="N42" i="27"/>
  <c r="O42" i="27" s="1"/>
  <c r="N92" i="27"/>
  <c r="O92" i="27" s="1"/>
  <c r="N83" i="27"/>
  <c r="O83" i="27" s="1"/>
  <c r="A433" i="2"/>
  <c r="D54" i="16"/>
  <c r="D49" i="16" l="1"/>
  <c r="A628" i="17" l="1"/>
  <c r="S622" i="17"/>
  <c r="T623" i="17"/>
  <c r="T622" i="17"/>
  <c r="AF622" i="17" s="1"/>
  <c r="S626" i="17"/>
  <c r="S623" i="17"/>
  <c r="T626" i="17"/>
  <c r="T573" i="17"/>
  <c r="B71" i="1"/>
  <c r="R7" i="8"/>
  <c r="S7" i="8" s="1"/>
  <c r="O628" i="17" l="1"/>
  <c r="P628" i="17"/>
  <c r="Q628" i="17"/>
  <c r="R628" i="17"/>
  <c r="AF626" i="17"/>
  <c r="AE623" i="17"/>
  <c r="E633" i="17" s="1"/>
  <c r="AE626" i="17"/>
  <c r="E636" i="17" s="1"/>
  <c r="AF573" i="17"/>
  <c r="G628" i="17"/>
  <c r="H628" i="17"/>
  <c r="AE622" i="17"/>
  <c r="E632" i="17" s="1"/>
  <c r="AF623" i="17"/>
  <c r="D628" i="17"/>
  <c r="F628" i="17"/>
  <c r="T628" i="17"/>
  <c r="C628" i="17"/>
  <c r="E628" i="17"/>
  <c r="S628" i="17"/>
  <c r="R32" i="8"/>
  <c r="S32" i="8"/>
  <c r="C71" i="1" s="1"/>
  <c r="D71" i="1" s="1"/>
  <c r="S74" i="17"/>
  <c r="S121" i="17"/>
  <c r="S106" i="17"/>
  <c r="S90" i="17"/>
  <c r="S17" i="17"/>
  <c r="S81" i="17"/>
  <c r="S101" i="17"/>
  <c r="S58" i="17"/>
  <c r="S42" i="17"/>
  <c r="S26" i="17"/>
  <c r="S49" i="17"/>
  <c r="S69" i="17"/>
  <c r="S236" i="17"/>
  <c r="S300" i="17"/>
  <c r="S217" i="17"/>
  <c r="S281" i="17"/>
  <c r="S140" i="17"/>
  <c r="S70" i="17"/>
  <c r="S41" i="17"/>
  <c r="S105" i="17"/>
  <c r="S45" i="17"/>
  <c r="S77" i="17"/>
  <c r="S173" i="17"/>
  <c r="S237" i="17"/>
  <c r="S301" i="17"/>
  <c r="S160" i="17"/>
  <c r="S338" i="17"/>
  <c r="S370" i="17"/>
  <c r="S402" i="17"/>
  <c r="S172" i="17"/>
  <c r="S204" i="17"/>
  <c r="S153" i="17"/>
  <c r="S38" i="17"/>
  <c r="S73" i="17"/>
  <c r="S141" i="17"/>
  <c r="S269" i="17"/>
  <c r="S319" i="17"/>
  <c r="S383" i="17"/>
  <c r="S180" i="17"/>
  <c r="S244" i="17"/>
  <c r="S308" i="17"/>
  <c r="S339" i="17"/>
  <c r="S403" i="17"/>
  <c r="S366" i="17"/>
  <c r="S169" i="17"/>
  <c r="S233" i="17"/>
  <c r="S132" i="17"/>
  <c r="S62" i="17"/>
  <c r="S232" i="17"/>
  <c r="S296" i="17"/>
  <c r="S322" i="17"/>
  <c r="S386" i="17"/>
  <c r="S438" i="17"/>
  <c r="S65" i="17"/>
  <c r="S85" i="17"/>
  <c r="S117" i="17"/>
  <c r="S149" i="17"/>
  <c r="S181" i="17"/>
  <c r="S213" i="17"/>
  <c r="S245" i="17"/>
  <c r="S277" i="17"/>
  <c r="S309" i="17"/>
  <c r="S136" i="17"/>
  <c r="S168" i="17"/>
  <c r="S184" i="17"/>
  <c r="S248" i="17"/>
  <c r="S312" i="17"/>
  <c r="S327" i="17"/>
  <c r="S359" i="17"/>
  <c r="S391" i="17"/>
  <c r="S407" i="17"/>
  <c r="S378" i="17"/>
  <c r="S188" i="17"/>
  <c r="S252" i="17"/>
  <c r="S331" i="17"/>
  <c r="S363" i="17"/>
  <c r="S395" i="17"/>
  <c r="S411" i="17"/>
  <c r="S326" i="17"/>
  <c r="S358" i="17"/>
  <c r="S390" i="17"/>
  <c r="S454" i="17"/>
  <c r="S249" i="17"/>
  <c r="S297" i="17"/>
  <c r="S22" i="17"/>
  <c r="S86" i="17"/>
  <c r="S192" i="17"/>
  <c r="S256" i="17"/>
  <c r="S415" i="17"/>
  <c r="S462" i="17"/>
  <c r="S57" i="17"/>
  <c r="S289" i="17"/>
  <c r="S14" i="17"/>
  <c r="S78" i="17"/>
  <c r="S93" i="17"/>
  <c r="S125" i="17"/>
  <c r="S189" i="17"/>
  <c r="S253" i="17"/>
  <c r="S112" i="17"/>
  <c r="S176" i="17"/>
  <c r="S208" i="17"/>
  <c r="S272" i="17"/>
  <c r="S367" i="17"/>
  <c r="S330" i="17"/>
  <c r="S394" i="17"/>
  <c r="S228" i="17"/>
  <c r="S292" i="17"/>
  <c r="S323" i="17"/>
  <c r="S387" i="17"/>
  <c r="S350" i="17"/>
  <c r="S414" i="17"/>
  <c r="S446" i="17"/>
  <c r="S423" i="17"/>
  <c r="S487" i="17"/>
  <c r="S519" i="17"/>
  <c r="S528" i="17"/>
  <c r="S560" i="17"/>
  <c r="S606" i="17"/>
  <c r="T17" i="17"/>
  <c r="T81" i="17"/>
  <c r="T16" i="17"/>
  <c r="T80" i="17"/>
  <c r="S32" i="17"/>
  <c r="S96" i="17"/>
  <c r="S31" i="17"/>
  <c r="S95" i="17"/>
  <c r="S127" i="17"/>
  <c r="S191" i="17"/>
  <c r="S255" i="17"/>
  <c r="S114" i="17"/>
  <c r="S178" i="17"/>
  <c r="S210" i="17"/>
  <c r="S274" i="17"/>
  <c r="S369" i="17"/>
  <c r="S332" i="17"/>
  <c r="S396" i="17"/>
  <c r="S428" i="17"/>
  <c r="S492" i="17"/>
  <c r="S453" i="17"/>
  <c r="S517" i="17"/>
  <c r="S558" i="17"/>
  <c r="S571" i="17"/>
  <c r="S268" i="17"/>
  <c r="S313" i="17"/>
  <c r="S102" i="17"/>
  <c r="S109" i="17"/>
  <c r="S205" i="17"/>
  <c r="S128" i="17"/>
  <c r="S351" i="17"/>
  <c r="S212" i="17"/>
  <c r="S276" i="17"/>
  <c r="S371" i="17"/>
  <c r="S334" i="17"/>
  <c r="S398" i="17"/>
  <c r="S137" i="17"/>
  <c r="S201" i="17"/>
  <c r="S265" i="17"/>
  <c r="S305" i="17"/>
  <c r="S30" i="17"/>
  <c r="S94" i="17"/>
  <c r="S200" i="17"/>
  <c r="S264" i="17"/>
  <c r="S354" i="17"/>
  <c r="S156" i="17"/>
  <c r="S470" i="17"/>
  <c r="S33" i="17"/>
  <c r="S97" i="17"/>
  <c r="S29" i="17"/>
  <c r="S53" i="17"/>
  <c r="S133" i="17"/>
  <c r="S165" i="17"/>
  <c r="S197" i="17"/>
  <c r="S229" i="17"/>
  <c r="S261" i="17"/>
  <c r="S293" i="17"/>
  <c r="S120" i="17"/>
  <c r="S152" i="17"/>
  <c r="S216" i="17"/>
  <c r="S280" i="17"/>
  <c r="S343" i="17"/>
  <c r="S375" i="17"/>
  <c r="S346" i="17"/>
  <c r="S148" i="17"/>
  <c r="S220" i="17"/>
  <c r="S284" i="17"/>
  <c r="S315" i="17"/>
  <c r="S347" i="17"/>
  <c r="S379" i="17"/>
  <c r="S342" i="17"/>
  <c r="S374" i="17"/>
  <c r="S406" i="17"/>
  <c r="S422" i="17"/>
  <c r="S185" i="17"/>
  <c r="S124" i="17"/>
  <c r="S54" i="17"/>
  <c r="S224" i="17"/>
  <c r="S288" i="17"/>
  <c r="S430" i="17"/>
  <c r="S25" i="17"/>
  <c r="S89" i="17"/>
  <c r="S116" i="17"/>
  <c r="S46" i="17"/>
  <c r="S61" i="17"/>
  <c r="S157" i="17"/>
  <c r="S221" i="17"/>
  <c r="S285" i="17"/>
  <c r="S144" i="17"/>
  <c r="S240" i="17"/>
  <c r="S304" i="17"/>
  <c r="S335" i="17"/>
  <c r="S399" i="17"/>
  <c r="S362" i="17"/>
  <c r="S164" i="17"/>
  <c r="S196" i="17"/>
  <c r="S260" i="17"/>
  <c r="S355" i="17"/>
  <c r="S318" i="17"/>
  <c r="S382" i="17"/>
  <c r="S478" i="17"/>
  <c r="S494" i="17"/>
  <c r="S455" i="17"/>
  <c r="S592" i="17"/>
  <c r="S573" i="17"/>
  <c r="T49" i="17"/>
  <c r="T48" i="17"/>
  <c r="S64" i="17"/>
  <c r="S63" i="17"/>
  <c r="S159" i="17"/>
  <c r="S223" i="17"/>
  <c r="S287" i="17"/>
  <c r="S146" i="17"/>
  <c r="S242" i="17"/>
  <c r="S306" i="17"/>
  <c r="S337" i="17"/>
  <c r="S401" i="17"/>
  <c r="S364" i="17"/>
  <c r="S460" i="17"/>
  <c r="S421" i="17"/>
  <c r="S485" i="17"/>
  <c r="S526" i="17"/>
  <c r="S590" i="17"/>
  <c r="S604" i="17"/>
  <c r="T15" i="17"/>
  <c r="T79" i="17"/>
  <c r="T14" i="17"/>
  <c r="T78" i="17"/>
  <c r="S450" i="17"/>
  <c r="S514" i="17"/>
  <c r="S475" i="17"/>
  <c r="S76" i="17"/>
  <c r="S43" i="17"/>
  <c r="S75" i="17"/>
  <c r="S107" i="17"/>
  <c r="S139" i="17"/>
  <c r="S203" i="17"/>
  <c r="S267" i="17"/>
  <c r="S158" i="17"/>
  <c r="S440" i="17"/>
  <c r="S472" i="17"/>
  <c r="S504" i="17"/>
  <c r="S433" i="17"/>
  <c r="S465" i="17"/>
  <c r="S497" i="17"/>
  <c r="S597" i="17"/>
  <c r="T59" i="17"/>
  <c r="S431" i="17"/>
  <c r="S495" i="17"/>
  <c r="S527" i="17"/>
  <c r="S536" i="17"/>
  <c r="S568" i="17"/>
  <c r="S549" i="17"/>
  <c r="S595" i="17"/>
  <c r="T25" i="17"/>
  <c r="T89" i="17"/>
  <c r="T24" i="17"/>
  <c r="T88" i="17"/>
  <c r="S40" i="17"/>
  <c r="S104" i="17"/>
  <c r="S39" i="17"/>
  <c r="S103" i="17"/>
  <c r="S135" i="17"/>
  <c r="S199" i="17"/>
  <c r="S263" i="17"/>
  <c r="S122" i="17"/>
  <c r="S218" i="17"/>
  <c r="S282" i="17"/>
  <c r="S314" i="17"/>
  <c r="S377" i="17"/>
  <c r="S409" i="17"/>
  <c r="S340" i="17"/>
  <c r="S404" i="17"/>
  <c r="S436" i="17"/>
  <c r="S500" i="17"/>
  <c r="S461" i="17"/>
  <c r="S566" i="17"/>
  <c r="S579" i="17"/>
  <c r="T55" i="17"/>
  <c r="T54" i="17"/>
  <c r="S426" i="17"/>
  <c r="S490" i="17"/>
  <c r="S451" i="17"/>
  <c r="S588" i="17"/>
  <c r="T45" i="17"/>
  <c r="T109" i="17"/>
  <c r="S50" i="17"/>
  <c r="S177" i="17"/>
  <c r="S37" i="17"/>
  <c r="S84" i="17"/>
  <c r="S147" i="17"/>
  <c r="S211" i="17"/>
  <c r="S275" i="17"/>
  <c r="S134" i="17"/>
  <c r="S230" i="17"/>
  <c r="S294" i="17"/>
  <c r="T35" i="17"/>
  <c r="T99" i="17"/>
  <c r="T34" i="17"/>
  <c r="T100" i="17"/>
  <c r="S507" i="17"/>
  <c r="S561" i="17"/>
  <c r="T36" i="17"/>
  <c r="S52" i="17"/>
  <c r="S27" i="17"/>
  <c r="S91" i="17"/>
  <c r="S333" i="17"/>
  <c r="S397" i="17"/>
  <c r="S360" i="17"/>
  <c r="S456" i="17"/>
  <c r="S481" i="17"/>
  <c r="S522" i="17"/>
  <c r="S586" i="17"/>
  <c r="S600" i="17"/>
  <c r="S439" i="17"/>
  <c r="S503" i="17"/>
  <c r="S535" i="17"/>
  <c r="S576" i="17"/>
  <c r="S557" i="17"/>
  <c r="T33" i="17"/>
  <c r="T97" i="17"/>
  <c r="T32" i="17"/>
  <c r="S48" i="17"/>
  <c r="S47" i="17"/>
  <c r="S143" i="17"/>
  <c r="S207" i="17"/>
  <c r="S271" i="17"/>
  <c r="S130" i="17"/>
  <c r="S226" i="17"/>
  <c r="S290" i="17"/>
  <c r="S321" i="17"/>
  <c r="S385" i="17"/>
  <c r="S348" i="17"/>
  <c r="S412" i="17"/>
  <c r="S444" i="17"/>
  <c r="S508" i="17"/>
  <c r="S469" i="17"/>
  <c r="S574" i="17"/>
  <c r="S587" i="17"/>
  <c r="S601" i="17"/>
  <c r="T63" i="17"/>
  <c r="T62" i="17"/>
  <c r="S434" i="17"/>
  <c r="S498" i="17"/>
  <c r="S459" i="17"/>
  <c r="S564" i="17"/>
  <c r="T47" i="17"/>
  <c r="T46" i="17"/>
  <c r="S418" i="17"/>
  <c r="S482" i="17"/>
  <c r="S443" i="17"/>
  <c r="S532" i="17"/>
  <c r="S36" i="17"/>
  <c r="S108" i="17"/>
  <c r="S171" i="17"/>
  <c r="S235" i="17"/>
  <c r="S299" i="17"/>
  <c r="S126" i="17"/>
  <c r="S538" i="17"/>
  <c r="S570" i="17"/>
  <c r="S551" i="17"/>
  <c r="S583" i="17"/>
  <c r="T27" i="17"/>
  <c r="T91" i="17"/>
  <c r="S502" i="17"/>
  <c r="S463" i="17"/>
  <c r="S581" i="17"/>
  <c r="T57" i="17"/>
  <c r="T56" i="17"/>
  <c r="S72" i="17"/>
  <c r="S71" i="17"/>
  <c r="S167" i="17"/>
  <c r="S231" i="17"/>
  <c r="S295" i="17"/>
  <c r="S154" i="17"/>
  <c r="S186" i="17"/>
  <c r="S250" i="17"/>
  <c r="S345" i="17"/>
  <c r="S372" i="17"/>
  <c r="S468" i="17"/>
  <c r="S429" i="17"/>
  <c r="S493" i="17"/>
  <c r="S525" i="17"/>
  <c r="S534" i="17"/>
  <c r="S547" i="17"/>
  <c r="S612" i="17"/>
  <c r="T23" i="17"/>
  <c r="T87" i="17"/>
  <c r="T22" i="17"/>
  <c r="T86" i="17"/>
  <c r="S458" i="17"/>
  <c r="S419" i="17"/>
  <c r="S524" i="17"/>
  <c r="S556" i="17"/>
  <c r="T13" i="17"/>
  <c r="T77" i="17"/>
  <c r="S113" i="17"/>
  <c r="S241" i="17"/>
  <c r="S115" i="17"/>
  <c r="S179" i="17"/>
  <c r="S243" i="17"/>
  <c r="S307" i="17"/>
  <c r="S166" i="17"/>
  <c r="S198" i="17"/>
  <c r="S262" i="17"/>
  <c r="S605" i="17"/>
  <c r="T67" i="17"/>
  <c r="T66" i="17"/>
  <c r="T132" i="17"/>
  <c r="S593" i="17"/>
  <c r="T68" i="17"/>
  <c r="S20" i="17"/>
  <c r="S59" i="17"/>
  <c r="S365" i="17"/>
  <c r="S328" i="17"/>
  <c r="S392" i="17"/>
  <c r="S424" i="17"/>
  <c r="S488" i="17"/>
  <c r="S417" i="17"/>
  <c r="S449" i="17"/>
  <c r="S513" i="17"/>
  <c r="S554" i="17"/>
  <c r="S567" i="17"/>
  <c r="S510" i="17"/>
  <c r="S471" i="17"/>
  <c r="S544" i="17"/>
  <c r="S589" i="17"/>
  <c r="S603" i="17"/>
  <c r="T65" i="17"/>
  <c r="T64" i="17"/>
  <c r="S16" i="17"/>
  <c r="S80" i="17"/>
  <c r="S15" i="17"/>
  <c r="S79" i="17"/>
  <c r="S111" i="17"/>
  <c r="S175" i="17"/>
  <c r="S239" i="17"/>
  <c r="S303" i="17"/>
  <c r="S162" i="17"/>
  <c r="S194" i="17"/>
  <c r="S258" i="17"/>
  <c r="S353" i="17"/>
  <c r="S316" i="17"/>
  <c r="S380" i="17"/>
  <c r="S476" i="17"/>
  <c r="S437" i="17"/>
  <c r="S501" i="17"/>
  <c r="S533" i="17"/>
  <c r="S542" i="17"/>
  <c r="S555" i="17"/>
  <c r="T31" i="17"/>
  <c r="T95" i="17"/>
  <c r="T30" i="17"/>
  <c r="T96" i="17"/>
  <c r="S466" i="17"/>
  <c r="S427" i="17"/>
  <c r="S491" i="17"/>
  <c r="S523" i="17"/>
  <c r="S539" i="17"/>
  <c r="S548" i="17"/>
  <c r="S580" i="17"/>
  <c r="S545" i="17"/>
  <c r="S610" i="17"/>
  <c r="S607" i="17"/>
  <c r="T37" i="17"/>
  <c r="T69" i="17"/>
  <c r="T101" i="17"/>
  <c r="T20" i="17"/>
  <c r="T84" i="17"/>
  <c r="S34" i="17"/>
  <c r="S98" i="17"/>
  <c r="S161" i="17"/>
  <c r="S225" i="17"/>
  <c r="S21" i="17"/>
  <c r="S60" i="17"/>
  <c r="S19" i="17"/>
  <c r="S83" i="17"/>
  <c r="S155" i="17"/>
  <c r="S219" i="17"/>
  <c r="S283" i="17"/>
  <c r="S110" i="17"/>
  <c r="S142" i="17"/>
  <c r="S206" i="17"/>
  <c r="S238" i="17"/>
  <c r="S270" i="17"/>
  <c r="S302" i="17"/>
  <c r="S317" i="17"/>
  <c r="S381" i="17"/>
  <c r="S413" i="17"/>
  <c r="S344" i="17"/>
  <c r="S408" i="17"/>
  <c r="S480" i="17"/>
  <c r="S441" i="17"/>
  <c r="S505" i="17"/>
  <c r="S546" i="17"/>
  <c r="S559" i="17"/>
  <c r="S613" i="17"/>
  <c r="T75" i="17"/>
  <c r="T42" i="17"/>
  <c r="T74" i="17"/>
  <c r="T108" i="17"/>
  <c r="S483" i="17"/>
  <c r="S602" i="17"/>
  <c r="T76" i="17"/>
  <c r="S325" i="17"/>
  <c r="S389" i="17"/>
  <c r="S352" i="17"/>
  <c r="S416" i="17"/>
  <c r="S479" i="17"/>
  <c r="S543" i="17"/>
  <c r="S552" i="17"/>
  <c r="S598" i="17"/>
  <c r="S611" i="17"/>
  <c r="T73" i="17"/>
  <c r="T72" i="17"/>
  <c r="S24" i="17"/>
  <c r="S88" i="17"/>
  <c r="S23" i="17"/>
  <c r="S87" i="17"/>
  <c r="S119" i="17"/>
  <c r="S183" i="17"/>
  <c r="S247" i="17"/>
  <c r="S311" i="17"/>
  <c r="S170" i="17"/>
  <c r="S202" i="17"/>
  <c r="S266" i="17"/>
  <c r="S361" i="17"/>
  <c r="S324" i="17"/>
  <c r="S388" i="17"/>
  <c r="S420" i="17"/>
  <c r="S484" i="17"/>
  <c r="S445" i="17"/>
  <c r="S509" i="17"/>
  <c r="S550" i="17"/>
  <c r="S563" i="17"/>
  <c r="T39" i="17"/>
  <c r="T103" i="17"/>
  <c r="T38" i="17"/>
  <c r="S474" i="17"/>
  <c r="S435" i="17"/>
  <c r="S499" i="17"/>
  <c r="S531" i="17"/>
  <c r="S540" i="17"/>
  <c r="S572" i="17"/>
  <c r="S553" i="17"/>
  <c r="T29" i="17"/>
  <c r="T93" i="17"/>
  <c r="T28" i="17"/>
  <c r="T92" i="17"/>
  <c r="S44" i="17"/>
  <c r="S82" i="17"/>
  <c r="S209" i="17"/>
  <c r="S100" i="17"/>
  <c r="S35" i="17"/>
  <c r="S99" i="17"/>
  <c r="S131" i="17"/>
  <c r="S195" i="17"/>
  <c r="S259" i="17"/>
  <c r="S118" i="17"/>
  <c r="S214" i="17"/>
  <c r="S278" i="17"/>
  <c r="S373" i="17"/>
  <c r="S336" i="17"/>
  <c r="S400" i="17"/>
  <c r="S432" i="17"/>
  <c r="S496" i="17"/>
  <c r="S457" i="17"/>
  <c r="S562" i="17"/>
  <c r="S575" i="17"/>
  <c r="T51" i="17"/>
  <c r="T50" i="17"/>
  <c r="T116" i="17"/>
  <c r="T180" i="17"/>
  <c r="T160" i="17"/>
  <c r="T224" i="17"/>
  <c r="T288" i="17"/>
  <c r="T147" i="17"/>
  <c r="T211" i="17"/>
  <c r="T275" i="17"/>
  <c r="T372" i="17"/>
  <c r="T365" i="17"/>
  <c r="T461" i="17"/>
  <c r="T424" i="17"/>
  <c r="T488" i="17"/>
  <c r="T583" i="17"/>
  <c r="T541" i="17"/>
  <c r="T603" i="17"/>
  <c r="T94" i="17"/>
  <c r="T158" i="17"/>
  <c r="T222" i="17"/>
  <c r="T286" i="17"/>
  <c r="T145" i="17"/>
  <c r="T209" i="17"/>
  <c r="T273" i="17"/>
  <c r="T370" i="17"/>
  <c r="T363" i="17"/>
  <c r="T459" i="17"/>
  <c r="T422" i="17"/>
  <c r="T486" i="17"/>
  <c r="T549" i="17"/>
  <c r="T539" i="17"/>
  <c r="T601" i="17"/>
  <c r="S518" i="17"/>
  <c r="S577" i="17"/>
  <c r="T21" i="17"/>
  <c r="T53" i="17"/>
  <c r="T85" i="17"/>
  <c r="T52" i="17"/>
  <c r="S28" i="17"/>
  <c r="S66" i="17"/>
  <c r="S129" i="17"/>
  <c r="S193" i="17"/>
  <c r="S257" i="17"/>
  <c r="S92" i="17"/>
  <c r="S51" i="17"/>
  <c r="S123" i="17"/>
  <c r="S187" i="17"/>
  <c r="S251" i="17"/>
  <c r="S174" i="17"/>
  <c r="S190" i="17"/>
  <c r="S222" i="17"/>
  <c r="S254" i="17"/>
  <c r="S286" i="17"/>
  <c r="S349" i="17"/>
  <c r="S376" i="17"/>
  <c r="S448" i="17"/>
  <c r="S512" i="17"/>
  <c r="S473" i="17"/>
  <c r="S529" i="17"/>
  <c r="S578" i="17"/>
  <c r="S591" i="17"/>
  <c r="T43" i="17"/>
  <c r="T107" i="17"/>
  <c r="T26" i="17"/>
  <c r="T58" i="17"/>
  <c r="T90" i="17"/>
  <c r="T124" i="17"/>
  <c r="S515" i="17"/>
  <c r="S569" i="17"/>
  <c r="T44" i="17"/>
  <c r="S357" i="17"/>
  <c r="S320" i="17"/>
  <c r="S384" i="17"/>
  <c r="S537" i="17"/>
  <c r="S486" i="17"/>
  <c r="S520" i="17"/>
  <c r="S447" i="17"/>
  <c r="S511" i="17"/>
  <c r="S584" i="17"/>
  <c r="S565" i="17"/>
  <c r="T41" i="17"/>
  <c r="T105" i="17"/>
  <c r="T40" i="17"/>
  <c r="S56" i="17"/>
  <c r="S55" i="17"/>
  <c r="S151" i="17"/>
  <c r="S215" i="17"/>
  <c r="S279" i="17"/>
  <c r="S138" i="17"/>
  <c r="S234" i="17"/>
  <c r="S298" i="17"/>
  <c r="S329" i="17"/>
  <c r="S393" i="17"/>
  <c r="S356" i="17"/>
  <c r="S452" i="17"/>
  <c r="S516" i="17"/>
  <c r="S477" i="17"/>
  <c r="S541" i="17"/>
  <c r="S582" i="17"/>
  <c r="S596" i="17"/>
  <c r="S609" i="17"/>
  <c r="T71" i="17"/>
  <c r="T70" i="17"/>
  <c r="S410" i="17"/>
  <c r="S442" i="17"/>
  <c r="S506" i="17"/>
  <c r="S467" i="17"/>
  <c r="S585" i="17"/>
  <c r="S599" i="17"/>
  <c r="T61" i="17"/>
  <c r="T60" i="17"/>
  <c r="S18" i="17"/>
  <c r="S145" i="17"/>
  <c r="S273" i="17"/>
  <c r="S68" i="17"/>
  <c r="S67" i="17"/>
  <c r="S163" i="17"/>
  <c r="S227" i="17"/>
  <c r="S291" i="17"/>
  <c r="S150" i="17"/>
  <c r="S182" i="17"/>
  <c r="S246" i="17"/>
  <c r="S310" i="17"/>
  <c r="S341" i="17"/>
  <c r="S405" i="17"/>
  <c r="S368" i="17"/>
  <c r="S464" i="17"/>
  <c r="S425" i="17"/>
  <c r="S489" i="17"/>
  <c r="S521" i="17"/>
  <c r="S530" i="17"/>
  <c r="S594" i="17"/>
  <c r="S608" i="17"/>
  <c r="T19" i="17"/>
  <c r="T83" i="17"/>
  <c r="T18" i="17"/>
  <c r="T82" i="17"/>
  <c r="T148" i="17"/>
  <c r="T128" i="17"/>
  <c r="T192" i="17"/>
  <c r="T256" i="17"/>
  <c r="T115" i="17"/>
  <c r="T179" i="17"/>
  <c r="T243" i="17"/>
  <c r="T307" i="17"/>
  <c r="T340" i="17"/>
  <c r="T404" i="17"/>
  <c r="T333" i="17"/>
  <c r="T397" i="17"/>
  <c r="T429" i="17"/>
  <c r="T493" i="17"/>
  <c r="T456" i="17"/>
  <c r="T518" i="17"/>
  <c r="T551" i="17"/>
  <c r="T572" i="17"/>
  <c r="T126" i="17"/>
  <c r="T190" i="17"/>
  <c r="T254" i="17"/>
  <c r="T113" i="17"/>
  <c r="T177" i="17"/>
  <c r="T241" i="17"/>
  <c r="T305" i="17"/>
  <c r="T338" i="17"/>
  <c r="T402" i="17"/>
  <c r="T331" i="17"/>
  <c r="T395" i="17"/>
  <c r="T427" i="17"/>
  <c r="T491" i="17"/>
  <c r="T454" i="17"/>
  <c r="T519" i="17"/>
  <c r="T581" i="17"/>
  <c r="T570" i="17"/>
  <c r="T212" i="17"/>
  <c r="T172" i="17"/>
  <c r="T152" i="17"/>
  <c r="T216" i="17"/>
  <c r="T280" i="17"/>
  <c r="T139" i="17"/>
  <c r="T203" i="17"/>
  <c r="T267" i="17"/>
  <c r="T364" i="17"/>
  <c r="T357" i="17"/>
  <c r="T453" i="17"/>
  <c r="T517" i="17"/>
  <c r="T480" i="17"/>
  <c r="T542" i="17"/>
  <c r="T575" i="17"/>
  <c r="T533" i="17"/>
  <c r="T595" i="17"/>
  <c r="T608" i="17"/>
  <c r="T150" i="17"/>
  <c r="T214" i="17"/>
  <c r="T278" i="17"/>
  <c r="T137" i="17"/>
  <c r="T201" i="17"/>
  <c r="T265" i="17"/>
  <c r="T362" i="17"/>
  <c r="T355" i="17"/>
  <c r="T451" i="17"/>
  <c r="T515" i="17"/>
  <c r="T478" i="17"/>
  <c r="T540" i="17"/>
  <c r="T531" i="17"/>
  <c r="T594" i="17"/>
  <c r="T606" i="17"/>
  <c r="T252" i="17"/>
  <c r="T164" i="17"/>
  <c r="T144" i="17"/>
  <c r="T208" i="17"/>
  <c r="T272" i="17"/>
  <c r="T131" i="17"/>
  <c r="T195" i="17"/>
  <c r="T259" i="17"/>
  <c r="T356" i="17"/>
  <c r="T349" i="17"/>
  <c r="T413" i="17"/>
  <c r="T445" i="17"/>
  <c r="T509" i="17"/>
  <c r="T472" i="17"/>
  <c r="T534" i="17"/>
  <c r="T567" i="17"/>
  <c r="T525" i="17"/>
  <c r="T588" i="17"/>
  <c r="T600" i="17"/>
  <c r="T142" i="17"/>
  <c r="T206" i="17"/>
  <c r="T270" i="17"/>
  <c r="T129" i="17"/>
  <c r="T193" i="17"/>
  <c r="T257" i="17"/>
  <c r="T354" i="17"/>
  <c r="T347" i="17"/>
  <c r="T411" i="17"/>
  <c r="T443" i="17"/>
  <c r="T507" i="17"/>
  <c r="T470" i="17"/>
  <c r="T532" i="17"/>
  <c r="T523" i="17"/>
  <c r="T586" i="17"/>
  <c r="T598" i="17"/>
  <c r="T228" i="17"/>
  <c r="T104" i="17"/>
  <c r="T168" i="17"/>
  <c r="T232" i="17"/>
  <c r="T296" i="17"/>
  <c r="T155" i="17"/>
  <c r="T219" i="17"/>
  <c r="T283" i="17"/>
  <c r="T316" i="17"/>
  <c r="T380" i="17"/>
  <c r="T373" i="17"/>
  <c r="T469" i="17"/>
  <c r="T432" i="17"/>
  <c r="T496" i="17"/>
  <c r="T591" i="17"/>
  <c r="T548" i="17"/>
  <c r="T611" i="17"/>
  <c r="T102" i="17"/>
  <c r="T166" i="17"/>
  <c r="T230" i="17"/>
  <c r="T294" i="17"/>
  <c r="T153" i="17"/>
  <c r="T217" i="17"/>
  <c r="T281" i="17"/>
  <c r="T378" i="17"/>
  <c r="T371" i="17"/>
  <c r="T467" i="17"/>
  <c r="T430" i="17"/>
  <c r="T494" i="17"/>
  <c r="T557" i="17"/>
  <c r="T546" i="17"/>
  <c r="T609" i="17"/>
  <c r="T188" i="17"/>
  <c r="T268" i="17"/>
  <c r="T127" i="17"/>
  <c r="T191" i="17"/>
  <c r="T255" i="17"/>
  <c r="T352" i="17"/>
  <c r="T416" i="17"/>
  <c r="T345" i="17"/>
  <c r="T409" i="17"/>
  <c r="T441" i="17"/>
  <c r="T505" i="17"/>
  <c r="T436" i="17"/>
  <c r="T500" i="17"/>
  <c r="T552" i="17"/>
  <c r="T106" i="17"/>
  <c r="T170" i="17"/>
  <c r="T234" i="17"/>
  <c r="T298" i="17"/>
  <c r="T157" i="17"/>
  <c r="T221" i="17"/>
  <c r="T285" i="17"/>
  <c r="T318" i="17"/>
  <c r="T382" i="17"/>
  <c r="T375" i="17"/>
  <c r="T471" i="17"/>
  <c r="T434" i="17"/>
  <c r="T498" i="17"/>
  <c r="T561" i="17"/>
  <c r="T550" i="17"/>
  <c r="T613" i="17"/>
  <c r="T207" i="17"/>
  <c r="T368" i="17"/>
  <c r="T457" i="17"/>
  <c r="T516" i="17"/>
  <c r="T547" i="17"/>
  <c r="T122" i="17"/>
  <c r="T186" i="17"/>
  <c r="T250" i="17"/>
  <c r="T314" i="17"/>
  <c r="T173" i="17"/>
  <c r="T237" i="17"/>
  <c r="T301" i="17"/>
  <c r="T334" i="17"/>
  <c r="T359" i="17"/>
  <c r="T487" i="17"/>
  <c r="T514" i="17"/>
  <c r="T566" i="17"/>
  <c r="T610" i="17"/>
  <c r="T244" i="17"/>
  <c r="T140" i="17"/>
  <c r="T120" i="17"/>
  <c r="T184" i="17"/>
  <c r="T248" i="17"/>
  <c r="T312" i="17"/>
  <c r="T171" i="17"/>
  <c r="T235" i="17"/>
  <c r="T299" i="17"/>
  <c r="T332" i="17"/>
  <c r="T396" i="17"/>
  <c r="T325" i="17"/>
  <c r="T389" i="17"/>
  <c r="T421" i="17"/>
  <c r="T485" i="17"/>
  <c r="T448" i="17"/>
  <c r="T512" i="17"/>
  <c r="T564" i="17"/>
  <c r="T118" i="17"/>
  <c r="T182" i="17"/>
  <c r="T246" i="17"/>
  <c r="T310" i="17"/>
  <c r="T169" i="17"/>
  <c r="T233" i="17"/>
  <c r="T297" i="17"/>
  <c r="T330" i="17"/>
  <c r="T394" i="17"/>
  <c r="T323" i="17"/>
  <c r="T387" i="17"/>
  <c r="T419" i="17"/>
  <c r="T483" i="17"/>
  <c r="T446" i="17"/>
  <c r="T510" i="17"/>
  <c r="T562" i="17"/>
  <c r="T204" i="17"/>
  <c r="T284" i="17"/>
  <c r="T112" i="17"/>
  <c r="T176" i="17"/>
  <c r="T240" i="17"/>
  <c r="T304" i="17"/>
  <c r="T163" i="17"/>
  <c r="T227" i="17"/>
  <c r="T291" i="17"/>
  <c r="T324" i="17"/>
  <c r="T388" i="17"/>
  <c r="T317" i="17"/>
  <c r="T381" i="17"/>
  <c r="T477" i="17"/>
  <c r="T440" i="17"/>
  <c r="T504" i="17"/>
  <c r="T556" i="17"/>
  <c r="T110" i="17"/>
  <c r="T174" i="17"/>
  <c r="T238" i="17"/>
  <c r="T302" i="17"/>
  <c r="T161" i="17"/>
  <c r="T225" i="17"/>
  <c r="T289" i="17"/>
  <c r="T322" i="17"/>
  <c r="T386" i="17"/>
  <c r="T315" i="17"/>
  <c r="T379" i="17"/>
  <c r="T475" i="17"/>
  <c r="T438" i="17"/>
  <c r="T502" i="17"/>
  <c r="T565" i="17"/>
  <c r="T554" i="17"/>
  <c r="T196" i="17"/>
  <c r="T260" i="17"/>
  <c r="T156" i="17"/>
  <c r="T136" i="17"/>
  <c r="T200" i="17"/>
  <c r="T264" i="17"/>
  <c r="T123" i="17"/>
  <c r="T187" i="17"/>
  <c r="T251" i="17"/>
  <c r="T348" i="17"/>
  <c r="T412" i="17"/>
  <c r="T341" i="17"/>
  <c r="T405" i="17"/>
  <c r="T437" i="17"/>
  <c r="T501" i="17"/>
  <c r="T464" i="17"/>
  <c r="T526" i="17"/>
  <c r="T559" i="17"/>
  <c r="T580" i="17"/>
  <c r="T134" i="17"/>
  <c r="T198" i="17"/>
  <c r="T262" i="17"/>
  <c r="T121" i="17"/>
  <c r="T185" i="17"/>
  <c r="T249" i="17"/>
  <c r="T313" i="17"/>
  <c r="T346" i="17"/>
  <c r="T410" i="17"/>
  <c r="T339" i="17"/>
  <c r="T403" i="17"/>
  <c r="T435" i="17"/>
  <c r="T499" i="17"/>
  <c r="T462" i="17"/>
  <c r="T524" i="17"/>
  <c r="T589" i="17"/>
  <c r="T578" i="17"/>
  <c r="T220" i="17"/>
  <c r="T300" i="17"/>
  <c r="T159" i="17"/>
  <c r="T223" i="17"/>
  <c r="T287" i="17"/>
  <c r="T320" i="17"/>
  <c r="T384" i="17"/>
  <c r="T377" i="17"/>
  <c r="T473" i="17"/>
  <c r="T468" i="17"/>
  <c r="T530" i="17"/>
  <c r="T563" i="17"/>
  <c r="T521" i="17"/>
  <c r="T584" i="17"/>
  <c r="T596" i="17"/>
  <c r="T138" i="17"/>
  <c r="T202" i="17"/>
  <c r="T266" i="17"/>
  <c r="T125" i="17"/>
  <c r="T189" i="17"/>
  <c r="T253" i="17"/>
  <c r="T350" i="17"/>
  <c r="T414" i="17"/>
  <c r="T343" i="17"/>
  <c r="T407" i="17"/>
  <c r="T439" i="17"/>
  <c r="T503" i="17"/>
  <c r="T466" i="17"/>
  <c r="T528" i="17"/>
  <c r="T593" i="17"/>
  <c r="T582" i="17"/>
  <c r="T143" i="17"/>
  <c r="T271" i="17"/>
  <c r="T336" i="17"/>
  <c r="T400" i="17"/>
  <c r="T361" i="17"/>
  <c r="T425" i="17"/>
  <c r="T489" i="17"/>
  <c r="T452" i="17"/>
  <c r="T579" i="17"/>
  <c r="T568" i="17"/>
  <c r="T612" i="17"/>
  <c r="T154" i="17"/>
  <c r="T218" i="17"/>
  <c r="T282" i="17"/>
  <c r="T141" i="17"/>
  <c r="T205" i="17"/>
  <c r="T269" i="17"/>
  <c r="T398" i="17"/>
  <c r="T327" i="17"/>
  <c r="T391" i="17"/>
  <c r="T423" i="17"/>
  <c r="T450" i="17"/>
  <c r="T577" i="17"/>
  <c r="T276" i="17"/>
  <c r="T135" i="17"/>
  <c r="T199" i="17"/>
  <c r="T263" i="17"/>
  <c r="T360" i="17"/>
  <c r="T111" i="17"/>
  <c r="T239" i="17"/>
  <c r="T329" i="17"/>
  <c r="T420" i="17"/>
  <c r="T537" i="17"/>
  <c r="T366" i="17"/>
  <c r="T418" i="17"/>
  <c r="T545" i="17"/>
  <c r="T597" i="17"/>
  <c r="T292" i="17"/>
  <c r="T151" i="17"/>
  <c r="T215" i="17"/>
  <c r="T279" i="17"/>
  <c r="T376" i="17"/>
  <c r="T369" i="17"/>
  <c r="T465" i="17"/>
  <c r="T460" i="17"/>
  <c r="T353" i="17"/>
  <c r="T417" i="17"/>
  <c r="T481" i="17"/>
  <c r="T508" i="17"/>
  <c r="T560" i="17"/>
  <c r="T114" i="17"/>
  <c r="T178" i="17"/>
  <c r="T242" i="17"/>
  <c r="T306" i="17"/>
  <c r="T165" i="17"/>
  <c r="T229" i="17"/>
  <c r="T293" i="17"/>
  <c r="T326" i="17"/>
  <c r="T390" i="17"/>
  <c r="T319" i="17"/>
  <c r="T383" i="17"/>
  <c r="T479" i="17"/>
  <c r="T442" i="17"/>
  <c r="T506" i="17"/>
  <c r="T569" i="17"/>
  <c r="T558" i="17"/>
  <c r="T308" i="17"/>
  <c r="T167" i="17"/>
  <c r="T231" i="17"/>
  <c r="T295" i="17"/>
  <c r="T328" i="17"/>
  <c r="T392" i="17"/>
  <c r="T321" i="17"/>
  <c r="T175" i="17"/>
  <c r="T303" i="17"/>
  <c r="T393" i="17"/>
  <c r="T484" i="17"/>
  <c r="T599" i="17"/>
  <c r="T455" i="17"/>
  <c r="T482" i="17"/>
  <c r="T535" i="17"/>
  <c r="T236" i="17"/>
  <c r="T119" i="17"/>
  <c r="T183" i="17"/>
  <c r="T247" i="17"/>
  <c r="T311" i="17"/>
  <c r="T344" i="17"/>
  <c r="T408" i="17"/>
  <c r="T337" i="17"/>
  <c r="T401" i="17"/>
  <c r="T433" i="17"/>
  <c r="T497" i="17"/>
  <c r="T428" i="17"/>
  <c r="T492" i="17"/>
  <c r="T449" i="17"/>
  <c r="T513" i="17"/>
  <c r="T444" i="17"/>
  <c r="T538" i="17"/>
  <c r="T571" i="17"/>
  <c r="T529" i="17"/>
  <c r="T592" i="17"/>
  <c r="T604" i="17"/>
  <c r="T146" i="17"/>
  <c r="T210" i="17"/>
  <c r="T274" i="17"/>
  <c r="T133" i="17"/>
  <c r="T197" i="17"/>
  <c r="T261" i="17"/>
  <c r="T358" i="17"/>
  <c r="T351" i="17"/>
  <c r="T415" i="17"/>
  <c r="T447" i="17"/>
  <c r="T511" i="17"/>
  <c r="T474" i="17"/>
  <c r="T536" i="17"/>
  <c r="T527" i="17"/>
  <c r="T590" i="17"/>
  <c r="T602" i="17"/>
  <c r="T476" i="17"/>
  <c r="T587" i="17"/>
  <c r="T544" i="17"/>
  <c r="T607" i="17"/>
  <c r="T98" i="17"/>
  <c r="T162" i="17"/>
  <c r="T226" i="17"/>
  <c r="T290" i="17"/>
  <c r="T149" i="17"/>
  <c r="T213" i="17"/>
  <c r="T277" i="17"/>
  <c r="T374" i="17"/>
  <c r="T367" i="17"/>
  <c r="T463" i="17"/>
  <c r="T426" i="17"/>
  <c r="T490" i="17"/>
  <c r="T553" i="17"/>
  <c r="T543" i="17"/>
  <c r="T605" i="17"/>
  <c r="T385" i="17"/>
  <c r="T522" i="17"/>
  <c r="T555" i="17"/>
  <c r="T576" i="17"/>
  <c r="T130" i="17"/>
  <c r="T194" i="17"/>
  <c r="T258" i="17"/>
  <c r="T117" i="17"/>
  <c r="T181" i="17"/>
  <c r="T245" i="17"/>
  <c r="T309" i="17"/>
  <c r="T342" i="17"/>
  <c r="T406" i="17"/>
  <c r="T335" i="17"/>
  <c r="T399" i="17"/>
  <c r="T431" i="17"/>
  <c r="T495" i="17"/>
  <c r="T458" i="17"/>
  <c r="T520" i="17"/>
  <c r="T585" i="17"/>
  <c r="T574" i="17"/>
  <c r="S13" i="17"/>
  <c r="B376" i="2" l="1"/>
  <c r="AF309" i="17"/>
  <c r="AF555" i="17"/>
  <c r="AF463" i="17"/>
  <c r="AF587" i="17"/>
  <c r="AE13" i="17"/>
  <c r="AF458" i="17"/>
  <c r="AF335" i="17"/>
  <c r="AF245" i="17"/>
  <c r="AF194" i="17"/>
  <c r="AF522" i="17"/>
  <c r="AF553" i="17"/>
  <c r="AF367" i="17"/>
  <c r="AF149" i="17"/>
  <c r="AF98" i="17"/>
  <c r="AF476" i="17"/>
  <c r="AF536" i="17"/>
  <c r="AF415" i="17"/>
  <c r="AF197" i="17"/>
  <c r="AF146" i="17"/>
  <c r="AF571" i="17"/>
  <c r="AF449" i="17"/>
  <c r="AF433" i="17"/>
  <c r="AF344" i="17"/>
  <c r="AF119" i="17"/>
  <c r="AF455" i="17"/>
  <c r="AF303" i="17"/>
  <c r="AF328" i="17"/>
  <c r="AF308" i="17"/>
  <c r="AF442" i="17"/>
  <c r="AF390" i="17"/>
  <c r="AF165" i="17"/>
  <c r="AF114" i="17"/>
  <c r="AF417" i="17"/>
  <c r="AF369" i="17"/>
  <c r="AF151" i="17"/>
  <c r="AF418" i="17"/>
  <c r="AF329" i="17"/>
  <c r="AF263" i="17"/>
  <c r="AF577" i="17"/>
  <c r="AF327" i="17"/>
  <c r="AF141" i="17"/>
  <c r="AF612" i="17"/>
  <c r="AF489" i="17"/>
  <c r="AF336" i="17"/>
  <c r="AF593" i="17"/>
  <c r="AF439" i="17"/>
  <c r="AF350" i="17"/>
  <c r="AF266" i="17"/>
  <c r="AF584" i="17"/>
  <c r="AF468" i="17"/>
  <c r="AF320" i="17"/>
  <c r="AF300" i="17"/>
  <c r="AF524" i="17"/>
  <c r="AF403" i="17"/>
  <c r="AF313" i="17"/>
  <c r="AF262" i="17"/>
  <c r="AF559" i="17"/>
  <c r="AF437" i="17"/>
  <c r="AF348" i="17"/>
  <c r="AF264" i="17"/>
  <c r="AF260" i="17"/>
  <c r="AF502" i="17"/>
  <c r="AF315" i="17"/>
  <c r="AF225" i="17"/>
  <c r="AF174" i="17"/>
  <c r="AF440" i="17"/>
  <c r="AF388" i="17"/>
  <c r="AF163" i="17"/>
  <c r="AF112" i="17"/>
  <c r="AF510" i="17"/>
  <c r="AF387" i="17"/>
  <c r="AF297" i="17"/>
  <c r="AF246" i="17"/>
  <c r="AF512" i="17"/>
  <c r="AF389" i="17"/>
  <c r="AF299" i="17"/>
  <c r="AF248" i="17"/>
  <c r="AF244" i="17"/>
  <c r="AF487" i="17"/>
  <c r="AF237" i="17"/>
  <c r="AF186" i="17"/>
  <c r="AF457" i="17"/>
  <c r="AF550" i="17"/>
  <c r="AF471" i="17"/>
  <c r="AF285" i="17"/>
  <c r="AF234" i="17"/>
  <c r="AF500" i="17"/>
  <c r="AF409" i="17"/>
  <c r="AF255" i="17"/>
  <c r="AF188" i="17"/>
  <c r="AF494" i="17"/>
  <c r="AF378" i="17"/>
  <c r="AF294" i="17"/>
  <c r="AF611" i="17"/>
  <c r="AF432" i="17"/>
  <c r="AF316" i="17"/>
  <c r="AF296" i="17"/>
  <c r="AF228" i="17"/>
  <c r="AF532" i="17"/>
  <c r="AF411" i="17"/>
  <c r="AF193" i="17"/>
  <c r="AF142" i="17"/>
  <c r="AF567" i="17"/>
  <c r="AF445" i="17"/>
  <c r="AF259" i="17"/>
  <c r="AF208" i="17"/>
  <c r="AF606" i="17"/>
  <c r="AF478" i="17"/>
  <c r="AF362" i="17"/>
  <c r="AF278" i="17"/>
  <c r="AF595" i="17"/>
  <c r="AF480" i="17"/>
  <c r="AF364" i="17"/>
  <c r="AF280" i="17"/>
  <c r="AF212" i="17"/>
  <c r="AF454" i="17"/>
  <c r="AF331" i="17"/>
  <c r="AF241" i="17"/>
  <c r="AF190" i="17"/>
  <c r="AF518" i="17"/>
  <c r="AF397" i="17"/>
  <c r="AF307" i="17"/>
  <c r="AF256" i="17"/>
  <c r="AF82" i="17"/>
  <c r="AE608" i="17"/>
  <c r="AE489" i="17"/>
  <c r="AE405" i="17"/>
  <c r="AE182" i="17"/>
  <c r="AE163" i="17"/>
  <c r="AE145" i="17"/>
  <c r="AE599" i="17"/>
  <c r="AE442" i="17"/>
  <c r="AE609" i="17"/>
  <c r="AE477" i="17"/>
  <c r="AE393" i="17"/>
  <c r="AE138" i="17"/>
  <c r="AE55" i="17"/>
  <c r="AF41" i="17"/>
  <c r="AE447" i="17"/>
  <c r="AE384" i="17"/>
  <c r="AE569" i="17"/>
  <c r="AF58" i="17"/>
  <c r="AE591" i="17"/>
  <c r="AE512" i="17"/>
  <c r="AE286" i="17"/>
  <c r="AE174" i="17"/>
  <c r="AE51" i="17"/>
  <c r="AE129" i="17"/>
  <c r="AF85" i="17"/>
  <c r="AE518" i="17"/>
  <c r="AF486" i="17"/>
  <c r="AF370" i="17"/>
  <c r="AF286" i="17"/>
  <c r="AF603" i="17"/>
  <c r="AF424" i="17"/>
  <c r="AF275" i="17"/>
  <c r="AF224" i="17"/>
  <c r="AF50" i="17"/>
  <c r="AE457" i="17"/>
  <c r="AE336" i="17"/>
  <c r="AE118" i="17"/>
  <c r="AE99" i="17"/>
  <c r="AE82" i="17"/>
  <c r="AF93" i="17"/>
  <c r="AE540" i="17"/>
  <c r="AE474" i="17"/>
  <c r="AE563" i="17"/>
  <c r="AE484" i="17"/>
  <c r="AE361" i="17"/>
  <c r="AE311" i="17"/>
  <c r="AE87" i="17"/>
  <c r="AF72" i="17"/>
  <c r="AE552" i="17"/>
  <c r="AE352" i="17"/>
  <c r="AE602" i="17"/>
  <c r="AF42" i="17"/>
  <c r="AE546" i="17"/>
  <c r="AE408" i="17"/>
  <c r="AE317" i="17"/>
  <c r="AE206" i="17"/>
  <c r="AE219" i="17"/>
  <c r="AE60" i="17"/>
  <c r="AE98" i="17"/>
  <c r="AF101" i="17"/>
  <c r="AE610" i="17"/>
  <c r="AE539" i="17"/>
  <c r="AE466" i="17"/>
  <c r="AF31" i="17"/>
  <c r="AE501" i="17"/>
  <c r="AE316" i="17"/>
  <c r="AE162" i="17"/>
  <c r="AE111" i="17"/>
  <c r="AE16" i="17"/>
  <c r="AE589" i="17"/>
  <c r="AE567" i="17"/>
  <c r="AE417" i="17"/>
  <c r="AE328" i="17"/>
  <c r="AF68" i="17"/>
  <c r="AF67" i="17"/>
  <c r="AE166" i="17"/>
  <c r="AE115" i="17"/>
  <c r="AF13" i="17"/>
  <c r="AE458" i="17"/>
  <c r="AF23" i="17"/>
  <c r="AE525" i="17"/>
  <c r="AE372" i="17"/>
  <c r="AE154" i="17"/>
  <c r="AE71" i="17"/>
  <c r="AE581" i="17"/>
  <c r="AF27" i="17"/>
  <c r="AE538" i="17"/>
  <c r="AE171" i="17"/>
  <c r="AE443" i="17"/>
  <c r="AF47" i="17"/>
  <c r="AE434" i="17"/>
  <c r="AE587" i="17"/>
  <c r="AE444" i="17"/>
  <c r="AE321" i="17"/>
  <c r="AE271" i="17"/>
  <c r="AE48" i="17"/>
  <c r="AE557" i="17"/>
  <c r="AE439" i="17"/>
  <c r="AE481" i="17"/>
  <c r="AE333" i="17"/>
  <c r="AF36" i="17"/>
  <c r="AF34" i="17"/>
  <c r="AE230" i="17"/>
  <c r="AE147" i="17"/>
  <c r="AE50" i="17"/>
  <c r="AE451" i="17"/>
  <c r="AF55" i="17"/>
  <c r="AE500" i="17"/>
  <c r="AE409" i="17"/>
  <c r="AE218" i="17"/>
  <c r="AE135" i="17"/>
  <c r="AE40" i="17"/>
  <c r="AF25" i="17"/>
  <c r="AE536" i="17"/>
  <c r="AF59" i="17"/>
  <c r="AE433" i="17"/>
  <c r="AE158" i="17"/>
  <c r="AE107" i="17"/>
  <c r="AE475" i="17"/>
  <c r="AF14" i="17"/>
  <c r="AE590" i="17"/>
  <c r="AE460" i="17"/>
  <c r="AE306" i="17"/>
  <c r="AE223" i="17"/>
  <c r="AF48" i="17"/>
  <c r="AE455" i="17"/>
  <c r="AE318" i="17"/>
  <c r="AE164" i="17"/>
  <c r="AE304" i="17"/>
  <c r="AE221" i="17"/>
  <c r="AE116" i="17"/>
  <c r="AE288" i="17"/>
  <c r="AE185" i="17"/>
  <c r="AE342" i="17"/>
  <c r="AE284" i="17"/>
  <c r="AE375" i="17"/>
  <c r="AE152" i="17"/>
  <c r="AE229" i="17"/>
  <c r="AE53" i="17"/>
  <c r="AE470" i="17"/>
  <c r="AE200" i="17"/>
  <c r="AE265" i="17"/>
  <c r="AE334" i="17"/>
  <c r="AE351" i="17"/>
  <c r="AE102" i="17"/>
  <c r="AE558" i="17"/>
  <c r="AE428" i="17"/>
  <c r="AE274" i="17"/>
  <c r="AE255" i="17"/>
  <c r="AE31" i="17"/>
  <c r="AF16" i="17"/>
  <c r="AE560" i="17"/>
  <c r="AE423" i="17"/>
  <c r="AE387" i="17"/>
  <c r="AE394" i="17"/>
  <c r="AE208" i="17"/>
  <c r="AE189" i="17"/>
  <c r="AE14" i="17"/>
  <c r="AE415" i="17"/>
  <c r="AE22" i="17"/>
  <c r="AE390" i="17"/>
  <c r="AE395" i="17"/>
  <c r="AE188" i="17"/>
  <c r="AE359" i="17"/>
  <c r="AE184" i="17"/>
  <c r="AE277" i="17"/>
  <c r="AE149" i="17"/>
  <c r="AE438" i="17"/>
  <c r="AE232" i="17"/>
  <c r="AE169" i="17"/>
  <c r="AE308" i="17"/>
  <c r="AE319" i="17"/>
  <c r="AE38" i="17"/>
  <c r="AE402" i="17"/>
  <c r="AE301" i="17"/>
  <c r="AE45" i="17"/>
  <c r="AE140" i="17"/>
  <c r="AE236" i="17"/>
  <c r="AE42" i="17"/>
  <c r="AE17" i="17"/>
  <c r="AE74" i="17"/>
  <c r="AF574" i="17"/>
  <c r="AF406" i="17"/>
  <c r="AF130" i="17"/>
  <c r="AF490" i="17"/>
  <c r="AF290" i="17"/>
  <c r="AF607" i="17"/>
  <c r="AF602" i="17"/>
  <c r="AF474" i="17"/>
  <c r="AF351" i="17"/>
  <c r="AF133" i="17"/>
  <c r="AF604" i="17"/>
  <c r="AF538" i="17"/>
  <c r="AF492" i="17"/>
  <c r="AF401" i="17"/>
  <c r="AF311" i="17"/>
  <c r="AF236" i="17"/>
  <c r="AF599" i="17"/>
  <c r="AF175" i="17"/>
  <c r="AF295" i="17"/>
  <c r="AF558" i="17"/>
  <c r="AF479" i="17"/>
  <c r="AF326" i="17"/>
  <c r="AF306" i="17"/>
  <c r="AF560" i="17"/>
  <c r="AF353" i="17"/>
  <c r="AF376" i="17"/>
  <c r="AF292" i="17"/>
  <c r="AF366" i="17"/>
  <c r="AF239" i="17"/>
  <c r="AF199" i="17"/>
  <c r="AF450" i="17"/>
  <c r="AF398" i="17"/>
  <c r="AF282" i="17"/>
  <c r="AF568" i="17"/>
  <c r="AF425" i="17"/>
  <c r="AF271" i="17"/>
  <c r="AF528" i="17"/>
  <c r="AF407" i="17"/>
  <c r="AF253" i="17"/>
  <c r="AF202" i="17"/>
  <c r="AF521" i="17"/>
  <c r="AF473" i="17"/>
  <c r="AF287" i="17"/>
  <c r="AF220" i="17"/>
  <c r="AF462" i="17"/>
  <c r="AF339" i="17"/>
  <c r="AF249" i="17"/>
  <c r="AF198" i="17"/>
  <c r="AF526" i="17"/>
  <c r="AF405" i="17"/>
  <c r="AF251" i="17"/>
  <c r="AF200" i="17"/>
  <c r="AF196" i="17"/>
  <c r="AF438" i="17"/>
  <c r="AF386" i="17"/>
  <c r="AF161" i="17"/>
  <c r="AF110" i="17"/>
  <c r="AF477" i="17"/>
  <c r="AF324" i="17"/>
  <c r="AF304" i="17"/>
  <c r="AF284" i="17"/>
  <c r="AF446" i="17"/>
  <c r="AF323" i="17"/>
  <c r="AF233" i="17"/>
  <c r="AF182" i="17"/>
  <c r="AF448" i="17"/>
  <c r="AF325" i="17"/>
  <c r="AF235" i="17"/>
  <c r="AF184" i="17"/>
  <c r="AF610" i="17"/>
  <c r="AF359" i="17"/>
  <c r="AF173" i="17"/>
  <c r="AF122" i="17"/>
  <c r="AF368" i="17"/>
  <c r="AF561" i="17"/>
  <c r="AF375" i="17"/>
  <c r="AF221" i="17"/>
  <c r="AF170" i="17"/>
  <c r="AF436" i="17"/>
  <c r="AF345" i="17"/>
  <c r="AF191" i="17"/>
  <c r="AF609" i="17"/>
  <c r="AF430" i="17"/>
  <c r="AF281" i="17"/>
  <c r="AF230" i="17"/>
  <c r="AF548" i="17"/>
  <c r="AF469" i="17"/>
  <c r="AF283" i="17"/>
  <c r="AF232" i="17"/>
  <c r="AF598" i="17"/>
  <c r="AF470" i="17"/>
  <c r="AF347" i="17"/>
  <c r="AF129" i="17"/>
  <c r="AF600" i="17"/>
  <c r="AF534" i="17"/>
  <c r="AF413" i="17"/>
  <c r="AF195" i="17"/>
  <c r="AF144" i="17"/>
  <c r="AF594" i="17"/>
  <c r="AF515" i="17"/>
  <c r="AF265" i="17"/>
  <c r="AF214" i="17"/>
  <c r="AF533" i="17"/>
  <c r="AF517" i="17"/>
  <c r="AF267" i="17"/>
  <c r="AF216" i="17"/>
  <c r="AF570" i="17"/>
  <c r="AF491" i="17"/>
  <c r="AF402" i="17"/>
  <c r="AF177" i="17"/>
  <c r="AF126" i="17"/>
  <c r="AF456" i="17"/>
  <c r="AF333" i="17"/>
  <c r="AF243" i="17"/>
  <c r="AF192" i="17"/>
  <c r="AF18" i="17"/>
  <c r="AE594" i="17"/>
  <c r="AE425" i="17"/>
  <c r="AE341" i="17"/>
  <c r="AE150" i="17"/>
  <c r="AE67" i="17"/>
  <c r="AE18" i="17"/>
  <c r="AE585" i="17"/>
  <c r="AE410" i="17"/>
  <c r="AE596" i="17"/>
  <c r="AE516" i="17"/>
  <c r="AE329" i="17"/>
  <c r="AE279" i="17"/>
  <c r="AE56" i="17"/>
  <c r="AE565" i="17"/>
  <c r="AE520" i="17"/>
  <c r="AE320" i="17"/>
  <c r="AE515" i="17"/>
  <c r="AF26" i="17"/>
  <c r="AE578" i="17"/>
  <c r="AE448" i="17"/>
  <c r="AE254" i="17"/>
  <c r="AE251" i="17"/>
  <c r="AE92" i="17"/>
  <c r="AE66" i="17"/>
  <c r="AF53" i="17"/>
  <c r="AF601" i="17"/>
  <c r="AF422" i="17"/>
  <c r="AF273" i="17"/>
  <c r="AF222" i="17"/>
  <c r="AF541" i="17"/>
  <c r="AF461" i="17"/>
  <c r="AF211" i="17"/>
  <c r="AF160" i="17"/>
  <c r="AF51" i="17"/>
  <c r="AE496" i="17"/>
  <c r="AE373" i="17"/>
  <c r="AE259" i="17"/>
  <c r="AE35" i="17"/>
  <c r="AE44" i="17"/>
  <c r="AF29" i="17"/>
  <c r="AE531" i="17"/>
  <c r="AF38" i="17"/>
  <c r="AE550" i="17"/>
  <c r="AE420" i="17"/>
  <c r="AE266" i="17"/>
  <c r="AE247" i="17"/>
  <c r="AE23" i="17"/>
  <c r="AF73" i="17"/>
  <c r="AE543" i="17"/>
  <c r="AE389" i="17"/>
  <c r="AE483" i="17"/>
  <c r="AF75" i="17"/>
  <c r="AE505" i="17"/>
  <c r="AE344" i="17"/>
  <c r="AE302" i="17"/>
  <c r="AE142" i="17"/>
  <c r="AE155" i="17"/>
  <c r="AE21" i="17"/>
  <c r="AE34" i="17"/>
  <c r="AF69" i="17"/>
  <c r="AE545" i="17"/>
  <c r="AE523" i="17"/>
  <c r="AF96" i="17"/>
  <c r="AE555" i="17"/>
  <c r="AE437" i="17"/>
  <c r="AE353" i="17"/>
  <c r="AE303" i="17"/>
  <c r="AE79" i="17"/>
  <c r="AF64" i="17"/>
  <c r="AE544" i="17"/>
  <c r="AE554" i="17"/>
  <c r="AE488" i="17"/>
  <c r="AE365" i="17"/>
  <c r="AE593" i="17"/>
  <c r="AE605" i="17"/>
  <c r="AE307" i="17"/>
  <c r="AE241" i="17"/>
  <c r="AE556" i="17"/>
  <c r="AF86" i="17"/>
  <c r="AE612" i="17"/>
  <c r="AE493" i="17"/>
  <c r="AE345" i="17"/>
  <c r="AE295" i="17"/>
  <c r="AE72" i="17"/>
  <c r="AE463" i="17"/>
  <c r="AE583" i="17"/>
  <c r="AE126" i="17"/>
  <c r="AE108" i="17"/>
  <c r="AE482" i="17"/>
  <c r="AE564" i="17"/>
  <c r="AF62" i="17"/>
  <c r="AE574" i="17"/>
  <c r="AE412" i="17"/>
  <c r="AE290" i="17"/>
  <c r="AE207" i="17"/>
  <c r="AF32" i="17"/>
  <c r="AE576" i="17"/>
  <c r="AE600" i="17"/>
  <c r="AE456" i="17"/>
  <c r="AE91" i="17"/>
  <c r="AE561" i="17"/>
  <c r="AF99" i="17"/>
  <c r="AE134" i="17"/>
  <c r="AE84" i="17"/>
  <c r="AF109" i="17"/>
  <c r="AE490" i="17"/>
  <c r="AE579" i="17"/>
  <c r="AE436" i="17"/>
  <c r="AE377" i="17"/>
  <c r="AE122" i="17"/>
  <c r="AE103" i="17"/>
  <c r="AF88" i="17"/>
  <c r="AE595" i="17"/>
  <c r="AE527" i="17"/>
  <c r="AE597" i="17"/>
  <c r="AE504" i="17"/>
  <c r="AE267" i="17"/>
  <c r="AE75" i="17"/>
  <c r="AE514" i="17"/>
  <c r="AF79" i="17"/>
  <c r="AE526" i="17"/>
  <c r="AE364" i="17"/>
  <c r="AE242" i="17"/>
  <c r="AE159" i="17"/>
  <c r="AF49" i="17"/>
  <c r="AE494" i="17"/>
  <c r="AE355" i="17"/>
  <c r="AE362" i="17"/>
  <c r="AE240" i="17"/>
  <c r="AE157" i="17"/>
  <c r="AE89" i="17"/>
  <c r="AE224" i="17"/>
  <c r="AE422" i="17"/>
  <c r="AE379" i="17"/>
  <c r="AE220" i="17"/>
  <c r="AE343" i="17"/>
  <c r="AE120" i="17"/>
  <c r="AE197" i="17"/>
  <c r="AE29" i="17"/>
  <c r="AE156" i="17"/>
  <c r="AE94" i="17"/>
  <c r="AE201" i="17"/>
  <c r="AE371" i="17"/>
  <c r="AE128" i="17"/>
  <c r="AE313" i="17"/>
  <c r="AE517" i="17"/>
  <c r="AE396" i="17"/>
  <c r="AE210" i="17"/>
  <c r="AE191" i="17"/>
  <c r="AE96" i="17"/>
  <c r="AF81" i="17"/>
  <c r="AE528" i="17"/>
  <c r="AE446" i="17"/>
  <c r="AE323" i="17"/>
  <c r="AE330" i="17"/>
  <c r="AE176" i="17"/>
  <c r="AE125" i="17"/>
  <c r="AE289" i="17"/>
  <c r="AE256" i="17"/>
  <c r="AE297" i="17"/>
  <c r="AE358" i="17"/>
  <c r="AE363" i="17"/>
  <c r="AE378" i="17"/>
  <c r="AE327" i="17"/>
  <c r="AE168" i="17"/>
  <c r="AE245" i="17"/>
  <c r="AE117" i="17"/>
  <c r="AE386" i="17"/>
  <c r="AE62" i="17"/>
  <c r="AE366" i="17"/>
  <c r="AE244" i="17"/>
  <c r="AE269" i="17"/>
  <c r="AE153" i="17"/>
  <c r="AE370" i="17"/>
  <c r="AE237" i="17"/>
  <c r="AE105" i="17"/>
  <c r="AE281" i="17"/>
  <c r="AE69" i="17"/>
  <c r="AE58" i="17"/>
  <c r="AE90" i="17"/>
  <c r="AF520" i="17"/>
  <c r="AF495" i="17"/>
  <c r="AF181" i="17"/>
  <c r="AF385" i="17"/>
  <c r="AF374" i="17"/>
  <c r="AF585" i="17"/>
  <c r="AF431" i="17"/>
  <c r="AF342" i="17"/>
  <c r="AF117" i="17"/>
  <c r="AF576" i="17"/>
  <c r="AF605" i="17"/>
  <c r="AF426" i="17"/>
  <c r="AF277" i="17"/>
  <c r="AF226" i="17"/>
  <c r="AF544" i="17"/>
  <c r="AF590" i="17"/>
  <c r="AF511" i="17"/>
  <c r="AF358" i="17"/>
  <c r="AF274" i="17"/>
  <c r="AF592" i="17"/>
  <c r="AF444" i="17"/>
  <c r="AF428" i="17"/>
  <c r="AF337" i="17"/>
  <c r="AF247" i="17"/>
  <c r="AF535" i="17"/>
  <c r="AF484" i="17"/>
  <c r="AF321" i="17"/>
  <c r="AF231" i="17"/>
  <c r="AF569" i="17"/>
  <c r="AF383" i="17"/>
  <c r="AF293" i="17"/>
  <c r="AF242" i="17"/>
  <c r="AF508" i="17"/>
  <c r="AF460" i="17"/>
  <c r="AF279" i="17"/>
  <c r="AF597" i="17"/>
  <c r="AF537" i="17"/>
  <c r="AF111" i="17"/>
  <c r="AF135" i="17"/>
  <c r="AF423" i="17"/>
  <c r="AF269" i="17"/>
  <c r="AF218" i="17"/>
  <c r="AF579" i="17"/>
  <c r="AF361" i="17"/>
  <c r="AF143" i="17"/>
  <c r="AF466" i="17"/>
  <c r="AF343" i="17"/>
  <c r="AF189" i="17"/>
  <c r="AF138" i="17"/>
  <c r="AF563" i="17"/>
  <c r="AF377" i="17"/>
  <c r="AF223" i="17"/>
  <c r="AF578" i="17"/>
  <c r="AF499" i="17"/>
  <c r="AF410" i="17"/>
  <c r="AF185" i="17"/>
  <c r="AF134" i="17"/>
  <c r="AF464" i="17"/>
  <c r="AF341" i="17"/>
  <c r="AF187" i="17"/>
  <c r="AF136" i="17"/>
  <c r="AF554" i="17"/>
  <c r="AF475" i="17"/>
  <c r="AF322" i="17"/>
  <c r="AF302" i="17"/>
  <c r="AF556" i="17"/>
  <c r="AF381" i="17"/>
  <c r="AF291" i="17"/>
  <c r="AF240" i="17"/>
  <c r="AF204" i="17"/>
  <c r="AF483" i="17"/>
  <c r="AF394" i="17"/>
  <c r="AF169" i="17"/>
  <c r="AF118" i="17"/>
  <c r="AF485" i="17"/>
  <c r="AF396" i="17"/>
  <c r="AF171" i="17"/>
  <c r="AF120" i="17"/>
  <c r="AF566" i="17"/>
  <c r="AF334" i="17"/>
  <c r="AF314" i="17"/>
  <c r="AF547" i="17"/>
  <c r="AF207" i="17"/>
  <c r="AF498" i="17"/>
  <c r="AF382" i="17"/>
  <c r="AF157" i="17"/>
  <c r="AF106" i="17"/>
  <c r="AF505" i="17"/>
  <c r="AF416" i="17"/>
  <c r="AF127" i="17"/>
  <c r="AF546" i="17"/>
  <c r="AF467" i="17"/>
  <c r="AF217" i="17"/>
  <c r="AF166" i="17"/>
  <c r="AF591" i="17"/>
  <c r="AF373" i="17"/>
  <c r="AF219" i="17"/>
  <c r="AF168" i="17"/>
  <c r="AF586" i="17"/>
  <c r="AF507" i="17"/>
  <c r="AF354" i="17"/>
  <c r="AF270" i="17"/>
  <c r="AF588" i="17"/>
  <c r="AF472" i="17"/>
  <c r="AF349" i="17"/>
  <c r="AF131" i="17"/>
  <c r="AF164" i="17"/>
  <c r="AF531" i="17"/>
  <c r="AF451" i="17"/>
  <c r="AF201" i="17"/>
  <c r="AF150" i="17"/>
  <c r="AF575" i="17"/>
  <c r="AF453" i="17"/>
  <c r="AF203" i="17"/>
  <c r="AF152" i="17"/>
  <c r="AF581" i="17"/>
  <c r="AF427" i="17"/>
  <c r="AF338" i="17"/>
  <c r="AF113" i="17"/>
  <c r="AF572" i="17"/>
  <c r="AF493" i="17"/>
  <c r="AF404" i="17"/>
  <c r="AF179" i="17"/>
  <c r="AF128" i="17"/>
  <c r="AF83" i="17"/>
  <c r="AE530" i="17"/>
  <c r="AE464" i="17"/>
  <c r="AE310" i="17"/>
  <c r="AE291" i="17"/>
  <c r="AE68" i="17"/>
  <c r="AF60" i="17"/>
  <c r="AE467" i="17"/>
  <c r="AF70" i="17"/>
  <c r="AE582" i="17"/>
  <c r="AE452" i="17"/>
  <c r="AE298" i="17"/>
  <c r="AE215" i="17"/>
  <c r="AF40" i="17"/>
  <c r="AE584" i="17"/>
  <c r="AE486" i="17"/>
  <c r="AE357" i="17"/>
  <c r="AF124" i="17"/>
  <c r="AF107" i="17"/>
  <c r="AE529" i="17"/>
  <c r="AE376" i="17"/>
  <c r="AE222" i="17"/>
  <c r="AE187" i="17"/>
  <c r="AE257" i="17"/>
  <c r="AE28" i="17"/>
  <c r="AF21" i="17"/>
  <c r="AF539" i="17"/>
  <c r="AF459" i="17"/>
  <c r="AF209" i="17"/>
  <c r="AF158" i="17"/>
  <c r="AF583" i="17"/>
  <c r="AF365" i="17"/>
  <c r="AF147" i="17"/>
  <c r="AF180" i="17"/>
  <c r="AE575" i="17"/>
  <c r="AE432" i="17"/>
  <c r="AE278" i="17"/>
  <c r="AE195" i="17"/>
  <c r="AE100" i="17"/>
  <c r="AF92" i="17"/>
  <c r="AE553" i="17"/>
  <c r="AE499" i="17"/>
  <c r="AF103" i="17"/>
  <c r="AE509" i="17"/>
  <c r="AE388" i="17"/>
  <c r="AE202" i="17"/>
  <c r="AE183" i="17"/>
  <c r="AE88" i="17"/>
  <c r="AE611" i="17"/>
  <c r="AE479" i="17"/>
  <c r="AE325" i="17"/>
  <c r="AF108" i="17"/>
  <c r="AE613" i="17"/>
  <c r="AE441" i="17"/>
  <c r="AE413" i="17"/>
  <c r="AE270" i="17"/>
  <c r="AE110" i="17"/>
  <c r="AE83" i="17"/>
  <c r="AE225" i="17"/>
  <c r="AF84" i="17"/>
  <c r="AF37" i="17"/>
  <c r="AE580" i="17"/>
  <c r="AE491" i="17"/>
  <c r="AF30" i="17"/>
  <c r="AE542" i="17"/>
  <c r="AE476" i="17"/>
  <c r="AE258" i="17"/>
  <c r="AE239" i="17"/>
  <c r="AE15" i="17"/>
  <c r="AF65" i="17"/>
  <c r="AE471" i="17"/>
  <c r="AE513" i="17"/>
  <c r="AE424" i="17"/>
  <c r="AE59" i="17"/>
  <c r="AF132" i="17"/>
  <c r="AE262" i="17"/>
  <c r="AE243" i="17"/>
  <c r="AE113" i="17"/>
  <c r="AE524" i="17"/>
  <c r="AF22" i="17"/>
  <c r="AE547" i="17"/>
  <c r="AE429" i="17"/>
  <c r="AE250" i="17"/>
  <c r="AE231" i="17"/>
  <c r="AF56" i="17"/>
  <c r="AE502" i="17"/>
  <c r="AE551" i="17"/>
  <c r="AE299" i="17"/>
  <c r="AE36" i="17"/>
  <c r="AE418" i="17"/>
  <c r="AE459" i="17"/>
  <c r="AF63" i="17"/>
  <c r="AE469" i="17"/>
  <c r="AE348" i="17"/>
  <c r="AE226" i="17"/>
  <c r="AE143" i="17"/>
  <c r="AF97" i="17"/>
  <c r="AE535" i="17"/>
  <c r="AE586" i="17"/>
  <c r="AE360" i="17"/>
  <c r="AE27" i="17"/>
  <c r="AE507" i="17"/>
  <c r="AF35" i="17"/>
  <c r="AE275" i="17"/>
  <c r="AE37" i="17"/>
  <c r="AF45" i="17"/>
  <c r="AE426" i="17"/>
  <c r="AE566" i="17"/>
  <c r="AE404" i="17"/>
  <c r="AE314" i="17"/>
  <c r="AE263" i="17"/>
  <c r="AE39" i="17"/>
  <c r="AF24" i="17"/>
  <c r="AE549" i="17"/>
  <c r="AE495" i="17"/>
  <c r="AE497" i="17"/>
  <c r="AE472" i="17"/>
  <c r="AE203" i="17"/>
  <c r="AE43" i="17"/>
  <c r="AE450" i="17"/>
  <c r="AF15" i="17"/>
  <c r="AE485" i="17"/>
  <c r="AE401" i="17"/>
  <c r="AE146" i="17"/>
  <c r="AE63" i="17"/>
  <c r="AE573" i="17"/>
  <c r="AE478" i="17"/>
  <c r="AE260" i="17"/>
  <c r="AE399" i="17"/>
  <c r="AE144" i="17"/>
  <c r="AE61" i="17"/>
  <c r="AE25" i="17"/>
  <c r="AE54" i="17"/>
  <c r="AE406" i="17"/>
  <c r="AE347" i="17"/>
  <c r="AE148" i="17"/>
  <c r="AE280" i="17"/>
  <c r="AE293" i="17"/>
  <c r="AE165" i="17"/>
  <c r="AE97" i="17"/>
  <c r="AE354" i="17"/>
  <c r="AE30" i="17"/>
  <c r="AE137" i="17"/>
  <c r="AE276" i="17"/>
  <c r="AE205" i="17"/>
  <c r="AE268" i="17"/>
  <c r="AE453" i="17"/>
  <c r="AE332" i="17"/>
  <c r="AE178" i="17"/>
  <c r="AE127" i="17"/>
  <c r="AE32" i="17"/>
  <c r="AF17" i="17"/>
  <c r="AE519" i="17"/>
  <c r="AE414" i="17"/>
  <c r="AE292" i="17"/>
  <c r="AE367" i="17"/>
  <c r="AE112" i="17"/>
  <c r="AE93" i="17"/>
  <c r="AE57" i="17"/>
  <c r="AE192" i="17"/>
  <c r="AE249" i="17"/>
  <c r="AE326" i="17"/>
  <c r="AE331" i="17"/>
  <c r="AE407" i="17"/>
  <c r="AE312" i="17"/>
  <c r="AE136" i="17"/>
  <c r="AE213" i="17"/>
  <c r="AE85" i="17"/>
  <c r="AE322" i="17"/>
  <c r="AE132" i="17"/>
  <c r="AE403" i="17"/>
  <c r="AE180" i="17"/>
  <c r="AE141" i="17"/>
  <c r="AE204" i="17"/>
  <c r="AE338" i="17"/>
  <c r="AE173" i="17"/>
  <c r="AE41" i="17"/>
  <c r="AE217" i="17"/>
  <c r="AE49" i="17"/>
  <c r="AE101" i="17"/>
  <c r="AE106" i="17"/>
  <c r="AF399" i="17"/>
  <c r="AF258" i="17"/>
  <c r="AF543" i="17"/>
  <c r="AF213" i="17"/>
  <c r="AF162" i="17"/>
  <c r="AF527" i="17"/>
  <c r="AF447" i="17"/>
  <c r="AF261" i="17"/>
  <c r="AF210" i="17"/>
  <c r="AF529" i="17"/>
  <c r="AF513" i="17"/>
  <c r="AF497" i="17"/>
  <c r="AF408" i="17"/>
  <c r="AF183" i="17"/>
  <c r="AF482" i="17"/>
  <c r="AF393" i="17"/>
  <c r="AF392" i="17"/>
  <c r="AF167" i="17"/>
  <c r="AF506" i="17"/>
  <c r="AF319" i="17"/>
  <c r="AF229" i="17"/>
  <c r="AF178" i="17"/>
  <c r="AF481" i="17"/>
  <c r="AF465" i="17"/>
  <c r="AF215" i="17"/>
  <c r="AF545" i="17"/>
  <c r="AF420" i="17"/>
  <c r="AF360" i="17"/>
  <c r="AF276" i="17"/>
  <c r="AF391" i="17"/>
  <c r="AF205" i="17"/>
  <c r="AF154" i="17"/>
  <c r="AF452" i="17"/>
  <c r="AF400" i="17"/>
  <c r="AF582" i="17"/>
  <c r="AF503" i="17"/>
  <c r="AF414" i="17"/>
  <c r="AF125" i="17"/>
  <c r="AF596" i="17"/>
  <c r="AF530" i="17"/>
  <c r="AF384" i="17"/>
  <c r="AF159" i="17"/>
  <c r="AF589" i="17"/>
  <c r="AF435" i="17"/>
  <c r="AF346" i="17"/>
  <c r="AF121" i="17"/>
  <c r="AF580" i="17"/>
  <c r="AF501" i="17"/>
  <c r="AF412" i="17"/>
  <c r="AF123" i="17"/>
  <c r="AF156" i="17"/>
  <c r="AF565" i="17"/>
  <c r="AF379" i="17"/>
  <c r="AF289" i="17"/>
  <c r="AF238" i="17"/>
  <c r="AF504" i="17"/>
  <c r="AF317" i="17"/>
  <c r="AF227" i="17"/>
  <c r="AF176" i="17"/>
  <c r="AF562" i="17"/>
  <c r="AF419" i="17"/>
  <c r="AF330" i="17"/>
  <c r="AF310" i="17"/>
  <c r="AF564" i="17"/>
  <c r="AF421" i="17"/>
  <c r="AF332" i="17"/>
  <c r="AF312" i="17"/>
  <c r="AF140" i="17"/>
  <c r="AF514" i="17"/>
  <c r="AF301" i="17"/>
  <c r="AF250" i="17"/>
  <c r="AF516" i="17"/>
  <c r="AF613" i="17"/>
  <c r="AF434" i="17"/>
  <c r="AF318" i="17"/>
  <c r="AF298" i="17"/>
  <c r="AF552" i="17"/>
  <c r="AF441" i="17"/>
  <c r="AF352" i="17"/>
  <c r="AF268" i="17"/>
  <c r="AF557" i="17"/>
  <c r="AF371" i="17"/>
  <c r="AF153" i="17"/>
  <c r="AF102" i="17"/>
  <c r="AF496" i="17"/>
  <c r="AF380" i="17"/>
  <c r="AF155" i="17"/>
  <c r="AF104" i="17"/>
  <c r="AF523" i="17"/>
  <c r="AF443" i="17"/>
  <c r="AF257" i="17"/>
  <c r="AF206" i="17"/>
  <c r="AF525" i="17"/>
  <c r="AF509" i="17"/>
  <c r="AF356" i="17"/>
  <c r="AF272" i="17"/>
  <c r="AF252" i="17"/>
  <c r="AF540" i="17"/>
  <c r="AF355" i="17"/>
  <c r="AF137" i="17"/>
  <c r="AF608" i="17"/>
  <c r="AF542" i="17"/>
  <c r="AF357" i="17"/>
  <c r="AF139" i="17"/>
  <c r="AF172" i="17"/>
  <c r="AF519" i="17"/>
  <c r="AF395" i="17"/>
  <c r="AF305" i="17"/>
  <c r="AF254" i="17"/>
  <c r="AF551" i="17"/>
  <c r="AF429" i="17"/>
  <c r="AF340" i="17"/>
  <c r="AF115" i="17"/>
  <c r="AF148" i="17"/>
  <c r="AF19" i="17"/>
  <c r="AE521" i="17"/>
  <c r="AE368" i="17"/>
  <c r="AE246" i="17"/>
  <c r="AE227" i="17"/>
  <c r="AE273" i="17"/>
  <c r="AF61" i="17"/>
  <c r="AE506" i="17"/>
  <c r="AF71" i="17"/>
  <c r="AE541" i="17"/>
  <c r="AE356" i="17"/>
  <c r="AE234" i="17"/>
  <c r="AE151" i="17"/>
  <c r="AF105" i="17"/>
  <c r="AE511" i="17"/>
  <c r="AE537" i="17"/>
  <c r="AF44" i="17"/>
  <c r="AF90" i="17"/>
  <c r="AF43" i="17"/>
  <c r="AE473" i="17"/>
  <c r="AE349" i="17"/>
  <c r="AE190" i="17"/>
  <c r="AE123" i="17"/>
  <c r="AE193" i="17"/>
  <c r="AF52" i="17"/>
  <c r="AE577" i="17"/>
  <c r="AF549" i="17"/>
  <c r="AF363" i="17"/>
  <c r="AF145" i="17"/>
  <c r="AF94" i="17"/>
  <c r="AF488" i="17"/>
  <c r="AF372" i="17"/>
  <c r="AF288" i="17"/>
  <c r="AF116" i="17"/>
  <c r="AE562" i="17"/>
  <c r="AE400" i="17"/>
  <c r="AE214" i="17"/>
  <c r="AE131" i="17"/>
  <c r="AE209" i="17"/>
  <c r="AF28" i="17"/>
  <c r="AE572" i="17"/>
  <c r="AE435" i="17"/>
  <c r="AF39" i="17"/>
  <c r="AE445" i="17"/>
  <c r="AE324" i="17"/>
  <c r="AE170" i="17"/>
  <c r="AE119" i="17"/>
  <c r="AE24" i="17"/>
  <c r="AE598" i="17"/>
  <c r="AE416" i="17"/>
  <c r="AF76" i="17"/>
  <c r="AF74" i="17"/>
  <c r="AE559" i="17"/>
  <c r="AE480" i="17"/>
  <c r="AE381" i="17"/>
  <c r="AE238" i="17"/>
  <c r="AE283" i="17"/>
  <c r="AE19" i="17"/>
  <c r="AE161" i="17"/>
  <c r="AF20" i="17"/>
  <c r="AE607" i="17"/>
  <c r="AE548" i="17"/>
  <c r="AE427" i="17"/>
  <c r="AF95" i="17"/>
  <c r="AE533" i="17"/>
  <c r="AE380" i="17"/>
  <c r="AE194" i="17"/>
  <c r="AE175" i="17"/>
  <c r="AE80" i="17"/>
  <c r="AE603" i="17"/>
  <c r="AE510" i="17"/>
  <c r="AE449" i="17"/>
  <c r="AE392" i="17"/>
  <c r="AE20" i="17"/>
  <c r="AF66" i="17"/>
  <c r="AE198" i="17"/>
  <c r="AE179" i="17"/>
  <c r="AF77" i="17"/>
  <c r="AE419" i="17"/>
  <c r="AF87" i="17"/>
  <c r="AE534" i="17"/>
  <c r="AE468" i="17"/>
  <c r="AE186" i="17"/>
  <c r="AE167" i="17"/>
  <c r="AF57" i="17"/>
  <c r="AF91" i="17"/>
  <c r="AE570" i="17"/>
  <c r="AE235" i="17"/>
  <c r="AE532" i="17"/>
  <c r="AF46" i="17"/>
  <c r="AE498" i="17"/>
  <c r="AE601" i="17"/>
  <c r="AE508" i="17"/>
  <c r="AE385" i="17"/>
  <c r="AE130" i="17"/>
  <c r="AE47" i="17"/>
  <c r="AF33" i="17"/>
  <c r="AE503" i="17"/>
  <c r="AE522" i="17"/>
  <c r="AE397" i="17"/>
  <c r="AE52" i="17"/>
  <c r="AF100" i="17"/>
  <c r="AE294" i="17"/>
  <c r="AE211" i="17"/>
  <c r="AE177" i="17"/>
  <c r="AE588" i="17"/>
  <c r="AF54" i="17"/>
  <c r="AE461" i="17"/>
  <c r="AE340" i="17"/>
  <c r="AE282" i="17"/>
  <c r="AE199" i="17"/>
  <c r="AE104" i="17"/>
  <c r="AF89" i="17"/>
  <c r="AE568" i="17"/>
  <c r="AE431" i="17"/>
  <c r="AE465" i="17"/>
  <c r="AE440" i="17"/>
  <c r="AE139" i="17"/>
  <c r="AE76" i="17"/>
  <c r="AF78" i="17"/>
  <c r="AE604" i="17"/>
  <c r="AE421" i="17"/>
  <c r="AE337" i="17"/>
  <c r="AE287" i="17"/>
  <c r="AE64" i="17"/>
  <c r="AE592" i="17"/>
  <c r="AE382" i="17"/>
  <c r="AE196" i="17"/>
  <c r="AE335" i="17"/>
  <c r="AE285" i="17"/>
  <c r="AE46" i="17"/>
  <c r="AE430" i="17"/>
  <c r="AE124" i="17"/>
  <c r="AE374" i="17"/>
  <c r="AE315" i="17"/>
  <c r="AE346" i="17"/>
  <c r="AE216" i="17"/>
  <c r="AE261" i="17"/>
  <c r="AE133" i="17"/>
  <c r="AE33" i="17"/>
  <c r="AE264" i="17"/>
  <c r="AE305" i="17"/>
  <c r="AE398" i="17"/>
  <c r="AE212" i="17"/>
  <c r="AE109" i="17"/>
  <c r="AE571" i="17"/>
  <c r="AE492" i="17"/>
  <c r="AE369" i="17"/>
  <c r="AE114" i="17"/>
  <c r="AE95" i="17"/>
  <c r="AF80" i="17"/>
  <c r="AE606" i="17"/>
  <c r="AE487" i="17"/>
  <c r="AE350" i="17"/>
  <c r="AE228" i="17"/>
  <c r="AE272" i="17"/>
  <c r="AE253" i="17"/>
  <c r="AE78" i="17"/>
  <c r="AE462" i="17"/>
  <c r="AE86" i="17"/>
  <c r="AE454" i="17"/>
  <c r="AE411" i="17"/>
  <c r="AE252" i="17"/>
  <c r="AE391" i="17"/>
  <c r="AE248" i="17"/>
  <c r="AE309" i="17"/>
  <c r="AE181" i="17"/>
  <c r="AE65" i="17"/>
  <c r="AE296" i="17"/>
  <c r="AE233" i="17"/>
  <c r="AE339" i="17"/>
  <c r="AE383" i="17"/>
  <c r="AE73" i="17"/>
  <c r="AE172" i="17"/>
  <c r="AE160" i="17"/>
  <c r="AE77" i="17"/>
  <c r="AE70" i="17"/>
  <c r="AE300" i="17"/>
  <c r="AE26" i="17"/>
  <c r="AE81" i="17"/>
  <c r="AE121" i="17"/>
  <c r="AF628" i="17"/>
  <c r="C48" i="16" l="1"/>
  <c r="D48" i="16" s="1"/>
  <c r="A376" i="2"/>
  <c r="B247" i="2"/>
  <c r="B72" i="1"/>
  <c r="AE628" i="17"/>
  <c r="D407" i="2" l="1"/>
  <c r="B407" i="2"/>
  <c r="A407" i="2"/>
  <c r="C3" i="8"/>
  <c r="D3" i="8"/>
  <c r="D159" i="8" s="1"/>
  <c r="D158" i="8" s="1"/>
  <c r="D157" i="8" s="1"/>
  <c r="D156" i="8" s="1"/>
  <c r="D155" i="8" s="1"/>
  <c r="D154" i="8" s="1"/>
  <c r="D153" i="8" s="1"/>
  <c r="D152" i="8" s="1"/>
  <c r="D151" i="8" s="1"/>
  <c r="D150" i="8" s="1"/>
  <c r="D149" i="8" s="1"/>
  <c r="D148" i="8" s="1"/>
  <c r="D147" i="8" s="1"/>
  <c r="D146" i="8" s="1"/>
  <c r="D145" i="8" s="1"/>
  <c r="D144" i="8" s="1"/>
  <c r="D143" i="8" s="1"/>
  <c r="D142" i="8" s="1"/>
  <c r="D141" i="8" s="1"/>
  <c r="D140" i="8" s="1"/>
  <c r="D139" i="8" s="1"/>
  <c r="D138" i="8" s="1"/>
  <c r="D137" i="8" s="1"/>
  <c r="D136" i="8" s="1"/>
  <c r="D135" i="8" s="1"/>
  <c r="D134" i="8" s="1"/>
  <c r="D133" i="8" s="1"/>
  <c r="D132" i="8" s="1"/>
  <c r="D131" i="8" s="1"/>
  <c r="D130" i="8" s="1"/>
  <c r="D129" i="8" s="1"/>
  <c r="D128" i="8" s="1"/>
  <c r="D127" i="8" s="1"/>
  <c r="D126" i="8" s="1"/>
  <c r="D125" i="8" s="1"/>
  <c r="D124" i="8" s="1"/>
  <c r="D123" i="8" s="1"/>
  <c r="D122" i="8" s="1"/>
  <c r="D121" i="8" s="1"/>
  <c r="D120" i="8" s="1"/>
  <c r="D119" i="8" s="1"/>
  <c r="D118" i="8" s="1"/>
  <c r="D117" i="8" s="1"/>
  <c r="D116" i="8" s="1"/>
  <c r="D115" i="8" s="1"/>
  <c r="D114" i="8" s="1"/>
  <c r="D113" i="8" s="1"/>
  <c r="D112" i="8" s="1"/>
  <c r="D111" i="8" s="1"/>
  <c r="D110" i="8" s="1"/>
  <c r="D109" i="8" s="1"/>
  <c r="D108" i="8" s="1"/>
  <c r="D107" i="8" s="1"/>
  <c r="D106" i="8" s="1"/>
  <c r="D105" i="8" s="1"/>
  <c r="D104" i="8" s="1"/>
  <c r="D103" i="8" s="1"/>
  <c r="D102" i="8" s="1"/>
  <c r="D101" i="8" s="1"/>
  <c r="D100" i="8" s="1"/>
  <c r="D99" i="8" s="1"/>
  <c r="D98" i="8" s="1"/>
  <c r="D97" i="8" s="1"/>
  <c r="D96" i="8" s="1"/>
  <c r="D95" i="8" s="1"/>
  <c r="D94" i="8" s="1"/>
  <c r="D93" i="8" s="1"/>
  <c r="D92" i="8" s="1"/>
  <c r="D91" i="8" s="1"/>
  <c r="D90" i="8" s="1"/>
  <c r="D89" i="8" s="1"/>
  <c r="D88" i="8" s="1"/>
  <c r="D87" i="8" s="1"/>
  <c r="D86" i="8" s="1"/>
  <c r="D85" i="8" s="1"/>
  <c r="D84" i="8" s="1"/>
  <c r="D83" i="8" s="1"/>
  <c r="D82" i="8" s="1"/>
  <c r="D81" i="8" s="1"/>
  <c r="D80" i="8" s="1"/>
  <c r="D79" i="8" s="1"/>
  <c r="D78" i="8" s="1"/>
  <c r="D77" i="8" s="1"/>
  <c r="D76" i="8" s="1"/>
  <c r="D75" i="8" s="1"/>
  <c r="D74" i="8" s="1"/>
  <c r="D73" i="8" s="1"/>
  <c r="D72" i="8" s="1"/>
  <c r="D71" i="8" s="1"/>
  <c r="D70" i="8" s="1"/>
  <c r="D69" i="8" s="1"/>
  <c r="D68" i="8" s="1"/>
  <c r="D67" i="8" s="1"/>
  <c r="D66" i="8" s="1"/>
  <c r="D65" i="8" s="1"/>
  <c r="D64" i="8" s="1"/>
  <c r="D63" i="8" s="1"/>
  <c r="D62" i="8" s="1"/>
  <c r="D61" i="8" s="1"/>
  <c r="D60" i="8" s="1"/>
  <c r="D59" i="8" s="1"/>
  <c r="D58" i="8" s="1"/>
  <c r="D57" i="8" s="1"/>
  <c r="D56" i="8" s="1"/>
  <c r="D55" i="8" s="1"/>
  <c r="D54" i="8" s="1"/>
  <c r="D53" i="8" s="1"/>
  <c r="D52" i="8" s="1"/>
  <c r="D51" i="8" s="1"/>
  <c r="D50" i="8" s="1"/>
  <c r="D49" i="8" s="1"/>
  <c r="D48" i="8" s="1"/>
  <c r="D47" i="8" s="1"/>
  <c r="D46" i="8" s="1"/>
  <c r="D45" i="8" s="1"/>
  <c r="D44" i="8" s="1"/>
  <c r="D43" i="8" s="1"/>
  <c r="D42" i="8" s="1"/>
  <c r="D41" i="8" s="1"/>
  <c r="D40" i="8" s="1"/>
  <c r="D39" i="8" s="1"/>
  <c r="D38" i="8" s="1"/>
  <c r="D37" i="8" s="1"/>
  <c r="D36" i="8" s="1"/>
  <c r="D35" i="8" s="1"/>
  <c r="D34" i="8" s="1"/>
  <c r="D33" i="8" s="1"/>
  <c r="D32" i="8" s="1"/>
  <c r="D31" i="8" s="1"/>
  <c r="D30" i="8" s="1"/>
  <c r="D29" i="8" s="1"/>
  <c r="D28" i="8" s="1"/>
  <c r="D27" i="8" s="1"/>
  <c r="D26" i="8" s="1"/>
  <c r="D25" i="8" s="1"/>
  <c r="D24" i="8" s="1"/>
  <c r="D23" i="8" s="1"/>
  <c r="D22" i="8" s="1"/>
  <c r="D21" i="8" s="1"/>
  <c r="D20" i="8" s="1"/>
  <c r="D19" i="8" s="1"/>
  <c r="D18" i="8" s="1"/>
  <c r="D17" i="8" s="1"/>
  <c r="D16" i="8" s="1"/>
  <c r="D15" i="8" s="1"/>
  <c r="D14" i="8" s="1"/>
  <c r="D13" i="8" s="1"/>
  <c r="D12" i="8" s="1"/>
  <c r="D11" i="8" s="1"/>
  <c r="D10" i="8" s="1"/>
  <c r="D9" i="8" s="1"/>
  <c r="D8" i="8" s="1"/>
  <c r="D7" i="8" s="1"/>
  <c r="D6" i="8" s="1"/>
  <c r="D4" i="8" s="1"/>
  <c r="C159" i="8" l="1"/>
  <c r="C158" i="8" s="1"/>
  <c r="C157" i="8" s="1"/>
  <c r="C156" i="8" s="1"/>
  <c r="C155" i="8" s="1"/>
  <c r="C154" i="8" s="1"/>
  <c r="C153" i="8" s="1"/>
  <c r="C152" i="8" s="1"/>
  <c r="C151" i="8" s="1"/>
  <c r="C150" i="8" s="1"/>
  <c r="C149" i="8" s="1"/>
  <c r="C148" i="8" s="1"/>
  <c r="C147" i="8" s="1"/>
  <c r="C146" i="8" s="1"/>
  <c r="C145" i="8" s="1"/>
  <c r="C144" i="8" s="1"/>
  <c r="C143" i="8" s="1"/>
  <c r="C142" i="8" s="1"/>
  <c r="C141" i="8" s="1"/>
  <c r="C140" i="8" s="1"/>
  <c r="C139" i="8" s="1"/>
  <c r="C138" i="8" s="1"/>
  <c r="C137" i="8" s="1"/>
  <c r="C136" i="8" s="1"/>
  <c r="C135" i="8" s="1"/>
  <c r="C134" i="8" s="1"/>
  <c r="C133" i="8" s="1"/>
  <c r="C132" i="8" s="1"/>
  <c r="C131" i="8" s="1"/>
  <c r="C130" i="8" s="1"/>
  <c r="C129" i="8" s="1"/>
  <c r="C128" i="8" s="1"/>
  <c r="C127" i="8" s="1"/>
  <c r="C126" i="8" s="1"/>
  <c r="C125" i="8" s="1"/>
  <c r="C124" i="8" s="1"/>
  <c r="C123" i="8" s="1"/>
  <c r="C122" i="8" s="1"/>
  <c r="C121" i="8" s="1"/>
  <c r="C120" i="8" s="1"/>
  <c r="C119" i="8" s="1"/>
  <c r="C118" i="8" s="1"/>
  <c r="C117" i="8" s="1"/>
  <c r="C116" i="8" s="1"/>
  <c r="C115" i="8" s="1"/>
  <c r="C114" i="8" s="1"/>
  <c r="C113" i="8" s="1"/>
  <c r="C112" i="8" s="1"/>
  <c r="C111" i="8" s="1"/>
  <c r="C110" i="8" s="1"/>
  <c r="C109" i="8" s="1"/>
  <c r="C108" i="8" s="1"/>
  <c r="C107" i="8" s="1"/>
  <c r="C106" i="8" s="1"/>
  <c r="C105" i="8" s="1"/>
  <c r="C104" i="8" s="1"/>
  <c r="C103" i="8" s="1"/>
  <c r="C102" i="8" s="1"/>
  <c r="C101" i="8" s="1"/>
  <c r="C100" i="8" s="1"/>
  <c r="C99" i="8" s="1"/>
  <c r="C98" i="8" s="1"/>
  <c r="C97" i="8" s="1"/>
  <c r="C96" i="8" s="1"/>
  <c r="C95" i="8" s="1"/>
  <c r="C94" i="8" s="1"/>
  <c r="C93" i="8" s="1"/>
  <c r="C92" i="8" s="1"/>
  <c r="C91" i="8" s="1"/>
  <c r="C90" i="8" s="1"/>
  <c r="C89" i="8" s="1"/>
  <c r="C88" i="8" s="1"/>
  <c r="C87" i="8" s="1"/>
  <c r="C86" i="8" s="1"/>
  <c r="C85" i="8" s="1"/>
  <c r="C84" i="8" s="1"/>
  <c r="C83" i="8" s="1"/>
  <c r="C82" i="8" s="1"/>
  <c r="C81" i="8" s="1"/>
  <c r="C80" i="8" s="1"/>
  <c r="C79" i="8" s="1"/>
  <c r="C78" i="8" s="1"/>
  <c r="C77" i="8" s="1"/>
  <c r="C76" i="8" s="1"/>
  <c r="C75" i="8" s="1"/>
  <c r="C74" i="8" s="1"/>
  <c r="C73" i="8" s="1"/>
  <c r="C72" i="8" s="1"/>
  <c r="C71" i="8" s="1"/>
  <c r="C70" i="8" s="1"/>
  <c r="C69" i="8" s="1"/>
  <c r="C68" i="8" s="1"/>
  <c r="C67" i="8" s="1"/>
  <c r="C66" i="8" s="1"/>
  <c r="C65" i="8" s="1"/>
  <c r="C64" i="8" s="1"/>
  <c r="C63" i="8" s="1"/>
  <c r="C62" i="8" s="1"/>
  <c r="C61" i="8" s="1"/>
  <c r="C60" i="8" s="1"/>
  <c r="C59" i="8" s="1"/>
  <c r="C58" i="8" s="1"/>
  <c r="C57" i="8" s="1"/>
  <c r="C56" i="8" s="1"/>
  <c r="C55" i="8" s="1"/>
  <c r="C54" i="8" s="1"/>
  <c r="C53" i="8" s="1"/>
  <c r="C52" i="8" s="1"/>
  <c r="C51" i="8" s="1"/>
  <c r="C50" i="8" s="1"/>
  <c r="C49" i="8" s="1"/>
  <c r="C48" i="8" s="1"/>
  <c r="C47" i="8" s="1"/>
  <c r="C46" i="8" s="1"/>
  <c r="C45" i="8" s="1"/>
  <c r="C44" i="8" s="1"/>
  <c r="C43" i="8" s="1"/>
  <c r="C42" i="8" s="1"/>
  <c r="C41" i="8" s="1"/>
  <c r="C40" i="8" s="1"/>
  <c r="C39" i="8" s="1"/>
  <c r="C38" i="8" s="1"/>
  <c r="C37" i="8" s="1"/>
  <c r="C36" i="8" s="1"/>
  <c r="C35" i="8" s="1"/>
  <c r="C34" i="8" s="1"/>
  <c r="C33" i="8" s="1"/>
  <c r="C32" i="8" s="1"/>
  <c r="C31" i="8" s="1"/>
  <c r="C30" i="8" s="1"/>
  <c r="C29" i="8" s="1"/>
  <c r="C28" i="8" s="1"/>
  <c r="C27" i="8" s="1"/>
  <c r="C26" i="8" s="1"/>
  <c r="C25" i="8" s="1"/>
  <c r="C24" i="8" s="1"/>
  <c r="C23" i="8" s="1"/>
  <c r="C22" i="8" s="1"/>
  <c r="C21" i="8" s="1"/>
  <c r="C20" i="8" s="1"/>
  <c r="C19" i="8" s="1"/>
  <c r="C18" i="8" s="1"/>
  <c r="C17" i="8" s="1"/>
  <c r="C16" i="8" s="1"/>
  <c r="C15" i="8" s="1"/>
  <c r="C14" i="8" s="1"/>
  <c r="C13" i="8" s="1"/>
  <c r="C12" i="8" s="1"/>
  <c r="C11" i="8" s="1"/>
  <c r="C10" i="8" s="1"/>
  <c r="C9" i="8" s="1"/>
  <c r="C8" i="8" s="1"/>
  <c r="C7" i="8" s="1"/>
  <c r="C6" i="8" s="1"/>
  <c r="C4" i="8" s="1"/>
  <c r="S33" i="8" s="1"/>
  <c r="C72" i="1" s="1"/>
  <c r="D72" i="1" s="1"/>
  <c r="S34" i="8"/>
  <c r="C73" i="1" s="1"/>
  <c r="D73" i="1" s="1"/>
  <c r="R34" i="8"/>
  <c r="B249" i="2" l="1"/>
  <c r="B409" i="2" s="1"/>
  <c r="C40" i="16"/>
  <c r="D40" i="16" s="1"/>
  <c r="R33" i="8"/>
  <c r="B248" i="2" l="1"/>
  <c r="B408" i="2" s="1"/>
  <c r="K159" i="8"/>
  <c r="K158" i="8" s="1"/>
  <c r="K157" i="8" s="1"/>
  <c r="K156" i="8" s="1"/>
  <c r="K155" i="8" s="1"/>
  <c r="K154" i="8" s="1"/>
  <c r="K153" i="8" s="1"/>
  <c r="K152" i="8" s="1"/>
  <c r="K151" i="8" s="1"/>
  <c r="K150" i="8" s="1"/>
  <c r="K149" i="8" s="1"/>
  <c r="K148" i="8" s="1"/>
  <c r="K147" i="8" s="1"/>
  <c r="K146" i="8" s="1"/>
  <c r="K145" i="8" s="1"/>
  <c r="K144" i="8" s="1"/>
  <c r="K143" i="8" s="1"/>
  <c r="K142" i="8" s="1"/>
  <c r="K141" i="8" s="1"/>
  <c r="K140" i="8" s="1"/>
  <c r="K139" i="8" s="1"/>
  <c r="K138" i="8" s="1"/>
  <c r="K137" i="8" s="1"/>
  <c r="K136" i="8" s="1"/>
  <c r="K135" i="8" s="1"/>
  <c r="K134" i="8" s="1"/>
  <c r="K133" i="8" s="1"/>
  <c r="K132" i="8" s="1"/>
  <c r="K131" i="8" s="1"/>
  <c r="K130" i="8" s="1"/>
  <c r="K129" i="8" s="1"/>
  <c r="K128" i="8" s="1"/>
  <c r="K127" i="8" s="1"/>
  <c r="K126" i="8" s="1"/>
  <c r="K125" i="8" s="1"/>
  <c r="K124" i="8" s="1"/>
  <c r="K123" i="8" s="1"/>
  <c r="K122" i="8" s="1"/>
  <c r="K121" i="8" s="1"/>
  <c r="K120" i="8" s="1"/>
  <c r="K119" i="8" s="1"/>
  <c r="K118" i="8" s="1"/>
  <c r="K117" i="8" s="1"/>
  <c r="K116" i="8" s="1"/>
  <c r="K115" i="8" s="1"/>
  <c r="K114" i="8" s="1"/>
  <c r="K113" i="8" s="1"/>
  <c r="K112" i="8" s="1"/>
  <c r="K111" i="8" s="1"/>
  <c r="K110" i="8" s="1"/>
  <c r="K109" i="8" s="1"/>
  <c r="K108" i="8" s="1"/>
  <c r="K107" i="8" s="1"/>
  <c r="K106" i="8" s="1"/>
  <c r="K105" i="8" s="1"/>
  <c r="K104" i="8" s="1"/>
  <c r="K103" i="8" s="1"/>
  <c r="K102" i="8" s="1"/>
  <c r="K101" i="8" s="1"/>
  <c r="K100" i="8" s="1"/>
  <c r="K99" i="8" s="1"/>
  <c r="K98" i="8" s="1"/>
  <c r="K97" i="8" s="1"/>
  <c r="K96" i="8" s="1"/>
  <c r="K95" i="8" s="1"/>
  <c r="K94" i="8" s="1"/>
  <c r="K93" i="8" s="1"/>
  <c r="K92" i="8" s="1"/>
  <c r="K91" i="8" s="1"/>
  <c r="K90" i="8" s="1"/>
  <c r="K89" i="8" s="1"/>
  <c r="K88" i="8" s="1"/>
  <c r="K87" i="8" s="1"/>
  <c r="K86" i="8" s="1"/>
  <c r="K85" i="8" s="1"/>
  <c r="K84" i="8" s="1"/>
  <c r="K83" i="8" s="1"/>
  <c r="K82" i="8" s="1"/>
  <c r="K81" i="8" s="1"/>
  <c r="K80" i="8" s="1"/>
  <c r="K79" i="8" s="1"/>
  <c r="K78" i="8" s="1"/>
  <c r="K77" i="8" s="1"/>
  <c r="K76" i="8" s="1"/>
  <c r="K75" i="8" s="1"/>
  <c r="K74" i="8" s="1"/>
  <c r="K73" i="8" s="1"/>
  <c r="K72" i="8" s="1"/>
  <c r="K71" i="8" s="1"/>
  <c r="K70" i="8" s="1"/>
  <c r="K69" i="8" s="1"/>
  <c r="K68" i="8" s="1"/>
  <c r="K67" i="8" s="1"/>
  <c r="K66" i="8" s="1"/>
  <c r="K65" i="8" s="1"/>
  <c r="K64" i="8" s="1"/>
  <c r="K63" i="8" s="1"/>
  <c r="K62" i="8" s="1"/>
  <c r="K61" i="8" s="1"/>
  <c r="K60" i="8" s="1"/>
  <c r="K59" i="8" s="1"/>
  <c r="K58" i="8" s="1"/>
  <c r="K57" i="8" s="1"/>
  <c r="K56" i="8" s="1"/>
  <c r="K55" i="8" s="1"/>
  <c r="K54" i="8" s="1"/>
  <c r="K53" i="8" s="1"/>
  <c r="K52" i="8" s="1"/>
  <c r="K51" i="8" s="1"/>
  <c r="K50" i="8" s="1"/>
  <c r="K49" i="8" s="1"/>
  <c r="K48" i="8" s="1"/>
  <c r="K47" i="8" s="1"/>
  <c r="K46" i="8" s="1"/>
  <c r="K45" i="8" s="1"/>
  <c r="K44" i="8" s="1"/>
  <c r="K43" i="8" s="1"/>
  <c r="K42" i="8" s="1"/>
  <c r="K41" i="8" s="1"/>
  <c r="K40" i="8" s="1"/>
  <c r="K39" i="8" s="1"/>
  <c r="K38" i="8" s="1"/>
  <c r="K37" i="8" s="1"/>
  <c r="K36" i="8" s="1"/>
  <c r="K35" i="8" s="1"/>
  <c r="K34" i="8" s="1"/>
  <c r="K33" i="8" s="1"/>
  <c r="K32" i="8" s="1"/>
  <c r="K31" i="8" s="1"/>
  <c r="K30" i="8" s="1"/>
  <c r="K29" i="8" s="1"/>
  <c r="K28" i="8" s="1"/>
  <c r="K27" i="8" s="1"/>
  <c r="K26" i="8" s="1"/>
  <c r="K25" i="8" s="1"/>
  <c r="K24" i="8" s="1"/>
  <c r="K23" i="8" s="1"/>
  <c r="K22" i="8" s="1"/>
  <c r="K21" i="8" s="1"/>
  <c r="K20" i="8" s="1"/>
  <c r="K19" i="8" s="1"/>
  <c r="K18" i="8" s="1"/>
  <c r="K17" i="8" s="1"/>
  <c r="K16" i="8" s="1"/>
  <c r="K15" i="8" s="1"/>
  <c r="K14" i="8" s="1"/>
  <c r="K13" i="8" s="1"/>
  <c r="K12" i="8" s="1"/>
  <c r="K11" i="8" s="1"/>
  <c r="K10" i="8" s="1"/>
  <c r="K9" i="8" s="1"/>
  <c r="K8" i="8" s="1"/>
  <c r="K7" i="8" s="1"/>
  <c r="K6" i="8" s="1"/>
  <c r="K4" i="8" s="1"/>
  <c r="L159" i="8"/>
  <c r="L158" i="8" s="1"/>
  <c r="L157" i="8" s="1"/>
  <c r="L156" i="8" s="1"/>
  <c r="L155" i="8" s="1"/>
  <c r="L154" i="8" s="1"/>
  <c r="L153" i="8" s="1"/>
  <c r="L152" i="8" s="1"/>
  <c r="L151" i="8" s="1"/>
  <c r="L150" i="8" s="1"/>
  <c r="L149" i="8" s="1"/>
  <c r="L148" i="8" s="1"/>
  <c r="L147" i="8" s="1"/>
  <c r="L146" i="8" s="1"/>
  <c r="L145" i="8" s="1"/>
  <c r="L144" i="8" s="1"/>
  <c r="L143" i="8" s="1"/>
  <c r="L142" i="8" s="1"/>
  <c r="L141" i="8" s="1"/>
  <c r="L140" i="8" s="1"/>
  <c r="L139" i="8" s="1"/>
  <c r="L138" i="8" s="1"/>
  <c r="L137" i="8" s="1"/>
  <c r="L136" i="8" s="1"/>
  <c r="L135" i="8" s="1"/>
  <c r="L134" i="8" s="1"/>
  <c r="L133" i="8" s="1"/>
  <c r="L132" i="8" s="1"/>
  <c r="L131" i="8" s="1"/>
  <c r="L130" i="8" s="1"/>
  <c r="L129" i="8" s="1"/>
  <c r="L128" i="8" s="1"/>
  <c r="L127" i="8" s="1"/>
  <c r="L126" i="8" s="1"/>
  <c r="L125" i="8" s="1"/>
  <c r="L124" i="8" s="1"/>
  <c r="L123" i="8" s="1"/>
  <c r="L122" i="8" s="1"/>
  <c r="L121" i="8" s="1"/>
  <c r="L120" i="8" s="1"/>
  <c r="L119" i="8" s="1"/>
  <c r="L118" i="8" s="1"/>
  <c r="L117" i="8" s="1"/>
  <c r="L116" i="8" s="1"/>
  <c r="L115" i="8" s="1"/>
  <c r="L114" i="8" s="1"/>
  <c r="L113" i="8" s="1"/>
  <c r="L112" i="8" s="1"/>
  <c r="L111" i="8" s="1"/>
  <c r="L110" i="8" s="1"/>
  <c r="L109" i="8" s="1"/>
  <c r="L108" i="8" s="1"/>
  <c r="L107" i="8" s="1"/>
  <c r="L106" i="8" s="1"/>
  <c r="L105" i="8" s="1"/>
  <c r="L104" i="8" s="1"/>
  <c r="L103" i="8" s="1"/>
  <c r="L102" i="8" s="1"/>
  <c r="L101" i="8" s="1"/>
  <c r="L100" i="8" s="1"/>
  <c r="L99" i="8" s="1"/>
  <c r="L98" i="8" s="1"/>
  <c r="L97" i="8" s="1"/>
  <c r="L96" i="8" s="1"/>
  <c r="L95" i="8" s="1"/>
  <c r="L94" i="8" s="1"/>
  <c r="L93" i="8" s="1"/>
  <c r="L92" i="8" s="1"/>
  <c r="L91" i="8" s="1"/>
  <c r="L90" i="8" s="1"/>
  <c r="L89" i="8" s="1"/>
  <c r="L88" i="8" s="1"/>
  <c r="L87" i="8" s="1"/>
  <c r="L86" i="8" s="1"/>
  <c r="L85" i="8" s="1"/>
  <c r="L84" i="8" s="1"/>
  <c r="L83" i="8" s="1"/>
  <c r="L82" i="8" s="1"/>
  <c r="L81" i="8" s="1"/>
  <c r="L80" i="8" s="1"/>
  <c r="L79" i="8" s="1"/>
  <c r="L78" i="8" s="1"/>
  <c r="L77" i="8" s="1"/>
  <c r="L76" i="8" s="1"/>
  <c r="L75" i="8" s="1"/>
  <c r="L74" i="8" s="1"/>
  <c r="L73" i="8" s="1"/>
  <c r="L72" i="8" s="1"/>
  <c r="L71" i="8" s="1"/>
  <c r="L70" i="8" s="1"/>
  <c r="L69" i="8" s="1"/>
  <c r="L68" i="8" s="1"/>
  <c r="L67" i="8" s="1"/>
  <c r="L66" i="8" s="1"/>
  <c r="L65" i="8" s="1"/>
  <c r="L64" i="8" s="1"/>
  <c r="L63" i="8" s="1"/>
  <c r="L62" i="8" s="1"/>
  <c r="L61" i="8" s="1"/>
  <c r="L60" i="8" s="1"/>
  <c r="L59" i="8" s="1"/>
  <c r="L58" i="8" s="1"/>
  <c r="L57" i="8" s="1"/>
  <c r="L56" i="8" s="1"/>
  <c r="L55" i="8" s="1"/>
  <c r="L54" i="8" s="1"/>
  <c r="L53" i="8" s="1"/>
  <c r="L52" i="8" s="1"/>
  <c r="L51" i="8" s="1"/>
  <c r="L50" i="8" s="1"/>
  <c r="L49" i="8" s="1"/>
  <c r="L48" i="8" s="1"/>
  <c r="L47" i="8" s="1"/>
  <c r="L46" i="8" s="1"/>
  <c r="L45" i="8" s="1"/>
  <c r="L44" i="8" s="1"/>
  <c r="L43" i="8" s="1"/>
  <c r="L42" i="8" s="1"/>
  <c r="L41" i="8" s="1"/>
  <c r="L40" i="8" s="1"/>
  <c r="L39" i="8" s="1"/>
  <c r="L38" i="8" s="1"/>
  <c r="L37" i="8" s="1"/>
  <c r="L36" i="8" s="1"/>
  <c r="L35" i="8" s="1"/>
  <c r="L34" i="8" s="1"/>
  <c r="L33" i="8" s="1"/>
  <c r="L32" i="8" s="1"/>
  <c r="L31" i="8" s="1"/>
  <c r="L30" i="8" s="1"/>
  <c r="L29" i="8" s="1"/>
  <c r="L28" i="8" s="1"/>
  <c r="L27" i="8" s="1"/>
  <c r="L26" i="8" s="1"/>
  <c r="L25" i="8" s="1"/>
  <c r="L24" i="8" s="1"/>
  <c r="L23" i="8" s="1"/>
  <c r="L22" i="8" s="1"/>
  <c r="L21" i="8" s="1"/>
  <c r="L20" i="8" s="1"/>
  <c r="L19" i="8" s="1"/>
  <c r="L18" i="8" s="1"/>
  <c r="L17" i="8" s="1"/>
  <c r="L16" i="8" s="1"/>
  <c r="L15" i="8" s="1"/>
  <c r="L14" i="8" s="1"/>
  <c r="L13" i="8" s="1"/>
  <c r="L12" i="8" s="1"/>
  <c r="L11" i="8" s="1"/>
  <c r="L10" i="8" s="1"/>
  <c r="L9" i="8" s="1"/>
  <c r="L8" i="8" s="1"/>
  <c r="L7" i="8" s="1"/>
  <c r="L6" i="8" s="1"/>
  <c r="L4" i="8" s="1"/>
  <c r="R28" i="8" s="1"/>
  <c r="S28" i="8" s="1"/>
  <c r="C41" i="16"/>
  <c r="D41" i="16" s="1"/>
  <c r="C10" i="28" l="1"/>
  <c r="A408" i="2"/>
  <c r="B252" i="2"/>
  <c r="F72" i="1" s="1"/>
  <c r="B235" i="2"/>
  <c r="F71" i="1" s="1"/>
  <c r="R27" i="8"/>
  <c r="S27" i="8" s="1"/>
  <c r="K12" i="29" s="1"/>
  <c r="R23" i="8"/>
  <c r="S23" i="8" s="1"/>
  <c r="A409" i="2"/>
  <c r="B236" i="2"/>
  <c r="B253" i="2"/>
  <c r="C9" i="28" l="1"/>
  <c r="C4" i="17"/>
  <c r="K190" i="17" s="1"/>
  <c r="E64" i="1"/>
  <c r="C5" i="17"/>
  <c r="J594" i="17" s="1"/>
  <c r="T16" i="27"/>
  <c r="C11" i="28"/>
  <c r="T48" i="27"/>
  <c r="T37" i="27"/>
  <c r="T36" i="27"/>
  <c r="T80" i="27"/>
  <c r="T20" i="27"/>
  <c r="T95" i="27"/>
  <c r="T19" i="27"/>
  <c r="T40" i="27"/>
  <c r="T89" i="27"/>
  <c r="T25" i="27"/>
  <c r="T94" i="27"/>
  <c r="T44" i="27"/>
  <c r="T83" i="27"/>
  <c r="T35" i="27"/>
  <c r="T86" i="27"/>
  <c r="T34" i="27"/>
  <c r="T18" i="27"/>
  <c r="T24" i="27"/>
  <c r="T85" i="27"/>
  <c r="T49" i="27"/>
  <c r="T47" i="27"/>
  <c r="T46" i="27"/>
  <c r="T81" i="27"/>
  <c r="T43" i="27"/>
  <c r="T23" i="27"/>
  <c r="T26" i="27"/>
  <c r="T21" i="27"/>
  <c r="T41" i="27"/>
  <c r="T90" i="27"/>
  <c r="T31" i="27"/>
  <c r="T84" i="27"/>
  <c r="T32" i="27"/>
  <c r="T91" i="27"/>
  <c r="C7" i="17"/>
  <c r="F73" i="1"/>
  <c r="A629" i="17"/>
  <c r="A627" i="17"/>
  <c r="L403" i="17" l="1"/>
  <c r="K386" i="17"/>
  <c r="L173" i="17"/>
  <c r="K129" i="17"/>
  <c r="L265" i="17"/>
  <c r="K180" i="17"/>
  <c r="L538" i="17"/>
  <c r="L79" i="17"/>
  <c r="L484" i="17"/>
  <c r="L123" i="17"/>
  <c r="K272" i="17"/>
  <c r="K400" i="17"/>
  <c r="L122" i="17"/>
  <c r="L389" i="17"/>
  <c r="K470" i="17"/>
  <c r="V18" i="27"/>
  <c r="W18" i="27" s="1"/>
  <c r="Z18" i="27"/>
  <c r="V83" i="27"/>
  <c r="X83" i="27" s="1"/>
  <c r="Z83" i="27"/>
  <c r="V89" i="27"/>
  <c r="X89" i="27" s="1"/>
  <c r="Z89" i="27"/>
  <c r="V20" i="27"/>
  <c r="W20" i="27" s="1"/>
  <c r="Z20" i="27"/>
  <c r="V48" i="27"/>
  <c r="X48" i="27" s="1"/>
  <c r="Z48" i="27"/>
  <c r="V91" i="27"/>
  <c r="X91" i="27" s="1"/>
  <c r="Z91" i="27"/>
  <c r="V47" i="27"/>
  <c r="W47" i="27" s="1"/>
  <c r="Z47" i="27"/>
  <c r="V41" i="27"/>
  <c r="W41" i="27" s="1"/>
  <c r="Z41" i="27"/>
  <c r="V43" i="27"/>
  <c r="X43" i="27" s="1"/>
  <c r="Z43" i="27"/>
  <c r="V49" i="27"/>
  <c r="X49" i="27" s="1"/>
  <c r="Z49" i="27"/>
  <c r="V34" i="27"/>
  <c r="X34" i="27" s="1"/>
  <c r="Z34" i="27"/>
  <c r="V44" i="27"/>
  <c r="X44" i="27" s="1"/>
  <c r="Z44" i="27"/>
  <c r="V40" i="27"/>
  <c r="X40" i="27" s="1"/>
  <c r="Z40" i="27"/>
  <c r="V80" i="27"/>
  <c r="X80" i="27" s="1"/>
  <c r="Z80" i="27"/>
  <c r="V23" i="27"/>
  <c r="W23" i="27" s="1"/>
  <c r="Z23" i="27"/>
  <c r="V84" i="27"/>
  <c r="X84" i="27" s="1"/>
  <c r="Z84" i="27"/>
  <c r="V21" i="27"/>
  <c r="W21" i="27" s="1"/>
  <c r="Z21" i="27"/>
  <c r="V81" i="27"/>
  <c r="W81" i="27" s="1"/>
  <c r="Z81" i="27"/>
  <c r="V85" i="27"/>
  <c r="W85" i="27" s="1"/>
  <c r="Z85" i="27"/>
  <c r="V86" i="27"/>
  <c r="W86" i="27" s="1"/>
  <c r="Z86" i="27"/>
  <c r="V94" i="27"/>
  <c r="W94" i="27" s="1"/>
  <c r="Z94" i="27"/>
  <c r="V19" i="27"/>
  <c r="W19" i="27" s="1"/>
  <c r="Z19" i="27"/>
  <c r="V36" i="27"/>
  <c r="W36" i="27" s="1"/>
  <c r="Z36" i="27"/>
  <c r="V16" i="27"/>
  <c r="X16" i="27" s="1"/>
  <c r="Z16" i="27"/>
  <c r="V90" i="27"/>
  <c r="W90" i="27" s="1"/>
  <c r="Z90" i="27"/>
  <c r="V32" i="27"/>
  <c r="W32" i="27" s="1"/>
  <c r="Z32" i="27"/>
  <c r="V31" i="27"/>
  <c r="W31" i="27" s="1"/>
  <c r="Z31" i="27"/>
  <c r="V26" i="27"/>
  <c r="W26" i="27" s="1"/>
  <c r="Z26" i="27"/>
  <c r="V46" i="27"/>
  <c r="W46" i="27" s="1"/>
  <c r="Z46" i="27"/>
  <c r="V24" i="27"/>
  <c r="W24" i="27" s="1"/>
  <c r="Z24" i="27"/>
  <c r="V35" i="27"/>
  <c r="W35" i="27" s="1"/>
  <c r="Z35" i="27"/>
  <c r="V25" i="27"/>
  <c r="X25" i="27" s="1"/>
  <c r="Z25" i="27"/>
  <c r="V95" i="27"/>
  <c r="W95" i="27" s="1"/>
  <c r="Z95" i="27"/>
  <c r="V37" i="27"/>
  <c r="X37" i="27" s="1"/>
  <c r="Z37" i="27"/>
  <c r="L561" i="17"/>
  <c r="K257" i="17"/>
  <c r="L250" i="17"/>
  <c r="L80" i="17"/>
  <c r="L592" i="17"/>
  <c r="K481" i="17"/>
  <c r="K65" i="17"/>
  <c r="L567" i="17"/>
  <c r="K308" i="17"/>
  <c r="L301" i="17"/>
  <c r="K109" i="17"/>
  <c r="K514" i="17"/>
  <c r="L430" i="17"/>
  <c r="K221" i="17"/>
  <c r="L473" i="17"/>
  <c r="L236" i="17"/>
  <c r="L609" i="17"/>
  <c r="K606" i="17"/>
  <c r="L372" i="17"/>
  <c r="K116" i="17"/>
  <c r="K365" i="17"/>
  <c r="L314" i="17"/>
  <c r="K45" i="17"/>
  <c r="L16" i="17"/>
  <c r="K450" i="17"/>
  <c r="K564" i="17"/>
  <c r="L453" i="17"/>
  <c r="L331" i="17"/>
  <c r="K144" i="17"/>
  <c r="L294" i="17"/>
  <c r="L548" i="17"/>
  <c r="L463" i="17"/>
  <c r="L428" i="17"/>
  <c r="K425" i="17"/>
  <c r="K244" i="17"/>
  <c r="K193" i="17"/>
  <c r="L237" i="17"/>
  <c r="L186" i="17"/>
  <c r="L47" i="17"/>
  <c r="L410" i="17"/>
  <c r="K475" i="17"/>
  <c r="L325" i="17"/>
  <c r="L571" i="17"/>
  <c r="K320" i="17"/>
  <c r="K393" i="17"/>
  <c r="L36" i="17"/>
  <c r="K527" i="17"/>
  <c r="K545" i="17"/>
  <c r="L467" i="17"/>
  <c r="K592" i="17"/>
  <c r="K464" i="17"/>
  <c r="L340" i="17"/>
  <c r="K212" i="17"/>
  <c r="K289" i="17"/>
  <c r="K161" i="17"/>
  <c r="K333" i="17"/>
  <c r="L205" i="17"/>
  <c r="L282" i="17"/>
  <c r="L154" i="17"/>
  <c r="K77" i="17"/>
  <c r="L63" i="17"/>
  <c r="L48" i="17"/>
  <c r="K354" i="17"/>
  <c r="K482" i="17"/>
  <c r="K507" i="17"/>
  <c r="L560" i="17"/>
  <c r="L357" i="17"/>
  <c r="L485" i="17"/>
  <c r="K582" i="17"/>
  <c r="K576" i="17"/>
  <c r="L336" i="17"/>
  <c r="K285" i="17"/>
  <c r="K329" i="17"/>
  <c r="L166" i="17"/>
  <c r="K342" i="17"/>
  <c r="L345" i="17"/>
  <c r="K243" i="17"/>
  <c r="L541" i="17"/>
  <c r="L492" i="17"/>
  <c r="L339" i="17"/>
  <c r="K489" i="17"/>
  <c r="K336" i="17"/>
  <c r="K276" i="17"/>
  <c r="K148" i="17"/>
  <c r="K225" i="17"/>
  <c r="K397" i="17"/>
  <c r="L269" i="17"/>
  <c r="L141" i="17"/>
  <c r="L218" i="17"/>
  <c r="K13" i="17"/>
  <c r="L31" i="17"/>
  <c r="L95" i="17"/>
  <c r="K622" i="17"/>
  <c r="K418" i="17"/>
  <c r="K443" i="17"/>
  <c r="K522" i="17"/>
  <c r="K605" i="17"/>
  <c r="L421" i="17"/>
  <c r="L494" i="17"/>
  <c r="L459" i="17"/>
  <c r="K456" i="17"/>
  <c r="K208" i="17"/>
  <c r="K157" i="17"/>
  <c r="L201" i="17"/>
  <c r="L57" i="17"/>
  <c r="K495" i="17"/>
  <c r="L506" i="17"/>
  <c r="K412" i="17"/>
  <c r="L539" i="17"/>
  <c r="L460" i="17"/>
  <c r="L435" i="17"/>
  <c r="K409" i="17"/>
  <c r="K536" i="17"/>
  <c r="K457" i="17"/>
  <c r="K432" i="17"/>
  <c r="L390" i="17"/>
  <c r="L324" i="17"/>
  <c r="K260" i="17"/>
  <c r="K196" i="17"/>
  <c r="K132" i="17"/>
  <c r="K273" i="17"/>
  <c r="K209" i="17"/>
  <c r="K145" i="17"/>
  <c r="K381" i="17"/>
  <c r="K317" i="17"/>
  <c r="L253" i="17"/>
  <c r="L189" i="17"/>
  <c r="L125" i="17"/>
  <c r="L266" i="17"/>
  <c r="L202" i="17"/>
  <c r="L138" i="17"/>
  <c r="K29" i="17"/>
  <c r="K93" i="17"/>
  <c r="L39" i="17"/>
  <c r="L71" i="17"/>
  <c r="L103" i="17"/>
  <c r="L64" i="17"/>
  <c r="L392" i="17"/>
  <c r="K370" i="17"/>
  <c r="K434" i="17"/>
  <c r="K498" i="17"/>
  <c r="K459" i="17"/>
  <c r="L522" i="17"/>
  <c r="K538" i="17"/>
  <c r="L576" i="17"/>
  <c r="K411" i="17"/>
  <c r="L373" i="17"/>
  <c r="L437" i="17"/>
  <c r="L509" i="17"/>
  <c r="K525" i="17"/>
  <c r="L551" i="17"/>
  <c r="L395" i="17"/>
  <c r="L545" i="17"/>
  <c r="K392" i="17"/>
  <c r="K304" i="17"/>
  <c r="K176" i="17"/>
  <c r="K253" i="17"/>
  <c r="K125" i="17"/>
  <c r="L297" i="17"/>
  <c r="L153" i="17"/>
  <c r="L114" i="17"/>
  <c r="L89" i="17"/>
  <c r="K406" i="17"/>
  <c r="L573" i="17"/>
  <c r="L409" i="17"/>
  <c r="K551" i="17"/>
  <c r="L287" i="17"/>
  <c r="K135" i="17"/>
  <c r="K74" i="17"/>
  <c r="K577" i="17"/>
  <c r="K523" i="17"/>
  <c r="L499" i="17"/>
  <c r="L371" i="17"/>
  <c r="L574" i="17"/>
  <c r="L520" i="17"/>
  <c r="K496" i="17"/>
  <c r="K368" i="17"/>
  <c r="L356" i="17"/>
  <c r="K292" i="17"/>
  <c r="K228" i="17"/>
  <c r="K164" i="17"/>
  <c r="K305" i="17"/>
  <c r="K241" i="17"/>
  <c r="K177" i="17"/>
  <c r="K318" i="17"/>
  <c r="K349" i="17"/>
  <c r="L285" i="17"/>
  <c r="L221" i="17"/>
  <c r="L157" i="17"/>
  <c r="L298" i="17"/>
  <c r="L234" i="17"/>
  <c r="L170" i="17"/>
  <c r="K121" i="17"/>
  <c r="K61" i="17"/>
  <c r="L23" i="17"/>
  <c r="L55" i="17"/>
  <c r="L87" i="17"/>
  <c r="L32" i="17"/>
  <c r="L96" i="17"/>
  <c r="K338" i="17"/>
  <c r="K402" i="17"/>
  <c r="K466" i="17"/>
  <c r="K427" i="17"/>
  <c r="K491" i="17"/>
  <c r="L565" i="17"/>
  <c r="L544" i="17"/>
  <c r="K608" i="17"/>
  <c r="L341" i="17"/>
  <c r="L405" i="17"/>
  <c r="L469" i="17"/>
  <c r="L462" i="17"/>
  <c r="L601" i="17"/>
  <c r="L420" i="17"/>
  <c r="K598" i="17"/>
  <c r="K417" i="17"/>
  <c r="L368" i="17"/>
  <c r="K240" i="17"/>
  <c r="K112" i="17"/>
  <c r="K189" i="17"/>
  <c r="K361" i="17"/>
  <c r="L233" i="17"/>
  <c r="L230" i="17"/>
  <c r="L25" i="17"/>
  <c r="L100" i="17"/>
  <c r="K431" i="17"/>
  <c r="K612" i="17"/>
  <c r="L434" i="17"/>
  <c r="L524" i="17"/>
  <c r="L94" i="17"/>
  <c r="L50" i="17"/>
  <c r="K52" i="17"/>
  <c r="K294" i="17"/>
  <c r="K22" i="17"/>
  <c r="L128" i="17"/>
  <c r="L610" i="17"/>
  <c r="K492" i="17"/>
  <c r="L559" i="17"/>
  <c r="K183" i="17"/>
  <c r="L70" i="17"/>
  <c r="L260" i="17"/>
  <c r="K267" i="17"/>
  <c r="K524" i="17"/>
  <c r="K547" i="17"/>
  <c r="K143" i="17"/>
  <c r="K517" i="17"/>
  <c r="K331" i="17"/>
  <c r="K584" i="17"/>
  <c r="K108" i="17"/>
  <c r="K39" i="17"/>
  <c r="L115" i="17"/>
  <c r="K371" i="17"/>
  <c r="K122" i="17"/>
  <c r="L378" i="17"/>
  <c r="K599" i="17"/>
  <c r="L602" i="17"/>
  <c r="K102" i="17"/>
  <c r="K38" i="17"/>
  <c r="K27" i="17"/>
  <c r="L204" i="17"/>
  <c r="L127" i="17"/>
  <c r="L255" i="17"/>
  <c r="K383" i="17"/>
  <c r="K211" i="17"/>
  <c r="K134" i="17"/>
  <c r="K262" i="17"/>
  <c r="L394" i="17"/>
  <c r="K461" i="17"/>
  <c r="K413" i="17"/>
  <c r="L464" i="17"/>
  <c r="L612" i="17"/>
  <c r="K567" i="17"/>
  <c r="L529" i="17"/>
  <c r="K521" i="17"/>
  <c r="L474" i="17"/>
  <c r="L442" i="17"/>
  <c r="L513" i="17"/>
  <c r="L481" i="17"/>
  <c r="L449" i="17"/>
  <c r="L417" i="17"/>
  <c r="L385" i="17"/>
  <c r="L353" i="17"/>
  <c r="L321" i="17"/>
  <c r="K601" i="17"/>
  <c r="L588" i="17"/>
  <c r="L556" i="17"/>
  <c r="K556" i="17"/>
  <c r="L589" i="17"/>
  <c r="L534" i="17"/>
  <c r="K503" i="17"/>
  <c r="K471" i="17"/>
  <c r="K439" i="17"/>
  <c r="K510" i="17"/>
  <c r="K478" i="17"/>
  <c r="K446" i="17"/>
  <c r="K414" i="17"/>
  <c r="K382" i="17"/>
  <c r="K350" i="17"/>
  <c r="L404" i="17"/>
  <c r="L108" i="17"/>
  <c r="L76" i="17"/>
  <c r="L44" i="17"/>
  <c r="L109" i="17"/>
  <c r="L93" i="17"/>
  <c r="L77" i="17"/>
  <c r="L61" i="17"/>
  <c r="L45" i="17"/>
  <c r="L29" i="17"/>
  <c r="K105" i="17"/>
  <c r="K73" i="17"/>
  <c r="K41" i="17"/>
  <c r="K16" i="17"/>
  <c r="L126" i="17"/>
  <c r="L158" i="17"/>
  <c r="L190" i="17"/>
  <c r="L222" i="17"/>
  <c r="L254" i="17"/>
  <c r="L286" i="17"/>
  <c r="L113" i="17"/>
  <c r="L145" i="17"/>
  <c r="L177" i="17"/>
  <c r="K315" i="17"/>
  <c r="L299" i="17"/>
  <c r="L176" i="17"/>
  <c r="K508" i="17"/>
  <c r="K99" i="17"/>
  <c r="L311" i="17"/>
  <c r="L318" i="17"/>
  <c r="L527" i="17"/>
  <c r="K130" i="17"/>
  <c r="L232" i="17"/>
  <c r="K79" i="17"/>
  <c r="L338" i="17"/>
  <c r="K590" i="17"/>
  <c r="K44" i="17"/>
  <c r="L192" i="17"/>
  <c r="L243" i="17"/>
  <c r="K199" i="17"/>
  <c r="K250" i="17"/>
  <c r="K437" i="17"/>
  <c r="L440" i="17"/>
  <c r="L62" i="17"/>
  <c r="K70" i="17"/>
  <c r="K91" i="17"/>
  <c r="L140" i="17"/>
  <c r="L268" i="17"/>
  <c r="L191" i="17"/>
  <c r="K319" i="17"/>
  <c r="K147" i="17"/>
  <c r="K275" i="17"/>
  <c r="K198" i="17"/>
  <c r="L326" i="17"/>
  <c r="K436" i="17"/>
  <c r="K540" i="17"/>
  <c r="L439" i="17"/>
  <c r="L543" i="17"/>
  <c r="L599" i="17"/>
  <c r="K578" i="17"/>
  <c r="L563" i="17"/>
  <c r="L490" i="17"/>
  <c r="L458" i="17"/>
  <c r="L426" i="17"/>
  <c r="L497" i="17"/>
  <c r="L465" i="17"/>
  <c r="L433" i="17"/>
  <c r="L401" i="17"/>
  <c r="L369" i="17"/>
  <c r="L337" i="17"/>
  <c r="K407" i="17"/>
  <c r="K604" i="17"/>
  <c r="L572" i="17"/>
  <c r="K588" i="17"/>
  <c r="K534" i="17"/>
  <c r="L557" i="17"/>
  <c r="L518" i="17"/>
  <c r="K487" i="17"/>
  <c r="K455" i="17"/>
  <c r="K423" i="17"/>
  <c r="K494" i="17"/>
  <c r="K462" i="17"/>
  <c r="K430" i="17"/>
  <c r="K398" i="17"/>
  <c r="K366" i="17"/>
  <c r="K332" i="17"/>
  <c r="L388" i="17"/>
  <c r="L92" i="17"/>
  <c r="L60" i="17"/>
  <c r="L28" i="17"/>
  <c r="L101" i="17"/>
  <c r="L85" i="17"/>
  <c r="L69" i="17"/>
  <c r="L53" i="17"/>
  <c r="L37" i="17"/>
  <c r="L21" i="17"/>
  <c r="K89" i="17"/>
  <c r="K57" i="17"/>
  <c r="K25" i="17"/>
  <c r="K113" i="17"/>
  <c r="L142" i="17"/>
  <c r="L174" i="17"/>
  <c r="L206" i="17"/>
  <c r="L238" i="17"/>
  <c r="L270" i="17"/>
  <c r="L302" i="17"/>
  <c r="L129" i="17"/>
  <c r="L161" i="17"/>
  <c r="K306" i="17"/>
  <c r="L511" i="17"/>
  <c r="K139" i="17"/>
  <c r="L603" i="17"/>
  <c r="K239" i="17"/>
  <c r="K460" i="17"/>
  <c r="K103" i="17"/>
  <c r="L307" i="17"/>
  <c r="K314" i="17"/>
  <c r="L591" i="17"/>
  <c r="K54" i="17"/>
  <c r="L172" i="17"/>
  <c r="L223" i="17"/>
  <c r="K179" i="17"/>
  <c r="K230" i="17"/>
  <c r="K500" i="17"/>
  <c r="L503" i="17"/>
  <c r="K583" i="17"/>
  <c r="K537" i="17"/>
  <c r="L450" i="17"/>
  <c r="L489" i="17"/>
  <c r="L425" i="17"/>
  <c r="L361" i="17"/>
  <c r="K609" i="17"/>
  <c r="L564" i="17"/>
  <c r="K526" i="17"/>
  <c r="K511" i="17"/>
  <c r="K447" i="17"/>
  <c r="K486" i="17"/>
  <c r="K422" i="17"/>
  <c r="K358" i="17"/>
  <c r="L626" i="17"/>
  <c r="L52" i="17"/>
  <c r="L97" i="17"/>
  <c r="L65" i="17"/>
  <c r="L33" i="17"/>
  <c r="K81" i="17"/>
  <c r="K17" i="17"/>
  <c r="L150" i="17"/>
  <c r="L214" i="17"/>
  <c r="L278" i="17"/>
  <c r="L137" i="17"/>
  <c r="L193" i="17"/>
  <c r="L225" i="17"/>
  <c r="L257" i="17"/>
  <c r="L289" i="17"/>
  <c r="K321" i="17"/>
  <c r="K353" i="17"/>
  <c r="K385" i="17"/>
  <c r="K326" i="17"/>
  <c r="K149" i="17"/>
  <c r="K181" i="17"/>
  <c r="K213" i="17"/>
  <c r="K245" i="17"/>
  <c r="K277" i="17"/>
  <c r="K309" i="17"/>
  <c r="K136" i="17"/>
  <c r="K168" i="17"/>
  <c r="K200" i="17"/>
  <c r="K232" i="17"/>
  <c r="K264" i="17"/>
  <c r="K296" i="17"/>
  <c r="L328" i="17"/>
  <c r="L360" i="17"/>
  <c r="L398" i="17"/>
  <c r="K376" i="17"/>
  <c r="K440" i="17"/>
  <c r="K504" i="17"/>
  <c r="K465" i="17"/>
  <c r="L528" i="17"/>
  <c r="K544" i="17"/>
  <c r="L582" i="17"/>
  <c r="L315" i="17"/>
  <c r="L379" i="17"/>
  <c r="L443" i="17"/>
  <c r="L507" i="17"/>
  <c r="L468" i="17"/>
  <c r="K531" i="17"/>
  <c r="K550" i="17"/>
  <c r="K585" i="17"/>
  <c r="L587" i="17"/>
  <c r="K533" i="17"/>
  <c r="L502" i="17"/>
  <c r="L470" i="17"/>
  <c r="L438" i="17"/>
  <c r="L168" i="17"/>
  <c r="L227" i="17"/>
  <c r="L132" i="17"/>
  <c r="K420" i="17"/>
  <c r="L456" i="17"/>
  <c r="L280" i="17"/>
  <c r="L74" i="17"/>
  <c r="L256" i="17"/>
  <c r="K263" i="17"/>
  <c r="L585" i="17"/>
  <c r="L30" i="17"/>
  <c r="K59" i="17"/>
  <c r="L300" i="17"/>
  <c r="K351" i="17"/>
  <c r="K307" i="17"/>
  <c r="L358" i="17"/>
  <c r="L578" i="17"/>
  <c r="K581" i="17"/>
  <c r="K546" i="17"/>
  <c r="L482" i="17"/>
  <c r="L418" i="17"/>
  <c r="L457" i="17"/>
  <c r="L393" i="17"/>
  <c r="L329" i="17"/>
  <c r="K596" i="17"/>
  <c r="K572" i="17"/>
  <c r="L542" i="17"/>
  <c r="K479" i="17"/>
  <c r="K518" i="17"/>
  <c r="K454" i="17"/>
  <c r="K390" i="17"/>
  <c r="K316" i="17"/>
  <c r="L84" i="17"/>
  <c r="L20" i="17"/>
  <c r="L81" i="17"/>
  <c r="L49" i="17"/>
  <c r="L15" i="17"/>
  <c r="K49" i="17"/>
  <c r="L118" i="17"/>
  <c r="L182" i="17"/>
  <c r="L246" i="17"/>
  <c r="L310" i="17"/>
  <c r="L169" i="17"/>
  <c r="L209" i="17"/>
  <c r="L241" i="17"/>
  <c r="L273" i="17"/>
  <c r="L305" i="17"/>
  <c r="K337" i="17"/>
  <c r="K369" i="17"/>
  <c r="K401" i="17"/>
  <c r="K133" i="17"/>
  <c r="K165" i="17"/>
  <c r="K197" i="17"/>
  <c r="K229" i="17"/>
  <c r="K261" i="17"/>
  <c r="K293" i="17"/>
  <c r="K120" i="17"/>
  <c r="K152" i="17"/>
  <c r="K184" i="17"/>
  <c r="K216" i="17"/>
  <c r="K248" i="17"/>
  <c r="K280" i="17"/>
  <c r="K312" i="17"/>
  <c r="L344" i="17"/>
  <c r="L376" i="17"/>
  <c r="K344" i="17"/>
  <c r="K408" i="17"/>
  <c r="K472" i="17"/>
  <c r="K433" i="17"/>
  <c r="K497" i="17"/>
  <c r="L577" i="17"/>
  <c r="L550" i="17"/>
  <c r="K595" i="17"/>
  <c r="L347" i="17"/>
  <c r="L411" i="17"/>
  <c r="L475" i="17"/>
  <c r="L436" i="17"/>
  <c r="L500" i="17"/>
  <c r="L583" i="17"/>
  <c r="K553" i="17"/>
  <c r="L598" i="17"/>
  <c r="L555" i="17"/>
  <c r="L519" i="17"/>
  <c r="L486" i="17"/>
  <c r="L454" i="17"/>
  <c r="L422" i="17"/>
  <c r="L493" i="17"/>
  <c r="K593" i="17"/>
  <c r="K566" i="17"/>
  <c r="K539" i="17"/>
  <c r="L476" i="17"/>
  <c r="L515" i="17"/>
  <c r="L451" i="17"/>
  <c r="L387" i="17"/>
  <c r="L323" i="17"/>
  <c r="L590" i="17"/>
  <c r="K560" i="17"/>
  <c r="L536" i="17"/>
  <c r="K473" i="17"/>
  <c r="K512" i="17"/>
  <c r="K448" i="17"/>
  <c r="K384" i="17"/>
  <c r="L406" i="17"/>
  <c r="L364" i="17"/>
  <c r="L332" i="17"/>
  <c r="K300" i="17"/>
  <c r="K268" i="17"/>
  <c r="K236" i="17"/>
  <c r="K204" i="17"/>
  <c r="K172" i="17"/>
  <c r="K140" i="17"/>
  <c r="K313" i="17"/>
  <c r="K281" i="17"/>
  <c r="K249" i="17"/>
  <c r="K217" i="17"/>
  <c r="K185" i="17"/>
  <c r="K153" i="17"/>
  <c r="K334" i="17"/>
  <c r="K389" i="17"/>
  <c r="K357" i="17"/>
  <c r="K325" i="17"/>
  <c r="L293" i="17"/>
  <c r="L261" i="17"/>
  <c r="L229" i="17"/>
  <c r="L197" i="17"/>
  <c r="L165" i="17"/>
  <c r="L133" i="17"/>
  <c r="L306" i="17"/>
  <c r="L274" i="17"/>
  <c r="L242" i="17"/>
  <c r="L210" i="17"/>
  <c r="L178" i="17"/>
  <c r="L146" i="17"/>
  <c r="K119" i="17"/>
  <c r="K21" i="17"/>
  <c r="K53" i="17"/>
  <c r="K85" i="17"/>
  <c r="L19" i="17"/>
  <c r="L35" i="17"/>
  <c r="L51" i="17"/>
  <c r="L67" i="17"/>
  <c r="L83" i="17"/>
  <c r="L99" i="17"/>
  <c r="L24" i="17"/>
  <c r="L56" i="17"/>
  <c r="L88" i="17"/>
  <c r="L623" i="17"/>
  <c r="K324" i="17"/>
  <c r="K362" i="17"/>
  <c r="K394" i="17"/>
  <c r="K426" i="17"/>
  <c r="K458" i="17"/>
  <c r="K490" i="17"/>
  <c r="K419" i="17"/>
  <c r="K451" i="17"/>
  <c r="K483" i="17"/>
  <c r="K515" i="17"/>
  <c r="L549" i="17"/>
  <c r="K530" i="17"/>
  <c r="K580" i="17"/>
  <c r="L568" i="17"/>
  <c r="K600" i="17"/>
  <c r="K613" i="17"/>
  <c r="L333" i="17"/>
  <c r="L365" i="17"/>
  <c r="L397" i="17"/>
  <c r="L429" i="17"/>
  <c r="L461" i="17"/>
  <c r="L501" i="17"/>
  <c r="L446" i="17"/>
  <c r="L510" i="17"/>
  <c r="A625" i="17"/>
  <c r="P625" i="17" s="1"/>
  <c r="L531" i="17"/>
  <c r="L452" i="17"/>
  <c r="L427" i="17"/>
  <c r="K611" i="17"/>
  <c r="K528" i="17"/>
  <c r="K449" i="17"/>
  <c r="K424" i="17"/>
  <c r="L384" i="17"/>
  <c r="L320" i="17"/>
  <c r="K256" i="17"/>
  <c r="K192" i="17"/>
  <c r="K128" i="17"/>
  <c r="K269" i="17"/>
  <c r="K205" i="17"/>
  <c r="K141" i="17"/>
  <c r="K377" i="17"/>
  <c r="L313" i="17"/>
  <c r="L249" i="17"/>
  <c r="L185" i="17"/>
  <c r="L262" i="17"/>
  <c r="L134" i="17"/>
  <c r="K97" i="17"/>
  <c r="L73" i="17"/>
  <c r="L68" i="17"/>
  <c r="K374" i="17"/>
  <c r="K502" i="17"/>
  <c r="L526" i="17"/>
  <c r="L580" i="17"/>
  <c r="L377" i="17"/>
  <c r="L505" i="17"/>
  <c r="L525" i="17"/>
  <c r="L375" i="17"/>
  <c r="K166" i="17"/>
  <c r="L159" i="17"/>
  <c r="K86" i="17"/>
  <c r="K186" i="17"/>
  <c r="K76" i="17"/>
  <c r="L98" i="17"/>
  <c r="L183" i="17"/>
  <c r="L13" i="17"/>
  <c r="L606" i="17"/>
  <c r="K561" i="17"/>
  <c r="L523" i="17"/>
  <c r="L508" i="17"/>
  <c r="L444" i="17"/>
  <c r="L483" i="17"/>
  <c r="L419" i="17"/>
  <c r="L355" i="17"/>
  <c r="K603" i="17"/>
  <c r="L558" i="17"/>
  <c r="L593" i="17"/>
  <c r="K505" i="17"/>
  <c r="K441" i="17"/>
  <c r="K480" i="17"/>
  <c r="K416" i="17"/>
  <c r="K352" i="17"/>
  <c r="L380" i="17"/>
  <c r="L348" i="17"/>
  <c r="L316" i="17"/>
  <c r="K284" i="17"/>
  <c r="K252" i="17"/>
  <c r="K220" i="17"/>
  <c r="K188" i="17"/>
  <c r="K156" i="17"/>
  <c r="K124" i="17"/>
  <c r="K297" i="17"/>
  <c r="K265" i="17"/>
  <c r="K233" i="17"/>
  <c r="K201" i="17"/>
  <c r="K169" i="17"/>
  <c r="K137" i="17"/>
  <c r="K405" i="17"/>
  <c r="K373" i="17"/>
  <c r="K341" i="17"/>
  <c r="L309" i="17"/>
  <c r="L277" i="17"/>
  <c r="L245" i="17"/>
  <c r="L213" i="17"/>
  <c r="L181" i="17"/>
  <c r="L149" i="17"/>
  <c r="L117" i="17"/>
  <c r="L290" i="17"/>
  <c r="L258" i="17"/>
  <c r="L226" i="17"/>
  <c r="L194" i="17"/>
  <c r="L162" i="17"/>
  <c r="L130" i="17"/>
  <c r="L110" i="17"/>
  <c r="K37" i="17"/>
  <c r="K69" i="17"/>
  <c r="K101" i="17"/>
  <c r="L27" i="17"/>
  <c r="L43" i="17"/>
  <c r="L59" i="17"/>
  <c r="L75" i="17"/>
  <c r="L91" i="17"/>
  <c r="L107" i="17"/>
  <c r="L40" i="17"/>
  <c r="L72" i="17"/>
  <c r="L104" i="17"/>
  <c r="L400" i="17"/>
  <c r="K346" i="17"/>
  <c r="K378" i="17"/>
  <c r="K410" i="17"/>
  <c r="K442" i="17"/>
  <c r="K474" i="17"/>
  <c r="K506" i="17"/>
  <c r="K435" i="17"/>
  <c r="K467" i="17"/>
  <c r="K499" i="17"/>
  <c r="L530" i="17"/>
  <c r="L581" i="17"/>
  <c r="K548" i="17"/>
  <c r="L552" i="17"/>
  <c r="L584" i="17"/>
  <c r="K597" i="17"/>
  <c r="L317" i="17"/>
  <c r="L349" i="17"/>
  <c r="L381" i="17"/>
  <c r="L413" i="17"/>
  <c r="L445" i="17"/>
  <c r="L477" i="17"/>
  <c r="L517" i="17"/>
  <c r="L478" i="17"/>
  <c r="K541" i="17"/>
  <c r="K569" i="17"/>
  <c r="L516" i="17"/>
  <c r="L491" i="17"/>
  <c r="L363" i="17"/>
  <c r="L566" i="17"/>
  <c r="K513" i="17"/>
  <c r="K488" i="17"/>
  <c r="K360" i="17"/>
  <c r="L352" i="17"/>
  <c r="K288" i="17"/>
  <c r="K224" i="17"/>
  <c r="K160" i="17"/>
  <c r="K301" i="17"/>
  <c r="K237" i="17"/>
  <c r="K173" i="17"/>
  <c r="L412" i="17"/>
  <c r="K345" i="17"/>
  <c r="L281" i="17"/>
  <c r="L217" i="17"/>
  <c r="L121" i="17"/>
  <c r="L198" i="17"/>
  <c r="K33" i="17"/>
  <c r="L41" i="17"/>
  <c r="L105" i="17"/>
  <c r="L396" i="17"/>
  <c r="K438" i="17"/>
  <c r="K463" i="17"/>
  <c r="K542" i="17"/>
  <c r="K415" i="17"/>
  <c r="L441" i="17"/>
  <c r="L466" i="17"/>
  <c r="L596" i="17"/>
  <c r="K372" i="17"/>
  <c r="K322" i="17"/>
  <c r="K111" i="17"/>
  <c r="L415" i="17"/>
  <c r="L179" i="17"/>
  <c r="K287" i="17"/>
  <c r="L423" i="17"/>
  <c r="K234" i="17"/>
  <c r="L498" i="17"/>
  <c r="K529" i="17"/>
  <c r="L579" i="17"/>
  <c r="L537" i="17"/>
  <c r="K594" i="17"/>
  <c r="K575" i="17"/>
  <c r="L607" i="17"/>
  <c r="L613" i="17"/>
  <c r="L575" i="17"/>
  <c r="L432" i="17"/>
  <c r="L407" i="17"/>
  <c r="K610" i="17"/>
  <c r="L569" i="17"/>
  <c r="K429" i="17"/>
  <c r="K404" i="17"/>
  <c r="L374" i="17"/>
  <c r="K310" i="17"/>
  <c r="K246" i="17"/>
  <c r="K182" i="17"/>
  <c r="K118" i="17"/>
  <c r="K259" i="17"/>
  <c r="K195" i="17"/>
  <c r="K131" i="17"/>
  <c r="K367" i="17"/>
  <c r="L303" i="17"/>
  <c r="L239" i="17"/>
  <c r="L175" i="17"/>
  <c r="L111" i="17"/>
  <c r="L252" i="17"/>
  <c r="L188" i="17"/>
  <c r="L124" i="17"/>
  <c r="K43" i="17"/>
  <c r="K107" i="17"/>
  <c r="K46" i="17"/>
  <c r="K78" i="17"/>
  <c r="L14" i="17"/>
  <c r="L78" i="17"/>
  <c r="K557" i="17"/>
  <c r="L479" i="17"/>
  <c r="L554" i="17"/>
  <c r="K476" i="17"/>
  <c r="L346" i="17"/>
  <c r="K218" i="17"/>
  <c r="K295" i="17"/>
  <c r="K167" i="17"/>
  <c r="K339" i="17"/>
  <c r="L211" i="17"/>
  <c r="L288" i="17"/>
  <c r="L160" i="17"/>
  <c r="K71" i="17"/>
  <c r="K60" i="17"/>
  <c r="L42" i="17"/>
  <c r="L488" i="17"/>
  <c r="K485" i="17"/>
  <c r="K210" i="17"/>
  <c r="L203" i="17"/>
  <c r="K64" i="17"/>
  <c r="K290" i="17"/>
  <c r="K24" i="17"/>
  <c r="L136" i="17"/>
  <c r="K31" i="17"/>
  <c r="K571" i="17"/>
  <c r="L448" i="17"/>
  <c r="K445" i="17"/>
  <c r="K254" i="17"/>
  <c r="K203" i="17"/>
  <c r="L247" i="17"/>
  <c r="L196" i="17"/>
  <c r="K42" i="17"/>
  <c r="K589" i="17"/>
  <c r="L362" i="17"/>
  <c r="K355" i="17"/>
  <c r="K55" i="17"/>
  <c r="L553" i="17"/>
  <c r="L248" i="17"/>
  <c r="K175" i="17"/>
  <c r="K453" i="17"/>
  <c r="L514" i="17"/>
  <c r="L547" i="17"/>
  <c r="L521" i="17"/>
  <c r="K562" i="17"/>
  <c r="K559" i="17"/>
  <c r="K591" i="17"/>
  <c r="L604" i="17"/>
  <c r="K549" i="17"/>
  <c r="L496" i="17"/>
  <c r="L471" i="17"/>
  <c r="L343" i="17"/>
  <c r="L546" i="17"/>
  <c r="K493" i="17"/>
  <c r="K468" i="17"/>
  <c r="K340" i="17"/>
  <c r="L342" i="17"/>
  <c r="K278" i="17"/>
  <c r="K214" i="17"/>
  <c r="K150" i="17"/>
  <c r="K291" i="17"/>
  <c r="K227" i="17"/>
  <c r="K163" i="17"/>
  <c r="K399" i="17"/>
  <c r="K335" i="17"/>
  <c r="L271" i="17"/>
  <c r="L207" i="17"/>
  <c r="L143" i="17"/>
  <c r="L284" i="17"/>
  <c r="L220" i="17"/>
  <c r="L156" i="17"/>
  <c r="K18" i="17"/>
  <c r="K75" i="17"/>
  <c r="K30" i="17"/>
  <c r="K62" i="17"/>
  <c r="K94" i="17"/>
  <c r="L46" i="17"/>
  <c r="L622" i="17"/>
  <c r="L504" i="17"/>
  <c r="L351" i="17"/>
  <c r="K501" i="17"/>
  <c r="K348" i="17"/>
  <c r="K282" i="17"/>
  <c r="K154" i="17"/>
  <c r="K231" i="17"/>
  <c r="K403" i="17"/>
  <c r="L275" i="17"/>
  <c r="L147" i="17"/>
  <c r="L224" i="17"/>
  <c r="K14" i="17"/>
  <c r="K28" i="17"/>
  <c r="K92" i="17"/>
  <c r="L106" i="17"/>
  <c r="L335" i="17"/>
  <c r="K328" i="17"/>
  <c r="K159" i="17"/>
  <c r="L152" i="17"/>
  <c r="K519" i="17"/>
  <c r="L283" i="17"/>
  <c r="K428" i="17"/>
  <c r="L251" i="17"/>
  <c r="K570" i="17"/>
  <c r="C635" i="17"/>
  <c r="K607" i="17"/>
  <c r="L382" i="17"/>
  <c r="K126" i="17"/>
  <c r="K375" i="17"/>
  <c r="L119" i="17"/>
  <c r="K35" i="17"/>
  <c r="K106" i="17"/>
  <c r="L586" i="17"/>
  <c r="K311" i="17"/>
  <c r="L304" i="17"/>
  <c r="L26" i="17"/>
  <c r="K255" i="17"/>
  <c r="L82" i="17"/>
  <c r="L535" i="17"/>
  <c r="J628" i="17"/>
  <c r="K274" i="17"/>
  <c r="K223" i="17"/>
  <c r="L267" i="17"/>
  <c r="L216" i="17"/>
  <c r="K32" i="17"/>
  <c r="K626" i="17"/>
  <c r="K364" i="17"/>
  <c r="L416" i="17"/>
  <c r="K117" i="17"/>
  <c r="L431" i="17"/>
  <c r="L187" i="17"/>
  <c r="K258" i="17"/>
  <c r="K104" i="17"/>
  <c r="K554" i="17"/>
  <c r="K555" i="17"/>
  <c r="L600" i="17"/>
  <c r="L512" i="17"/>
  <c r="L359" i="17"/>
  <c r="K509" i="17"/>
  <c r="K356" i="17"/>
  <c r="K286" i="17"/>
  <c r="K158" i="17"/>
  <c r="K235" i="17"/>
  <c r="L408" i="17"/>
  <c r="L279" i="17"/>
  <c r="L151" i="17"/>
  <c r="L228" i="17"/>
  <c r="L112" i="17"/>
  <c r="K26" i="17"/>
  <c r="K90" i="17"/>
  <c r="L102" i="17"/>
  <c r="L383" i="17"/>
  <c r="K380" i="17"/>
  <c r="K170" i="17"/>
  <c r="K330" i="17"/>
  <c r="L163" i="17"/>
  <c r="K115" i="17"/>
  <c r="K84" i="17"/>
  <c r="L399" i="17"/>
  <c r="K178" i="17"/>
  <c r="L171" i="17"/>
  <c r="K80" i="17"/>
  <c r="K226" i="17"/>
  <c r="K56" i="17"/>
  <c r="K95" i="17"/>
  <c r="K379" i="17"/>
  <c r="K146" i="17"/>
  <c r="K395" i="17"/>
  <c r="L139" i="17"/>
  <c r="K15" i="17"/>
  <c r="K96" i="17"/>
  <c r="L367" i="17"/>
  <c r="K162" i="17"/>
  <c r="L155" i="17"/>
  <c r="K88" i="17"/>
  <c r="K194" i="17"/>
  <c r="K72" i="17"/>
  <c r="K40" i="17"/>
  <c r="L533" i="17"/>
  <c r="K586" i="17"/>
  <c r="K587" i="17"/>
  <c r="K565" i="17"/>
  <c r="L487" i="17"/>
  <c r="L562" i="17"/>
  <c r="K484" i="17"/>
  <c r="L350" i="17"/>
  <c r="K222" i="17"/>
  <c r="K299" i="17"/>
  <c r="K171" i="17"/>
  <c r="K343" i="17"/>
  <c r="L215" i="17"/>
  <c r="L292" i="17"/>
  <c r="L164" i="17"/>
  <c r="K67" i="17"/>
  <c r="K58" i="17"/>
  <c r="L38" i="17"/>
  <c r="K535" i="17"/>
  <c r="L532" i="17"/>
  <c r="K298" i="17"/>
  <c r="K247" i="17"/>
  <c r="L291" i="17"/>
  <c r="L240" i="17"/>
  <c r="K20" i="17"/>
  <c r="L90" i="17"/>
  <c r="K396" i="17"/>
  <c r="K127" i="17"/>
  <c r="L120" i="17"/>
  <c r="L495" i="17"/>
  <c r="L219" i="17"/>
  <c r="L322" i="17"/>
  <c r="L200" i="17"/>
  <c r="J34" i="17"/>
  <c r="J351" i="17"/>
  <c r="J253" i="17"/>
  <c r="H627" i="17"/>
  <c r="O627" i="17"/>
  <c r="R627" i="17"/>
  <c r="Q627" i="17"/>
  <c r="P627" i="17"/>
  <c r="I381" i="17"/>
  <c r="J174" i="17"/>
  <c r="L628" i="17"/>
  <c r="I353" i="17"/>
  <c r="I51" i="17"/>
  <c r="J62" i="17"/>
  <c r="I561" i="17"/>
  <c r="I62" i="17"/>
  <c r="J623" i="17"/>
  <c r="J202" i="17"/>
  <c r="J109" i="17"/>
  <c r="J302" i="17"/>
  <c r="J435" i="17"/>
  <c r="J147" i="17"/>
  <c r="I40" i="17"/>
  <c r="J125" i="17"/>
  <c r="I79" i="17"/>
  <c r="J225" i="17"/>
  <c r="J519" i="17"/>
  <c r="I311" i="17"/>
  <c r="K579" i="17"/>
  <c r="L611" i="17"/>
  <c r="L597" i="17"/>
  <c r="K543" i="17"/>
  <c r="K520" i="17"/>
  <c r="L391" i="17"/>
  <c r="L594" i="17"/>
  <c r="L540" i="17"/>
  <c r="K516" i="17"/>
  <c r="K388" i="17"/>
  <c r="L366" i="17"/>
  <c r="K302" i="17"/>
  <c r="K238" i="17"/>
  <c r="K174" i="17"/>
  <c r="K110" i="17"/>
  <c r="K251" i="17"/>
  <c r="K187" i="17"/>
  <c r="K123" i="17"/>
  <c r="K359" i="17"/>
  <c r="L295" i="17"/>
  <c r="L231" i="17"/>
  <c r="L167" i="17"/>
  <c r="L308" i="17"/>
  <c r="L244" i="17"/>
  <c r="L180" i="17"/>
  <c r="L116" i="17"/>
  <c r="K51" i="17"/>
  <c r="L17" i="17"/>
  <c r="K50" i="17"/>
  <c r="K82" i="17"/>
  <c r="L22" i="17"/>
  <c r="L86" i="17"/>
  <c r="K558" i="17"/>
  <c r="L447" i="17"/>
  <c r="K552" i="17"/>
  <c r="K444" i="17"/>
  <c r="L330" i="17"/>
  <c r="K202" i="17"/>
  <c r="K279" i="17"/>
  <c r="K151" i="17"/>
  <c r="K323" i="17"/>
  <c r="L195" i="17"/>
  <c r="L272" i="17"/>
  <c r="L144" i="17"/>
  <c r="K87" i="17"/>
  <c r="K68" i="17"/>
  <c r="L58" i="17"/>
  <c r="L424" i="17"/>
  <c r="K421" i="17"/>
  <c r="K242" i="17"/>
  <c r="K191" i="17"/>
  <c r="L235" i="17"/>
  <c r="L184" i="17"/>
  <c r="K48" i="17"/>
  <c r="K573" i="17"/>
  <c r="L354" i="17"/>
  <c r="K347" i="17"/>
  <c r="K63" i="17"/>
  <c r="K532" i="17"/>
  <c r="L264" i="17"/>
  <c r="K207" i="17"/>
  <c r="L386" i="17"/>
  <c r="J73" i="17"/>
  <c r="J98" i="17"/>
  <c r="J266" i="17"/>
  <c r="I317" i="17"/>
  <c r="I76" i="17"/>
  <c r="J110" i="17"/>
  <c r="J161" i="17"/>
  <c r="I409" i="17"/>
  <c r="J479" i="17"/>
  <c r="I159" i="17"/>
  <c r="J275" i="17"/>
  <c r="K628" i="17"/>
  <c r="K563" i="17"/>
  <c r="L595" i="17"/>
  <c r="L608" i="17"/>
  <c r="K574" i="17"/>
  <c r="L480" i="17"/>
  <c r="L455" i="17"/>
  <c r="L327" i="17"/>
  <c r="K568" i="17"/>
  <c r="K477" i="17"/>
  <c r="K452" i="17"/>
  <c r="L414" i="17"/>
  <c r="L334" i="17"/>
  <c r="K270" i="17"/>
  <c r="K206" i="17"/>
  <c r="K142" i="17"/>
  <c r="K283" i="17"/>
  <c r="K219" i="17"/>
  <c r="K155" i="17"/>
  <c r="K391" i="17"/>
  <c r="K327" i="17"/>
  <c r="L263" i="17"/>
  <c r="L199" i="17"/>
  <c r="L135" i="17"/>
  <c r="L276" i="17"/>
  <c r="L212" i="17"/>
  <c r="L148" i="17"/>
  <c r="K19" i="17"/>
  <c r="K83" i="17"/>
  <c r="K34" i="17"/>
  <c r="K66" i="17"/>
  <c r="K98" i="17"/>
  <c r="L54" i="17"/>
  <c r="K623" i="17"/>
  <c r="L472" i="17"/>
  <c r="L319" i="17"/>
  <c r="K469" i="17"/>
  <c r="L402" i="17"/>
  <c r="K266" i="17"/>
  <c r="K138" i="17"/>
  <c r="K215" i="17"/>
  <c r="K387" i="17"/>
  <c r="L259" i="17"/>
  <c r="L131" i="17"/>
  <c r="L208" i="17"/>
  <c r="K23" i="17"/>
  <c r="K36" i="17"/>
  <c r="K100" i="17"/>
  <c r="L605" i="17"/>
  <c r="K602" i="17"/>
  <c r="L370" i="17"/>
  <c r="K114" i="17"/>
  <c r="K363" i="17"/>
  <c r="L312" i="17"/>
  <c r="K47" i="17"/>
  <c r="L18" i="17"/>
  <c r="L570" i="17"/>
  <c r="K303" i="17"/>
  <c r="L296" i="17"/>
  <c r="L34" i="17"/>
  <c r="K271" i="17"/>
  <c r="L66" i="17"/>
  <c r="AA625" i="17"/>
  <c r="I104" i="17"/>
  <c r="J138" i="17"/>
  <c r="J189" i="17"/>
  <c r="J45" i="17"/>
  <c r="I15" i="17"/>
  <c r="J238" i="17"/>
  <c r="J289" i="17"/>
  <c r="J391" i="17"/>
  <c r="J460" i="17"/>
  <c r="I29" i="17"/>
  <c r="I516" i="17"/>
  <c r="J508" i="17"/>
  <c r="I622" i="17"/>
  <c r="I111" i="17"/>
  <c r="J389" i="17"/>
  <c r="I172" i="17"/>
  <c r="I522" i="17"/>
  <c r="J75" i="17"/>
  <c r="J224" i="17"/>
  <c r="I541" i="17"/>
  <c r="J49" i="17"/>
  <c r="I16" i="17"/>
  <c r="I80" i="17"/>
  <c r="I75" i="17"/>
  <c r="I113" i="17"/>
  <c r="J58" i="17"/>
  <c r="J114" i="17"/>
  <c r="J178" i="17"/>
  <c r="J242" i="17"/>
  <c r="J306" i="17"/>
  <c r="J165" i="17"/>
  <c r="J229" i="17"/>
  <c r="J293" i="17"/>
  <c r="I357" i="17"/>
  <c r="J21" i="17"/>
  <c r="J85" i="17"/>
  <c r="I52" i="17"/>
  <c r="I103" i="17"/>
  <c r="I39" i="17"/>
  <c r="J86" i="17"/>
  <c r="J22" i="17"/>
  <c r="J150" i="17"/>
  <c r="J214" i="17"/>
  <c r="J278" i="17"/>
  <c r="J137" i="17"/>
  <c r="J201" i="17"/>
  <c r="J265" i="17"/>
  <c r="I329" i="17"/>
  <c r="I393" i="17"/>
  <c r="J335" i="17"/>
  <c r="J375" i="17"/>
  <c r="J419" i="17"/>
  <c r="J463" i="17"/>
  <c r="J503" i="17"/>
  <c r="J444" i="17"/>
  <c r="J488" i="17"/>
  <c r="I558" i="17"/>
  <c r="J589" i="17"/>
  <c r="J613" i="17"/>
  <c r="I247" i="17"/>
  <c r="J55" i="17"/>
  <c r="I22" i="17"/>
  <c r="I73" i="17"/>
  <c r="J56" i="17"/>
  <c r="J180" i="17"/>
  <c r="J308" i="17"/>
  <c r="J231" i="17"/>
  <c r="I403" i="17"/>
  <c r="J454" i="17"/>
  <c r="I179" i="17"/>
  <c r="I340" i="17"/>
  <c r="I611" i="17"/>
  <c r="J17" i="17"/>
  <c r="J81" i="17"/>
  <c r="I48" i="17"/>
  <c r="I107" i="17"/>
  <c r="I43" i="17"/>
  <c r="J90" i="17"/>
  <c r="J26" i="17"/>
  <c r="J146" i="17"/>
  <c r="J210" i="17"/>
  <c r="J274" i="17"/>
  <c r="J133" i="17"/>
  <c r="J197" i="17"/>
  <c r="J261" i="17"/>
  <c r="I325" i="17"/>
  <c r="I389" i="17"/>
  <c r="J53" i="17"/>
  <c r="I20" i="17"/>
  <c r="I84" i="17"/>
  <c r="I71" i="17"/>
  <c r="I121" i="17"/>
  <c r="J54" i="17"/>
  <c r="J118" i="17"/>
  <c r="J182" i="17"/>
  <c r="J246" i="17"/>
  <c r="J310" i="17"/>
  <c r="J169" i="17"/>
  <c r="J233" i="17"/>
  <c r="J297" i="17"/>
  <c r="I361" i="17"/>
  <c r="I413" i="17"/>
  <c r="J355" i="17"/>
  <c r="J399" i="17"/>
  <c r="J439" i="17"/>
  <c r="J483" i="17"/>
  <c r="J424" i="17"/>
  <c r="J464" i="17"/>
  <c r="I519" i="17"/>
  <c r="I534" i="17"/>
  <c r="I573" i="17"/>
  <c r="I183" i="17"/>
  <c r="J23" i="17"/>
  <c r="J87" i="17"/>
  <c r="I82" i="17"/>
  <c r="I117" i="17"/>
  <c r="J116" i="17"/>
  <c r="J244" i="17"/>
  <c r="J167" i="17"/>
  <c r="J295" i="17"/>
  <c r="J429" i="17"/>
  <c r="I532" i="17"/>
  <c r="I186" i="17"/>
  <c r="I493" i="17"/>
  <c r="I300" i="17"/>
  <c r="J41" i="17"/>
  <c r="J105" i="17"/>
  <c r="I72" i="17"/>
  <c r="I83" i="17"/>
  <c r="I19" i="17"/>
  <c r="J66" i="17"/>
  <c r="I131" i="17"/>
  <c r="J170" i="17"/>
  <c r="J234" i="17"/>
  <c r="J298" i="17"/>
  <c r="J157" i="17"/>
  <c r="J221" i="17"/>
  <c r="J285" i="17"/>
  <c r="I349" i="17"/>
  <c r="J13" i="17"/>
  <c r="J77" i="17"/>
  <c r="I44" i="17"/>
  <c r="I108" i="17"/>
  <c r="I47" i="17"/>
  <c r="J94" i="17"/>
  <c r="J30" i="17"/>
  <c r="J142" i="17"/>
  <c r="J206" i="17"/>
  <c r="J270" i="17"/>
  <c r="J129" i="17"/>
  <c r="J193" i="17"/>
  <c r="J257" i="17"/>
  <c r="I321" i="17"/>
  <c r="I385" i="17"/>
  <c r="J327" i="17"/>
  <c r="J371" i="17"/>
  <c r="J415" i="17"/>
  <c r="J455" i="17"/>
  <c r="J499" i="17"/>
  <c r="J440" i="17"/>
  <c r="J480" i="17"/>
  <c r="I539" i="17"/>
  <c r="J565" i="17"/>
  <c r="I593" i="17"/>
  <c r="I223" i="17"/>
  <c r="J43" i="17"/>
  <c r="J107" i="17"/>
  <c r="I93" i="17"/>
  <c r="J76" i="17"/>
  <c r="J160" i="17"/>
  <c r="J288" i="17"/>
  <c r="J211" i="17"/>
  <c r="I363" i="17"/>
  <c r="J517" i="17"/>
  <c r="J595" i="17"/>
  <c r="J362" i="17"/>
  <c r="I498" i="17"/>
  <c r="J344" i="17"/>
  <c r="I236" i="17"/>
  <c r="I156" i="17"/>
  <c r="I265" i="17"/>
  <c r="I185" i="17"/>
  <c r="J599" i="17"/>
  <c r="J578" i="17"/>
  <c r="J539" i="17"/>
  <c r="J524" i="17"/>
  <c r="I461" i="17"/>
  <c r="I500" i="17"/>
  <c r="I436" i="17"/>
  <c r="I372" i="17"/>
  <c r="J410" i="17"/>
  <c r="J346" i="17"/>
  <c r="I282" i="17"/>
  <c r="I218" i="17"/>
  <c r="I154" i="17"/>
  <c r="I303" i="17"/>
  <c r="I271" i="17"/>
  <c r="I211" i="17"/>
  <c r="I147" i="17"/>
  <c r="I587" i="17"/>
  <c r="I555" i="17"/>
  <c r="J553" i="17"/>
  <c r="I586" i="17"/>
  <c r="I533" i="17"/>
  <c r="J502" i="17"/>
  <c r="J470" i="17"/>
  <c r="J438" i="17"/>
  <c r="J509" i="17"/>
  <c r="J477" i="17"/>
  <c r="J445" i="17"/>
  <c r="J413" i="17"/>
  <c r="J381" i="17"/>
  <c r="J349" i="17"/>
  <c r="J317" i="17"/>
  <c r="I387" i="17"/>
  <c r="I355" i="17"/>
  <c r="I323" i="17"/>
  <c r="J303" i="17"/>
  <c r="J287" i="17"/>
  <c r="J271" i="17"/>
  <c r="J255" i="17"/>
  <c r="J239" i="17"/>
  <c r="J223" i="17"/>
  <c r="J207" i="17"/>
  <c r="J191" i="17"/>
  <c r="J175" i="17"/>
  <c r="J159" i="17"/>
  <c r="J143" i="17"/>
  <c r="J127" i="17"/>
  <c r="J111" i="17"/>
  <c r="J300" i="17"/>
  <c r="J284" i="17"/>
  <c r="J268" i="17"/>
  <c r="J252" i="17"/>
  <c r="J236" i="17"/>
  <c r="J220" i="17"/>
  <c r="J204" i="17"/>
  <c r="J188" i="17"/>
  <c r="J172" i="17"/>
  <c r="J156" i="17"/>
  <c r="J140" i="17"/>
  <c r="J124" i="17"/>
  <c r="I135" i="17"/>
  <c r="J16" i="17"/>
  <c r="J32" i="17"/>
  <c r="J48" i="17"/>
  <c r="J64" i="17"/>
  <c r="J80" i="17"/>
  <c r="J96" i="17"/>
  <c r="I133" i="17"/>
  <c r="I17" i="17"/>
  <c r="I33" i="17"/>
  <c r="I49" i="17"/>
  <c r="I65" i="17"/>
  <c r="I81" i="17"/>
  <c r="I97" i="17"/>
  <c r="I106" i="17"/>
  <c r="I90" i="17"/>
  <c r="I74" i="17"/>
  <c r="I58" i="17"/>
  <c r="I42" i="17"/>
  <c r="I26" i="17"/>
  <c r="I414" i="17"/>
  <c r="J324" i="17"/>
  <c r="I220" i="17"/>
  <c r="I124" i="17"/>
  <c r="I249" i="17"/>
  <c r="I169" i="17"/>
  <c r="J604" i="17"/>
  <c r="J562" i="17"/>
  <c r="J523" i="17"/>
  <c r="I509" i="17"/>
  <c r="I445" i="17"/>
  <c r="I484" i="17"/>
  <c r="I420" i="17"/>
  <c r="I356" i="17"/>
  <c r="J394" i="17"/>
  <c r="J330" i="17"/>
  <c r="I266" i="17"/>
  <c r="I202" i="17"/>
  <c r="I138" i="17"/>
  <c r="I295" i="17"/>
  <c r="I259" i="17"/>
  <c r="I195" i="17"/>
  <c r="I603" i="17"/>
  <c r="I579" i="17"/>
  <c r="I547" i="17"/>
  <c r="I540" i="17"/>
  <c r="I570" i="17"/>
  <c r="I525" i="17"/>
  <c r="J494" i="17"/>
  <c r="J462" i="17"/>
  <c r="J430" i="17"/>
  <c r="J501" i="17"/>
  <c r="J469" i="17"/>
  <c r="J437" i="17"/>
  <c r="J405" i="17"/>
  <c r="J373" i="17"/>
  <c r="J341" i="17"/>
  <c r="I411" i="17"/>
  <c r="I379" i="17"/>
  <c r="I347" i="17"/>
  <c r="I315" i="17"/>
  <c r="J299" i="17"/>
  <c r="J283" i="17"/>
  <c r="J267" i="17"/>
  <c r="J251" i="17"/>
  <c r="J235" i="17"/>
  <c r="J219" i="17"/>
  <c r="J203" i="17"/>
  <c r="J187" i="17"/>
  <c r="J171" i="17"/>
  <c r="J155" i="17"/>
  <c r="J139" i="17"/>
  <c r="J123" i="17"/>
  <c r="J312" i="17"/>
  <c r="J296" i="17"/>
  <c r="J280" i="17"/>
  <c r="J264" i="17"/>
  <c r="J248" i="17"/>
  <c r="J232" i="17"/>
  <c r="J216" i="17"/>
  <c r="J200" i="17"/>
  <c r="J184" i="17"/>
  <c r="J168" i="17"/>
  <c r="J152" i="17"/>
  <c r="J136" i="17"/>
  <c r="J120" i="17"/>
  <c r="I127" i="17"/>
  <c r="J20" i="17"/>
  <c r="J36" i="17"/>
  <c r="J52" i="17"/>
  <c r="J68" i="17"/>
  <c r="J84" i="17"/>
  <c r="J100" i="17"/>
  <c r="I125" i="17"/>
  <c r="I21" i="17"/>
  <c r="I37" i="17"/>
  <c r="I53" i="17"/>
  <c r="I69" i="17"/>
  <c r="I85" i="17"/>
  <c r="I101" i="17"/>
  <c r="I102" i="17"/>
  <c r="I86" i="17"/>
  <c r="I70" i="17"/>
  <c r="I54" i="17"/>
  <c r="I38" i="17"/>
  <c r="I260" i="17"/>
  <c r="I297" i="17"/>
  <c r="AA624" i="17"/>
  <c r="J567" i="17"/>
  <c r="I477" i="17"/>
  <c r="I452" i="17"/>
  <c r="I324" i="17"/>
  <c r="I298" i="17"/>
  <c r="I170" i="17"/>
  <c r="I279" i="17"/>
  <c r="I163" i="17"/>
  <c r="I563" i="17"/>
  <c r="I524" i="17"/>
  <c r="J510" i="17"/>
  <c r="J446" i="17"/>
  <c r="J485" i="17"/>
  <c r="J421" i="17"/>
  <c r="J357" i="17"/>
  <c r="I395" i="17"/>
  <c r="I331" i="17"/>
  <c r="J291" i="17"/>
  <c r="J259" i="17"/>
  <c r="J227" i="17"/>
  <c r="J195" i="17"/>
  <c r="J163" i="17"/>
  <c r="J131" i="17"/>
  <c r="J304" i="17"/>
  <c r="J272" i="17"/>
  <c r="J240" i="17"/>
  <c r="J208" i="17"/>
  <c r="J176" i="17"/>
  <c r="J144" i="17"/>
  <c r="J112" i="17"/>
  <c r="J28" i="17"/>
  <c r="J60" i="17"/>
  <c r="J92" i="17"/>
  <c r="I13" i="17"/>
  <c r="I45" i="17"/>
  <c r="I77" i="17"/>
  <c r="I109" i="17"/>
  <c r="I78" i="17"/>
  <c r="I46" i="17"/>
  <c r="I18" i="17"/>
  <c r="J99" i="17"/>
  <c r="J83" i="17"/>
  <c r="J67" i="17"/>
  <c r="J51" i="17"/>
  <c r="J35" i="17"/>
  <c r="J19" i="17"/>
  <c r="I623" i="17"/>
  <c r="I239" i="17"/>
  <c r="I207" i="17"/>
  <c r="I175" i="17"/>
  <c r="I143" i="17"/>
  <c r="J605" i="17"/>
  <c r="I585" i="17"/>
  <c r="I569" i="17"/>
  <c r="I553" i="17"/>
  <c r="J581" i="17"/>
  <c r="J549" i="17"/>
  <c r="I530" i="17"/>
  <c r="I582" i="17"/>
  <c r="I550" i="17"/>
  <c r="I531" i="17"/>
  <c r="J516" i="17"/>
  <c r="J500" i="17"/>
  <c r="J484" i="17"/>
  <c r="J468" i="17"/>
  <c r="J452" i="17"/>
  <c r="J436" i="17"/>
  <c r="J420" i="17"/>
  <c r="J507" i="17"/>
  <c r="J491" i="17"/>
  <c r="J475" i="17"/>
  <c r="J459" i="17"/>
  <c r="J443" i="17"/>
  <c r="J427" i="17"/>
  <c r="J411" i="17"/>
  <c r="J395" i="17"/>
  <c r="J379" i="17"/>
  <c r="J363" i="17"/>
  <c r="J347" i="17"/>
  <c r="J331" i="17"/>
  <c r="J315" i="17"/>
  <c r="I401" i="17"/>
  <c r="I366" i="17"/>
  <c r="I188" i="17"/>
  <c r="I233" i="17"/>
  <c r="I610" i="17"/>
  <c r="I568" i="17"/>
  <c r="I429" i="17"/>
  <c r="I404" i="17"/>
  <c r="J378" i="17"/>
  <c r="I250" i="17"/>
  <c r="I122" i="17"/>
  <c r="I243" i="17"/>
  <c r="J609" i="17"/>
  <c r="J585" i="17"/>
  <c r="I554" i="17"/>
  <c r="J486" i="17"/>
  <c r="J422" i="17"/>
  <c r="J461" i="17"/>
  <c r="J397" i="17"/>
  <c r="J333" i="17"/>
  <c r="I371" i="17"/>
  <c r="J311" i="17"/>
  <c r="J279" i="17"/>
  <c r="J247" i="17"/>
  <c r="J215" i="17"/>
  <c r="J183" i="17"/>
  <c r="J151" i="17"/>
  <c r="J119" i="17"/>
  <c r="J292" i="17"/>
  <c r="J260" i="17"/>
  <c r="J228" i="17"/>
  <c r="J196" i="17"/>
  <c r="J164" i="17"/>
  <c r="J132" i="17"/>
  <c r="I119" i="17"/>
  <c r="J40" i="17"/>
  <c r="J72" i="17"/>
  <c r="J104" i="17"/>
  <c r="I25" i="17"/>
  <c r="I57" i="17"/>
  <c r="I89" i="17"/>
  <c r="I98" i="17"/>
  <c r="I66" i="17"/>
  <c r="I34" i="17"/>
  <c r="I14" i="17"/>
  <c r="J95" i="17"/>
  <c r="J79" i="17"/>
  <c r="J63" i="17"/>
  <c r="J47" i="17"/>
  <c r="J31" i="17"/>
  <c r="J15" i="17"/>
  <c r="I263" i="17"/>
  <c r="I231" i="17"/>
  <c r="I199" i="17"/>
  <c r="I167" i="17"/>
  <c r="I607" i="17"/>
  <c r="J597" i="17"/>
  <c r="I581" i="17"/>
  <c r="I565" i="17"/>
  <c r="I549" i="17"/>
  <c r="J573" i="17"/>
  <c r="I542" i="17"/>
  <c r="I526" i="17"/>
  <c r="I574" i="17"/>
  <c r="I543" i="17"/>
  <c r="I527" i="17"/>
  <c r="J512" i="17"/>
  <c r="J496" i="17"/>
  <c r="J25" i="17"/>
  <c r="J57" i="17"/>
  <c r="J89" i="17"/>
  <c r="I24" i="17"/>
  <c r="I56" i="17"/>
  <c r="I88" i="17"/>
  <c r="I99" i="17"/>
  <c r="I67" i="17"/>
  <c r="I35" i="17"/>
  <c r="I129" i="17"/>
  <c r="J82" i="17"/>
  <c r="J50" i="17"/>
  <c r="J18" i="17"/>
  <c r="J122" i="17"/>
  <c r="J154" i="17"/>
  <c r="J186" i="17"/>
  <c r="J218" i="17"/>
  <c r="J250" i="17"/>
  <c r="J282" i="17"/>
  <c r="J314" i="17"/>
  <c r="J141" i="17"/>
  <c r="J173" i="17"/>
  <c r="J205" i="17"/>
  <c r="J237" i="17"/>
  <c r="J269" i="17"/>
  <c r="J301" i="17"/>
  <c r="I333" i="17"/>
  <c r="I365" i="17"/>
  <c r="J622" i="17"/>
  <c r="J29" i="17"/>
  <c r="J61" i="17"/>
  <c r="J93" i="17"/>
  <c r="I28" i="17"/>
  <c r="I60" i="17"/>
  <c r="I92" i="17"/>
  <c r="I95" i="17"/>
  <c r="I63" i="17"/>
  <c r="I31" i="17"/>
  <c r="I137" i="17"/>
  <c r="J78" i="17"/>
  <c r="J46" i="17"/>
  <c r="J14" i="17"/>
  <c r="J126" i="17"/>
  <c r="J158" i="17"/>
  <c r="J190" i="17"/>
  <c r="J222" i="17"/>
  <c r="J254" i="17"/>
  <c r="J286" i="17"/>
  <c r="J113" i="17"/>
  <c r="J145" i="17"/>
  <c r="J177" i="17"/>
  <c r="J209" i="17"/>
  <c r="J241" i="17"/>
  <c r="J273" i="17"/>
  <c r="J305" i="17"/>
  <c r="I337" i="17"/>
  <c r="I369" i="17"/>
  <c r="I397" i="17"/>
  <c r="J319" i="17"/>
  <c r="J339" i="17"/>
  <c r="J359" i="17"/>
  <c r="J383" i="17"/>
  <c r="J403" i="17"/>
  <c r="J423" i="17"/>
  <c r="J447" i="17"/>
  <c r="J467" i="17"/>
  <c r="J487" i="17"/>
  <c r="J511" i="17"/>
  <c r="J428" i="17"/>
  <c r="J448" i="17"/>
  <c r="J472" i="17"/>
  <c r="J492" i="17"/>
  <c r="I523" i="17"/>
  <c r="I566" i="17"/>
  <c r="I538" i="17"/>
  <c r="I545" i="17"/>
  <c r="I577" i="17"/>
  <c r="I599" i="17"/>
  <c r="I191" i="17"/>
  <c r="I255" i="17"/>
  <c r="J27" i="17"/>
  <c r="J59" i="17"/>
  <c r="J91" i="17"/>
  <c r="I30" i="17"/>
  <c r="I94" i="17"/>
  <c r="I61" i="17"/>
  <c r="J108" i="17"/>
  <c r="J44" i="17"/>
  <c r="J128" i="17"/>
  <c r="J192" i="17"/>
  <c r="J256" i="17"/>
  <c r="J115" i="17"/>
  <c r="J179" i="17"/>
  <c r="J243" i="17"/>
  <c r="J307" i="17"/>
  <c r="J325" i="17"/>
  <c r="J453" i="17"/>
  <c r="J478" i="17"/>
  <c r="J569" i="17"/>
  <c r="I227" i="17"/>
  <c r="I234" i="17"/>
  <c r="I388" i="17"/>
  <c r="J540" i="17"/>
  <c r="I201" i="17"/>
  <c r="I322" i="17"/>
  <c r="J33" i="17"/>
  <c r="J65" i="17"/>
  <c r="J97" i="17"/>
  <c r="I32" i="17"/>
  <c r="I64" i="17"/>
  <c r="I96" i="17"/>
  <c r="I91" i="17"/>
  <c r="I59" i="17"/>
  <c r="I27" i="17"/>
  <c r="J106" i="17"/>
  <c r="J74" i="17"/>
  <c r="J42" i="17"/>
  <c r="I115" i="17"/>
  <c r="J130" i="17"/>
  <c r="J162" i="17"/>
  <c r="J194" i="17"/>
  <c r="J226" i="17"/>
  <c r="J258" i="17"/>
  <c r="J290" i="17"/>
  <c r="J117" i="17"/>
  <c r="J149" i="17"/>
  <c r="J181" i="17"/>
  <c r="J213" i="17"/>
  <c r="J245" i="17"/>
  <c r="J277" i="17"/>
  <c r="J309" i="17"/>
  <c r="I341" i="17"/>
  <c r="I373" i="17"/>
  <c r="I626" i="17"/>
  <c r="J37" i="17"/>
  <c r="J69" i="17"/>
  <c r="J101" i="17"/>
  <c r="I36" i="17"/>
  <c r="I68" i="17"/>
  <c r="I100" i="17"/>
  <c r="I87" i="17"/>
  <c r="I55" i="17"/>
  <c r="I23" i="17"/>
  <c r="J102" i="17"/>
  <c r="J70" i="17"/>
  <c r="J38" i="17"/>
  <c r="I123" i="17"/>
  <c r="J134" i="17"/>
  <c r="J166" i="17"/>
  <c r="J198" i="17"/>
  <c r="J230" i="17"/>
  <c r="J262" i="17"/>
  <c r="J294" i="17"/>
  <c r="J121" i="17"/>
  <c r="J153" i="17"/>
  <c r="J185" i="17"/>
  <c r="J217" i="17"/>
  <c r="J249" i="17"/>
  <c r="J281" i="17"/>
  <c r="J313" i="17"/>
  <c r="I345" i="17"/>
  <c r="I377" i="17"/>
  <c r="I405" i="17"/>
  <c r="J323" i="17"/>
  <c r="J343" i="17"/>
  <c r="J367" i="17"/>
  <c r="J387" i="17"/>
  <c r="J407" i="17"/>
  <c r="J431" i="17"/>
  <c r="J451" i="17"/>
  <c r="J471" i="17"/>
  <c r="J495" i="17"/>
  <c r="J515" i="17"/>
  <c r="J432" i="17"/>
  <c r="J456" i="17"/>
  <c r="J476" i="17"/>
  <c r="J504" i="17"/>
  <c r="I535" i="17"/>
  <c r="I590" i="17"/>
  <c r="J557" i="17"/>
  <c r="I557" i="17"/>
  <c r="I589" i="17"/>
  <c r="I151" i="17"/>
  <c r="I215" i="17"/>
  <c r="J626" i="17"/>
  <c r="J39" i="17"/>
  <c r="J71" i="17"/>
  <c r="J103" i="17"/>
  <c r="I50" i="17"/>
  <c r="I105" i="17"/>
  <c r="I41" i="17"/>
  <c r="J88" i="17"/>
  <c r="J24" i="17"/>
  <c r="J148" i="17"/>
  <c r="J212" i="17"/>
  <c r="J276" i="17"/>
  <c r="J135" i="17"/>
  <c r="J199" i="17"/>
  <c r="J263" i="17"/>
  <c r="I339" i="17"/>
  <c r="J365" i="17"/>
  <c r="J493" i="17"/>
  <c r="J518" i="17"/>
  <c r="I571" i="17"/>
  <c r="I287" i="17"/>
  <c r="I314" i="17"/>
  <c r="I468" i="17"/>
  <c r="J546" i="17"/>
  <c r="I313" i="17"/>
  <c r="I153" i="17"/>
  <c r="I217" i="17"/>
  <c r="I281" i="17"/>
  <c r="I140" i="17"/>
  <c r="I204" i="17"/>
  <c r="I280" i="17"/>
  <c r="J380" i="17"/>
  <c r="J555" i="17"/>
  <c r="I446" i="17"/>
  <c r="I342" i="17"/>
  <c r="J360" i="17"/>
  <c r="I312" i="17"/>
  <c r="I268" i="17"/>
  <c r="I228" i="17"/>
  <c r="I196" i="17"/>
  <c r="I164" i="17"/>
  <c r="I132" i="17"/>
  <c r="I305" i="17"/>
  <c r="I273" i="17"/>
  <c r="I241" i="17"/>
  <c r="I209" i="17"/>
  <c r="I177" i="17"/>
  <c r="I145" i="17"/>
  <c r="J607" i="17"/>
  <c r="J596" i="17"/>
  <c r="J586" i="17"/>
  <c r="J554" i="17"/>
  <c r="J551" i="17"/>
  <c r="I584" i="17"/>
  <c r="J532" i="17"/>
  <c r="I501" i="17"/>
  <c r="I469" i="17"/>
  <c r="I437" i="17"/>
  <c r="I508" i="17"/>
  <c r="I476" i="17"/>
  <c r="I444" i="17"/>
  <c r="I412" i="17"/>
  <c r="I380" i="17"/>
  <c r="I348" i="17"/>
  <c r="I316" i="17"/>
  <c r="J386" i="17"/>
  <c r="J354" i="17"/>
  <c r="J322" i="17"/>
  <c r="I290" i="17"/>
  <c r="I258" i="17"/>
  <c r="I226" i="17"/>
  <c r="I194" i="17"/>
  <c r="I162" i="17"/>
  <c r="I130" i="17"/>
  <c r="I307" i="17"/>
  <c r="I291" i="17"/>
  <c r="I275" i="17"/>
  <c r="I251" i="17"/>
  <c r="I219" i="17"/>
  <c r="I187" i="17"/>
  <c r="I155" i="17"/>
  <c r="I595" i="17"/>
  <c r="I591" i="17"/>
  <c r="I575" i="17"/>
  <c r="I559" i="17"/>
  <c r="J593" i="17"/>
  <c r="J561" i="17"/>
  <c r="I536" i="17"/>
  <c r="I594" i="17"/>
  <c r="I562" i="17"/>
  <c r="I537" i="17"/>
  <c r="I521" i="17"/>
  <c r="J506" i="17"/>
  <c r="J490" i="17"/>
  <c r="J474" i="17"/>
  <c r="J458" i="17"/>
  <c r="J442" i="17"/>
  <c r="J426" i="17"/>
  <c r="J513" i="17"/>
  <c r="J497" i="17"/>
  <c r="J481" i="17"/>
  <c r="J465" i="17"/>
  <c r="J449" i="17"/>
  <c r="J433" i="17"/>
  <c r="J417" i="17"/>
  <c r="J401" i="17"/>
  <c r="J385" i="17"/>
  <c r="J369" i="17"/>
  <c r="J353" i="17"/>
  <c r="J337" i="17"/>
  <c r="J321" i="17"/>
  <c r="I407" i="17"/>
  <c r="I391" i="17"/>
  <c r="I375" i="17"/>
  <c r="I359" i="17"/>
  <c r="I343" i="17"/>
  <c r="I327" i="17"/>
  <c r="I491" i="17"/>
  <c r="I386" i="17"/>
  <c r="J404" i="17"/>
  <c r="J332" i="17"/>
  <c r="I292" i="17"/>
  <c r="I248" i="17"/>
  <c r="I212" i="17"/>
  <c r="I180" i="17"/>
  <c r="I148" i="17"/>
  <c r="I116" i="17"/>
  <c r="I289" i="17"/>
  <c r="I257" i="17"/>
  <c r="I225" i="17"/>
  <c r="I193" i="17"/>
  <c r="I161" i="17"/>
  <c r="I601" i="17"/>
  <c r="J608" i="17"/>
  <c r="I602" i="17"/>
  <c r="J570" i="17"/>
  <c r="J583" i="17"/>
  <c r="J531" i="17"/>
  <c r="I552" i="17"/>
  <c r="I517" i="17"/>
  <c r="I485" i="17"/>
  <c r="I453" i="17"/>
  <c r="I421" i="17"/>
  <c r="I492" i="17"/>
  <c r="I460" i="17"/>
  <c r="I428" i="17"/>
  <c r="I396" i="17"/>
  <c r="I364" i="17"/>
  <c r="I332" i="17"/>
  <c r="J402" i="17"/>
  <c r="J370" i="17"/>
  <c r="J338" i="17"/>
  <c r="I306" i="17"/>
  <c r="I274" i="17"/>
  <c r="I242" i="17"/>
  <c r="I210" i="17"/>
  <c r="I178" i="17"/>
  <c r="I146" i="17"/>
  <c r="I114" i="17"/>
  <c r="I299" i="17"/>
  <c r="I283" i="17"/>
  <c r="I267" i="17"/>
  <c r="I235" i="17"/>
  <c r="I203" i="17"/>
  <c r="I171" i="17"/>
  <c r="I139" i="17"/>
  <c r="J601" i="17"/>
  <c r="I583" i="17"/>
  <c r="I567" i="17"/>
  <c r="I551" i="17"/>
  <c r="J577" i="17"/>
  <c r="J545" i="17"/>
  <c r="I528" i="17"/>
  <c r="I578" i="17"/>
  <c r="I546" i="17"/>
  <c r="I529" i="17"/>
  <c r="J514" i="17"/>
  <c r="J498" i="17"/>
  <c r="J482" i="17"/>
  <c r="J466" i="17"/>
  <c r="J450" i="17"/>
  <c r="J434" i="17"/>
  <c r="J418" i="17"/>
  <c r="J505" i="17"/>
  <c r="J489" i="17"/>
  <c r="J473" i="17"/>
  <c r="J457" i="17"/>
  <c r="J441" i="17"/>
  <c r="J425" i="17"/>
  <c r="J409" i="17"/>
  <c r="J393" i="17"/>
  <c r="J377" i="17"/>
  <c r="J361" i="17"/>
  <c r="J345" i="17"/>
  <c r="J329" i="17"/>
  <c r="I415" i="17"/>
  <c r="I399" i="17"/>
  <c r="I383" i="17"/>
  <c r="I367" i="17"/>
  <c r="I351" i="17"/>
  <c r="I335" i="17"/>
  <c r="I319" i="17"/>
  <c r="J542" i="17"/>
  <c r="I628" i="17"/>
  <c r="J592" i="17"/>
  <c r="I588" i="17"/>
  <c r="I471" i="17"/>
  <c r="I470" i="17"/>
  <c r="I398" i="17"/>
  <c r="I354" i="17"/>
  <c r="J412" i="17"/>
  <c r="J372" i="17"/>
  <c r="J340" i="17"/>
  <c r="J316" i="17"/>
  <c r="I296" i="17"/>
  <c r="I276" i="17"/>
  <c r="I252" i="17"/>
  <c r="I232" i="17"/>
  <c r="I216" i="17"/>
  <c r="I200" i="17"/>
  <c r="I184" i="17"/>
  <c r="I168" i="17"/>
  <c r="I152" i="17"/>
  <c r="I136" i="17"/>
  <c r="I120" i="17"/>
  <c r="I309" i="17"/>
  <c r="I293" i="17"/>
  <c r="I277" i="17"/>
  <c r="I261" i="17"/>
  <c r="I245" i="17"/>
  <c r="I229" i="17"/>
  <c r="I213" i="17"/>
  <c r="I197" i="17"/>
  <c r="I181" i="17"/>
  <c r="I165" i="17"/>
  <c r="I149" i="17"/>
  <c r="I605" i="17"/>
  <c r="J611" i="17"/>
  <c r="J612" i="17"/>
  <c r="J600" i="17"/>
  <c r="I606" i="17"/>
  <c r="J590" i="17"/>
  <c r="J574" i="17"/>
  <c r="J558" i="17"/>
  <c r="J591" i="17"/>
  <c r="J559" i="17"/>
  <c r="J535" i="17"/>
  <c r="I592" i="17"/>
  <c r="I560" i="17"/>
  <c r="J536" i="17"/>
  <c r="J520" i="17"/>
  <c r="I505" i="17"/>
  <c r="I489" i="17"/>
  <c r="I473" i="17"/>
  <c r="I457" i="17"/>
  <c r="I441" i="17"/>
  <c r="I425" i="17"/>
  <c r="I512" i="17"/>
  <c r="I496" i="17"/>
  <c r="I480" i="17"/>
  <c r="I464" i="17"/>
  <c r="I448" i="17"/>
  <c r="I432" i="17"/>
  <c r="I416" i="17"/>
  <c r="I400" i="17"/>
  <c r="I384" i="17"/>
  <c r="I368" i="17"/>
  <c r="I352" i="17"/>
  <c r="I336" i="17"/>
  <c r="I320" i="17"/>
  <c r="J406" i="17"/>
  <c r="J390" i="17"/>
  <c r="J374" i="17"/>
  <c r="J358" i="17"/>
  <c r="J342" i="17"/>
  <c r="J326" i="17"/>
  <c r="I310" i="17"/>
  <c r="I294" i="17"/>
  <c r="I278" i="17"/>
  <c r="I262" i="17"/>
  <c r="I246" i="17"/>
  <c r="I230" i="17"/>
  <c r="I214" i="17"/>
  <c r="I198" i="17"/>
  <c r="I182" i="17"/>
  <c r="I166" i="17"/>
  <c r="I150" i="17"/>
  <c r="I134" i="17"/>
  <c r="I118" i="17"/>
  <c r="J548" i="17"/>
  <c r="I520" i="17"/>
  <c r="I514" i="17"/>
  <c r="I430" i="17"/>
  <c r="I374" i="17"/>
  <c r="I334" i="17"/>
  <c r="J392" i="17"/>
  <c r="J348" i="17"/>
  <c r="J328" i="17"/>
  <c r="I308" i="17"/>
  <c r="I284" i="17"/>
  <c r="I264" i="17"/>
  <c r="I244" i="17"/>
  <c r="I224" i="17"/>
  <c r="I208" i="17"/>
  <c r="I192" i="17"/>
  <c r="I176" i="17"/>
  <c r="I160" i="17"/>
  <c r="I144" i="17"/>
  <c r="I128" i="17"/>
  <c r="I112" i="17"/>
  <c r="I301" i="17"/>
  <c r="I285" i="17"/>
  <c r="I269" i="17"/>
  <c r="I253" i="17"/>
  <c r="I237" i="17"/>
  <c r="I221" i="17"/>
  <c r="I205" i="17"/>
  <c r="I189" i="17"/>
  <c r="I173" i="17"/>
  <c r="I157" i="17"/>
  <c r="I141" i="17"/>
  <c r="I597" i="17"/>
  <c r="J603" i="17"/>
  <c r="I609" i="17"/>
  <c r="A624" i="17"/>
  <c r="I598" i="17"/>
  <c r="J582" i="17"/>
  <c r="J566" i="17"/>
  <c r="J550" i="17"/>
  <c r="J575" i="17"/>
  <c r="J543" i="17"/>
  <c r="J527" i="17"/>
  <c r="I576" i="17"/>
  <c r="I544" i="17"/>
  <c r="J528" i="17"/>
  <c r="I513" i="17"/>
  <c r="I497" i="17"/>
  <c r="I481" i="17"/>
  <c r="I465" i="17"/>
  <c r="I449" i="17"/>
  <c r="I433" i="17"/>
  <c r="I417" i="17"/>
  <c r="I504" i="17"/>
  <c r="I488" i="17"/>
  <c r="I472" i="17"/>
  <c r="I456" i="17"/>
  <c r="I440" i="17"/>
  <c r="I424" i="17"/>
  <c r="I408" i="17"/>
  <c r="I392" i="17"/>
  <c r="I376" i="17"/>
  <c r="I360" i="17"/>
  <c r="I344" i="17"/>
  <c r="I328" i="17"/>
  <c r="J414" i="17"/>
  <c r="J398" i="17"/>
  <c r="J382" i="17"/>
  <c r="J366" i="17"/>
  <c r="J350" i="17"/>
  <c r="J334" i="17"/>
  <c r="J318" i="17"/>
  <c r="I302" i="17"/>
  <c r="I286" i="17"/>
  <c r="I270" i="17"/>
  <c r="I254" i="17"/>
  <c r="I238" i="17"/>
  <c r="I222" i="17"/>
  <c r="I206" i="17"/>
  <c r="I190" i="17"/>
  <c r="I174" i="17"/>
  <c r="I158" i="17"/>
  <c r="I142" i="17"/>
  <c r="I126" i="17"/>
  <c r="I110" i="17"/>
  <c r="I439" i="17"/>
  <c r="J564" i="17"/>
  <c r="J364" i="17"/>
  <c r="J388" i="17"/>
  <c r="J408" i="17"/>
  <c r="I326" i="17"/>
  <c r="I350" i="17"/>
  <c r="I370" i="17"/>
  <c r="I390" i="17"/>
  <c r="I418" i="17"/>
  <c r="I454" i="17"/>
  <c r="I510" i="17"/>
  <c r="I455" i="17"/>
  <c r="I511" i="17"/>
  <c r="I564" i="17"/>
  <c r="J563" i="17"/>
  <c r="J588" i="17"/>
  <c r="J356" i="17"/>
  <c r="J376" i="17"/>
  <c r="J396" i="17"/>
  <c r="I318" i="17"/>
  <c r="I338" i="17"/>
  <c r="I358" i="17"/>
  <c r="I382" i="17"/>
  <c r="I406" i="17"/>
  <c r="I434" i="17"/>
  <c r="I478" i="17"/>
  <c r="I431" i="17"/>
  <c r="I479" i="17"/>
  <c r="J522" i="17"/>
  <c r="J533" i="17"/>
  <c r="J556" i="17"/>
  <c r="I612" i="17"/>
  <c r="I402" i="17"/>
  <c r="I422" i="17"/>
  <c r="I450" i="17"/>
  <c r="I486" i="17"/>
  <c r="I427" i="17"/>
  <c r="I459" i="17"/>
  <c r="I495" i="17"/>
  <c r="J538" i="17"/>
  <c r="J525" i="17"/>
  <c r="J571" i="17"/>
  <c r="J576" i="17"/>
  <c r="J598" i="17"/>
  <c r="I466" i="17"/>
  <c r="I494" i="17"/>
  <c r="I518" i="17"/>
  <c r="I447" i="17"/>
  <c r="I475" i="17"/>
  <c r="I503" i="17"/>
  <c r="J534" i="17"/>
  <c r="I572" i="17"/>
  <c r="J537" i="17"/>
  <c r="J544" i="17"/>
  <c r="J572" i="17"/>
  <c r="I596" i="17"/>
  <c r="I608" i="17"/>
  <c r="I438" i="17"/>
  <c r="I462" i="17"/>
  <c r="I482" i="17"/>
  <c r="I502" i="17"/>
  <c r="I423" i="17"/>
  <c r="I443" i="17"/>
  <c r="I463" i="17"/>
  <c r="I487" i="17"/>
  <c r="I507" i="17"/>
  <c r="J526" i="17"/>
  <c r="I556" i="17"/>
  <c r="J521" i="17"/>
  <c r="J541" i="17"/>
  <c r="J587" i="17"/>
  <c r="J560" i="17"/>
  <c r="J580" i="17"/>
  <c r="I604" i="17"/>
  <c r="J602" i="17"/>
  <c r="M81" i="17"/>
  <c r="N15" i="17"/>
  <c r="N19" i="17"/>
  <c r="N23" i="17"/>
  <c r="N27" i="17"/>
  <c r="N31" i="17"/>
  <c r="N35" i="17"/>
  <c r="N39" i="17"/>
  <c r="N43" i="17"/>
  <c r="N47" i="17"/>
  <c r="N51" i="17"/>
  <c r="N55" i="17"/>
  <c r="N59" i="17"/>
  <c r="N63" i="17"/>
  <c r="N67" i="17"/>
  <c r="N71" i="17"/>
  <c r="N75" i="17"/>
  <c r="N79" i="17"/>
  <c r="N83" i="17"/>
  <c r="N87" i="17"/>
  <c r="N91" i="17"/>
  <c r="N95" i="17"/>
  <c r="N99" i="17"/>
  <c r="N103" i="17"/>
  <c r="N107" i="17"/>
  <c r="N111" i="17"/>
  <c r="N115" i="17"/>
  <c r="N16" i="17"/>
  <c r="N20" i="17"/>
  <c r="N24" i="17"/>
  <c r="N28" i="17"/>
  <c r="N32" i="17"/>
  <c r="N36" i="17"/>
  <c r="N40" i="17"/>
  <c r="N44" i="17"/>
  <c r="N48" i="17"/>
  <c r="N52" i="17"/>
  <c r="N56" i="17"/>
  <c r="N60" i="17"/>
  <c r="N64" i="17"/>
  <c r="N68" i="17"/>
  <c r="N72" i="17"/>
  <c r="N76" i="17"/>
  <c r="N80" i="17"/>
  <c r="N84" i="17"/>
  <c r="N88" i="17"/>
  <c r="N92" i="17"/>
  <c r="N96" i="17"/>
  <c r="N100" i="17"/>
  <c r="N104" i="17"/>
  <c r="N108" i="17"/>
  <c r="N112" i="17"/>
  <c r="N116" i="17"/>
  <c r="N120" i="17"/>
  <c r="N124" i="17"/>
  <c r="N128" i="17"/>
  <c r="N132" i="17"/>
  <c r="N136" i="17"/>
  <c r="N140" i="17"/>
  <c r="N144" i="17"/>
  <c r="N148" i="17"/>
  <c r="N152" i="17"/>
  <c r="N156" i="17"/>
  <c r="N160" i="17"/>
  <c r="N164" i="17"/>
  <c r="N168" i="17"/>
  <c r="N172" i="17"/>
  <c r="N176" i="17"/>
  <c r="N180" i="17"/>
  <c r="N17" i="17"/>
  <c r="N21" i="17"/>
  <c r="N25" i="17"/>
  <c r="N29" i="17"/>
  <c r="N33" i="17"/>
  <c r="N37" i="17"/>
  <c r="N41" i="17"/>
  <c r="N45" i="17"/>
  <c r="N49" i="17"/>
  <c r="N53" i="17"/>
  <c r="N57" i="17"/>
  <c r="N61" i="17"/>
  <c r="N65" i="17"/>
  <c r="N69" i="17"/>
  <c r="N73" i="17"/>
  <c r="N77" i="17"/>
  <c r="N81" i="17"/>
  <c r="N85" i="17"/>
  <c r="N89" i="17"/>
  <c r="N93" i="17"/>
  <c r="N97" i="17"/>
  <c r="N101" i="17"/>
  <c r="N105" i="17"/>
  <c r="N109" i="17"/>
  <c r="N113" i="17"/>
  <c r="N117" i="17"/>
  <c r="N121" i="17"/>
  <c r="N125" i="17"/>
  <c r="N129" i="17"/>
  <c r="N133" i="17"/>
  <c r="N137" i="17"/>
  <c r="N141" i="17"/>
  <c r="N145" i="17"/>
  <c r="N149" i="17"/>
  <c r="N153" i="17"/>
  <c r="N157" i="17"/>
  <c r="N161" i="17"/>
  <c r="N165" i="17"/>
  <c r="N169" i="17"/>
  <c r="N173" i="17"/>
  <c r="N177" i="17"/>
  <c r="N181" i="17"/>
  <c r="N18" i="17"/>
  <c r="N34" i="17"/>
  <c r="N50" i="17"/>
  <c r="N66" i="17"/>
  <c r="N82" i="17"/>
  <c r="N98" i="17"/>
  <c r="N114" i="17"/>
  <c r="N123" i="17"/>
  <c r="N131" i="17"/>
  <c r="N139" i="17"/>
  <c r="N147" i="17"/>
  <c r="N155" i="17"/>
  <c r="N163" i="17"/>
  <c r="N171" i="17"/>
  <c r="N179" i="17"/>
  <c r="N185" i="17"/>
  <c r="N189" i="17"/>
  <c r="N193" i="17"/>
  <c r="N197" i="17"/>
  <c r="N201" i="17"/>
  <c r="N205" i="17"/>
  <c r="N209" i="17"/>
  <c r="N213" i="17"/>
  <c r="N217" i="17"/>
  <c r="N221" i="17"/>
  <c r="N225" i="17"/>
  <c r="N229" i="17"/>
  <c r="N233" i="17"/>
  <c r="N237" i="17"/>
  <c r="N241" i="17"/>
  <c r="N245" i="17"/>
  <c r="N249" i="17"/>
  <c r="N253" i="17"/>
  <c r="N257" i="17"/>
  <c r="N261" i="17"/>
  <c r="N265" i="17"/>
  <c r="N269" i="17"/>
  <c r="N273" i="17"/>
  <c r="N277" i="17"/>
  <c r="N281" i="17"/>
  <c r="N285" i="17"/>
  <c r="N289" i="17"/>
  <c r="N293" i="17"/>
  <c r="N297" i="17"/>
  <c r="N301" i="17"/>
  <c r="N305" i="17"/>
  <c r="N309" i="17"/>
  <c r="N313" i="17"/>
  <c r="N317" i="17"/>
  <c r="N321" i="17"/>
  <c r="N325" i="17"/>
  <c r="N329" i="17"/>
  <c r="N333" i="17"/>
  <c r="N337" i="17"/>
  <c r="N341" i="17"/>
  <c r="N345" i="17"/>
  <c r="N349" i="17"/>
  <c r="N353" i="17"/>
  <c r="N357" i="17"/>
  <c r="N361" i="17"/>
  <c r="N365" i="17"/>
  <c r="N369" i="17"/>
  <c r="N373" i="17"/>
  <c r="N377" i="17"/>
  <c r="N381" i="17"/>
  <c r="N385" i="17"/>
  <c r="N389" i="17"/>
  <c r="N393" i="17"/>
  <c r="N397" i="17"/>
  <c r="N401" i="17"/>
  <c r="N405" i="17"/>
  <c r="N409" i="17"/>
  <c r="N413" i="17"/>
  <c r="N417" i="17"/>
  <c r="N421" i="17"/>
  <c r="N425" i="17"/>
  <c r="N429" i="17"/>
  <c r="N433" i="17"/>
  <c r="N437" i="17"/>
  <c r="N441" i="17"/>
  <c r="N445" i="17"/>
  <c r="N449" i="17"/>
  <c r="N453" i="17"/>
  <c r="N457" i="17"/>
  <c r="N461" i="17"/>
  <c r="N465" i="17"/>
  <c r="N469" i="17"/>
  <c r="N473" i="17"/>
  <c r="N477" i="17"/>
  <c r="N481" i="17"/>
  <c r="N485" i="17"/>
  <c r="N489" i="17"/>
  <c r="N493" i="17"/>
  <c r="N497" i="17"/>
  <c r="N501" i="17"/>
  <c r="N505" i="17"/>
  <c r="N509" i="17"/>
  <c r="N513" i="17"/>
  <c r="N517" i="17"/>
  <c r="N521" i="17"/>
  <c r="N525" i="17"/>
  <c r="N529" i="17"/>
  <c r="N533" i="17"/>
  <c r="N537" i="17"/>
  <c r="N541" i="17"/>
  <c r="N545" i="17"/>
  <c r="N549" i="17"/>
  <c r="N553" i="17"/>
  <c r="N557" i="17"/>
  <c r="N561" i="17"/>
  <c r="N565" i="17"/>
  <c r="N569" i="17"/>
  <c r="N573" i="17"/>
  <c r="N22" i="17"/>
  <c r="N38" i="17"/>
  <c r="N54" i="17"/>
  <c r="N70" i="17"/>
  <c r="N86" i="17"/>
  <c r="N102" i="17"/>
  <c r="N118" i="17"/>
  <c r="N126" i="17"/>
  <c r="N134" i="17"/>
  <c r="N142" i="17"/>
  <c r="N150" i="17"/>
  <c r="N158" i="17"/>
  <c r="N166" i="17"/>
  <c r="N174" i="17"/>
  <c r="N182" i="17"/>
  <c r="N186" i="17"/>
  <c r="N190" i="17"/>
  <c r="N194" i="17"/>
  <c r="N198" i="17"/>
  <c r="N202" i="17"/>
  <c r="N206" i="17"/>
  <c r="N210" i="17"/>
  <c r="N214" i="17"/>
  <c r="N218" i="17"/>
  <c r="N222" i="17"/>
  <c r="N226" i="17"/>
  <c r="N230" i="17"/>
  <c r="N234" i="17"/>
  <c r="N238" i="17"/>
  <c r="N242" i="17"/>
  <c r="N246" i="17"/>
  <c r="N250" i="17"/>
  <c r="N254" i="17"/>
  <c r="N258" i="17"/>
  <c r="N262" i="17"/>
  <c r="N266" i="17"/>
  <c r="N270" i="17"/>
  <c r="N274" i="17"/>
  <c r="N278" i="17"/>
  <c r="N282" i="17"/>
  <c r="N286" i="17"/>
  <c r="N290" i="17"/>
  <c r="N294" i="17"/>
  <c r="N298" i="17"/>
  <c r="N302" i="17"/>
  <c r="N306" i="17"/>
  <c r="N310" i="17"/>
  <c r="N314" i="17"/>
  <c r="N318" i="17"/>
  <c r="N322" i="17"/>
  <c r="N326" i="17"/>
  <c r="N330" i="17"/>
  <c r="N334" i="17"/>
  <c r="N338" i="17"/>
  <c r="N342" i="17"/>
  <c r="N346" i="17"/>
  <c r="N350" i="17"/>
  <c r="N354" i="17"/>
  <c r="N358" i="17"/>
  <c r="N362" i="17"/>
  <c r="N366" i="17"/>
  <c r="N370" i="17"/>
  <c r="N374" i="17"/>
  <c r="N378" i="17"/>
  <c r="N382" i="17"/>
  <c r="N386" i="17"/>
  <c r="N390" i="17"/>
  <c r="N394" i="17"/>
  <c r="N398" i="17"/>
  <c r="N402" i="17"/>
  <c r="N406" i="17"/>
  <c r="N410" i="17"/>
  <c r="N414" i="17"/>
  <c r="N418" i="17"/>
  <c r="N422" i="17"/>
  <c r="N426" i="17"/>
  <c r="N430" i="17"/>
  <c r="N434" i="17"/>
  <c r="N438" i="17"/>
  <c r="N442" i="17"/>
  <c r="N446" i="17"/>
  <c r="N450" i="17"/>
  <c r="N454" i="17"/>
  <c r="N458" i="17"/>
  <c r="N462" i="17"/>
  <c r="N466" i="17"/>
  <c r="N470" i="17"/>
  <c r="N474" i="17"/>
  <c r="N478" i="17"/>
  <c r="N482" i="17"/>
  <c r="N486" i="17"/>
  <c r="N490" i="17"/>
  <c r="N494" i="17"/>
  <c r="N498" i="17"/>
  <c r="N502" i="17"/>
  <c r="N506" i="17"/>
  <c r="N510" i="17"/>
  <c r="N514" i="17"/>
  <c r="N518" i="17"/>
  <c r="N522" i="17"/>
  <c r="N526" i="17"/>
  <c r="N530" i="17"/>
  <c r="N534" i="17"/>
  <c r="N538" i="17"/>
  <c r="N542" i="17"/>
  <c r="N546" i="17"/>
  <c r="N550" i="17"/>
  <c r="N554" i="17"/>
  <c r="N558" i="17"/>
  <c r="N562" i="17"/>
  <c r="N566" i="17"/>
  <c r="N570" i="17"/>
  <c r="N574" i="17"/>
  <c r="N578" i="17"/>
  <c r="N582" i="17"/>
  <c r="N586" i="17"/>
  <c r="N590" i="17"/>
  <c r="N594" i="17"/>
  <c r="N598" i="17"/>
  <c r="N602" i="17"/>
  <c r="N606" i="17"/>
  <c r="N610" i="17"/>
  <c r="N14" i="17"/>
  <c r="N26" i="17"/>
  <c r="N42" i="17"/>
  <c r="N58" i="17"/>
  <c r="N74" i="17"/>
  <c r="N90" i="17"/>
  <c r="N106" i="17"/>
  <c r="N119" i="17"/>
  <c r="N127" i="17"/>
  <c r="N135" i="17"/>
  <c r="N143" i="17"/>
  <c r="N151" i="17"/>
  <c r="N159" i="17"/>
  <c r="N167" i="17"/>
  <c r="N175" i="17"/>
  <c r="N183" i="17"/>
  <c r="N187" i="17"/>
  <c r="N191" i="17"/>
  <c r="N195" i="17"/>
  <c r="N199" i="17"/>
  <c r="N203" i="17"/>
  <c r="N207" i="17"/>
  <c r="N211" i="17"/>
  <c r="N215" i="17"/>
  <c r="N219" i="17"/>
  <c r="N223" i="17"/>
  <c r="N227" i="17"/>
  <c r="N231" i="17"/>
  <c r="N235" i="17"/>
  <c r="V235" i="17" s="1"/>
  <c r="N239" i="17"/>
  <c r="N243" i="17"/>
  <c r="N247" i="17"/>
  <c r="N251" i="17"/>
  <c r="N255" i="17"/>
  <c r="N259" i="17"/>
  <c r="N263" i="17"/>
  <c r="N267" i="17"/>
  <c r="N271" i="17"/>
  <c r="N275" i="17"/>
  <c r="N279" i="17"/>
  <c r="N283" i="17"/>
  <c r="N287" i="17"/>
  <c r="N291" i="17"/>
  <c r="N295" i="17"/>
  <c r="N299" i="17"/>
  <c r="N303" i="17"/>
  <c r="N307" i="17"/>
  <c r="N311" i="17"/>
  <c r="N315" i="17"/>
  <c r="N319" i="17"/>
  <c r="N323" i="17"/>
  <c r="N327" i="17"/>
  <c r="N331" i="17"/>
  <c r="N335" i="17"/>
  <c r="N339" i="17"/>
  <c r="N343" i="17"/>
  <c r="N347" i="17"/>
  <c r="N351" i="17"/>
  <c r="N355" i="17"/>
  <c r="N359" i="17"/>
  <c r="N363" i="17"/>
  <c r="N367" i="17"/>
  <c r="N371" i="17"/>
  <c r="N375" i="17"/>
  <c r="N379" i="17"/>
  <c r="N383" i="17"/>
  <c r="N387" i="17"/>
  <c r="N391" i="17"/>
  <c r="N395" i="17"/>
  <c r="N399" i="17"/>
  <c r="N403" i="17"/>
  <c r="N407" i="17"/>
  <c r="N411" i="17"/>
  <c r="N415" i="17"/>
  <c r="N419" i="17"/>
  <c r="N423" i="17"/>
  <c r="N427" i="17"/>
  <c r="N431" i="17"/>
  <c r="N435" i="17"/>
  <c r="N439" i="17"/>
  <c r="N443" i="17"/>
  <c r="N447" i="17"/>
  <c r="N451" i="17"/>
  <c r="N455" i="17"/>
  <c r="N459" i="17"/>
  <c r="N463" i="17"/>
  <c r="N467" i="17"/>
  <c r="N471" i="17"/>
  <c r="N475" i="17"/>
  <c r="N479" i="17"/>
  <c r="N483" i="17"/>
  <c r="N487" i="17"/>
  <c r="N491" i="17"/>
  <c r="N495" i="17"/>
  <c r="N499" i="17"/>
  <c r="N503" i="17"/>
  <c r="N507" i="17"/>
  <c r="N511" i="17"/>
  <c r="N515" i="17"/>
  <c r="N519" i="17"/>
  <c r="N523" i="17"/>
  <c r="N527" i="17"/>
  <c r="N531" i="17"/>
  <c r="N535" i="17"/>
  <c r="N539" i="17"/>
  <c r="N543" i="17"/>
  <c r="N547" i="17"/>
  <c r="N551" i="17"/>
  <c r="N555" i="17"/>
  <c r="N559" i="17"/>
  <c r="N563" i="17"/>
  <c r="N567" i="17"/>
  <c r="N571" i="17"/>
  <c r="N575" i="17"/>
  <c r="N579" i="17"/>
  <c r="N583" i="17"/>
  <c r="N587" i="17"/>
  <c r="N591" i="17"/>
  <c r="N595" i="17"/>
  <c r="N599" i="17"/>
  <c r="N603" i="17"/>
  <c r="N607" i="17"/>
  <c r="N611" i="17"/>
  <c r="N30" i="17"/>
  <c r="N94" i="17"/>
  <c r="N138" i="17"/>
  <c r="N170" i="17"/>
  <c r="N192" i="17"/>
  <c r="N208" i="17"/>
  <c r="N224" i="17"/>
  <c r="N240" i="17"/>
  <c r="N256" i="17"/>
  <c r="N272" i="17"/>
  <c r="N288" i="17"/>
  <c r="N304" i="17"/>
  <c r="N320" i="17"/>
  <c r="N336" i="17"/>
  <c r="N352" i="17"/>
  <c r="N368" i="17"/>
  <c r="N384" i="17"/>
  <c r="N400" i="17"/>
  <c r="N416" i="17"/>
  <c r="N432" i="17"/>
  <c r="N448" i="17"/>
  <c r="N464" i="17"/>
  <c r="N480" i="17"/>
  <c r="N496" i="17"/>
  <c r="N512" i="17"/>
  <c r="N528" i="17"/>
  <c r="N544" i="17"/>
  <c r="N560" i="17"/>
  <c r="N576" i="17"/>
  <c r="N584" i="17"/>
  <c r="N592" i="17"/>
  <c r="N600" i="17"/>
  <c r="N608" i="17"/>
  <c r="N46" i="17"/>
  <c r="N110" i="17"/>
  <c r="N146" i="17"/>
  <c r="N178" i="17"/>
  <c r="N196" i="17"/>
  <c r="N212" i="17"/>
  <c r="N228" i="17"/>
  <c r="N244" i="17"/>
  <c r="N260" i="17"/>
  <c r="N276" i="17"/>
  <c r="N292" i="17"/>
  <c r="N308" i="17"/>
  <c r="N324" i="17"/>
  <c r="N340" i="17"/>
  <c r="N356" i="17"/>
  <c r="N372" i="17"/>
  <c r="N388" i="17"/>
  <c r="N404" i="17"/>
  <c r="N420" i="17"/>
  <c r="N436" i="17"/>
  <c r="N452" i="17"/>
  <c r="N468" i="17"/>
  <c r="N484" i="17"/>
  <c r="N500" i="17"/>
  <c r="N516" i="17"/>
  <c r="N532" i="17"/>
  <c r="N548" i="17"/>
  <c r="N564" i="17"/>
  <c r="N577" i="17"/>
  <c r="N585" i="17"/>
  <c r="N593" i="17"/>
  <c r="N601" i="17"/>
  <c r="N609" i="17"/>
  <c r="N62" i="17"/>
  <c r="N122" i="17"/>
  <c r="N154" i="17"/>
  <c r="N184" i="17"/>
  <c r="N200" i="17"/>
  <c r="N216" i="17"/>
  <c r="N232" i="17"/>
  <c r="N248" i="17"/>
  <c r="N264" i="17"/>
  <c r="N280" i="17"/>
  <c r="N296" i="17"/>
  <c r="N312" i="17"/>
  <c r="N328" i="17"/>
  <c r="N344" i="17"/>
  <c r="N360" i="17"/>
  <c r="N376" i="17"/>
  <c r="N392" i="17"/>
  <c r="N408" i="17"/>
  <c r="N424" i="17"/>
  <c r="N440" i="17"/>
  <c r="N456" i="17"/>
  <c r="N472" i="17"/>
  <c r="N488" i="17"/>
  <c r="N504" i="17"/>
  <c r="N520" i="17"/>
  <c r="N536" i="17"/>
  <c r="N552" i="17"/>
  <c r="N568" i="17"/>
  <c r="N580" i="17"/>
  <c r="N588" i="17"/>
  <c r="N596" i="17"/>
  <c r="N604" i="17"/>
  <c r="N612" i="17"/>
  <c r="N78" i="17"/>
  <c r="N204" i="17"/>
  <c r="N268" i="17"/>
  <c r="N332" i="17"/>
  <c r="N396" i="17"/>
  <c r="N460" i="17"/>
  <c r="N524" i="17"/>
  <c r="N581" i="17"/>
  <c r="N613" i="17"/>
  <c r="N130" i="17"/>
  <c r="N220" i="17"/>
  <c r="N284" i="17"/>
  <c r="N348" i="17"/>
  <c r="N412" i="17"/>
  <c r="N476" i="17"/>
  <c r="N540" i="17"/>
  <c r="N589" i="17"/>
  <c r="N162" i="17"/>
  <c r="N236" i="17"/>
  <c r="N300" i="17"/>
  <c r="N364" i="17"/>
  <c r="N428" i="17"/>
  <c r="N492" i="17"/>
  <c r="N556" i="17"/>
  <c r="N597" i="17"/>
  <c r="N188" i="17"/>
  <c r="N252" i="17"/>
  <c r="N316" i="17"/>
  <c r="N380" i="17"/>
  <c r="N444" i="17"/>
  <c r="N508" i="17"/>
  <c r="N572" i="17"/>
  <c r="N605" i="17"/>
  <c r="J606" i="17"/>
  <c r="J610" i="17"/>
  <c r="I240" i="17"/>
  <c r="I256" i="17"/>
  <c r="I272" i="17"/>
  <c r="I288" i="17"/>
  <c r="I304" i="17"/>
  <c r="J320" i="17"/>
  <c r="J336" i="17"/>
  <c r="J352" i="17"/>
  <c r="J368" i="17"/>
  <c r="J384" i="17"/>
  <c r="J400" i="17"/>
  <c r="J416" i="17"/>
  <c r="I330" i="17"/>
  <c r="I346" i="17"/>
  <c r="I362" i="17"/>
  <c r="I378" i="17"/>
  <c r="I394" i="17"/>
  <c r="I410" i="17"/>
  <c r="I426" i="17"/>
  <c r="I442" i="17"/>
  <c r="I458" i="17"/>
  <c r="I474" i="17"/>
  <c r="I490" i="17"/>
  <c r="I506" i="17"/>
  <c r="I419" i="17"/>
  <c r="I435" i="17"/>
  <c r="I451" i="17"/>
  <c r="I467" i="17"/>
  <c r="I483" i="17"/>
  <c r="I499" i="17"/>
  <c r="I515" i="17"/>
  <c r="J530" i="17"/>
  <c r="I548" i="17"/>
  <c r="I580" i="17"/>
  <c r="J529" i="17"/>
  <c r="J547" i="17"/>
  <c r="J579" i="17"/>
  <c r="J552" i="17"/>
  <c r="J568" i="17"/>
  <c r="J584" i="17"/>
  <c r="I600" i="17"/>
  <c r="C634" i="17"/>
  <c r="I613" i="17"/>
  <c r="T22" i="27"/>
  <c r="T42" i="27"/>
  <c r="T70" i="27"/>
  <c r="T92" i="27"/>
  <c r="T13" i="27"/>
  <c r="T15" i="27"/>
  <c r="T27" i="27"/>
  <c r="T30" i="27"/>
  <c r="T87" i="27"/>
  <c r="T14" i="27"/>
  <c r="T39" i="27"/>
  <c r="T66" i="27"/>
  <c r="T57" i="27"/>
  <c r="Z57" i="27" s="1"/>
  <c r="T68" i="27"/>
  <c r="Z68" i="27" s="1"/>
  <c r="T59" i="27"/>
  <c r="T28" i="27"/>
  <c r="T17" i="27"/>
  <c r="Z17" i="27" s="1"/>
  <c r="T58" i="27"/>
  <c r="T65" i="27"/>
  <c r="Z65" i="27" s="1"/>
  <c r="T60" i="27"/>
  <c r="T67" i="27"/>
  <c r="T33" i="27"/>
  <c r="T93" i="27"/>
  <c r="V65" i="27"/>
  <c r="T61" i="27"/>
  <c r="Z61" i="27" s="1"/>
  <c r="T63" i="27"/>
  <c r="T45" i="27"/>
  <c r="V61" i="27"/>
  <c r="T62" i="27"/>
  <c r="V57" i="27"/>
  <c r="V68" i="27"/>
  <c r="T64" i="27"/>
  <c r="T38" i="27"/>
  <c r="T71" i="27"/>
  <c r="T88" i="27"/>
  <c r="T29" i="27"/>
  <c r="T82" i="27"/>
  <c r="T56" i="27"/>
  <c r="T51" i="27"/>
  <c r="Z51" i="27" s="1"/>
  <c r="T72" i="27"/>
  <c r="T54" i="27"/>
  <c r="T52" i="27"/>
  <c r="T78" i="27"/>
  <c r="T55" i="27"/>
  <c r="T73" i="27"/>
  <c r="T77" i="27"/>
  <c r="V51" i="27"/>
  <c r="X51" i="27" s="1"/>
  <c r="V17" i="27"/>
  <c r="X17" i="27" s="1"/>
  <c r="T74" i="27"/>
  <c r="T75" i="27"/>
  <c r="T76" i="27"/>
  <c r="T79" i="27"/>
  <c r="T50" i="27"/>
  <c r="T53" i="27"/>
  <c r="T69" i="27"/>
  <c r="T96" i="27"/>
  <c r="T97" i="27"/>
  <c r="M345" i="17"/>
  <c r="M572" i="17"/>
  <c r="M36" i="17"/>
  <c r="M263" i="17"/>
  <c r="M417" i="17"/>
  <c r="M297" i="17"/>
  <c r="M494" i="17"/>
  <c r="M277" i="17"/>
  <c r="M151" i="17"/>
  <c r="M283" i="17"/>
  <c r="M487" i="17"/>
  <c r="M326" i="17"/>
  <c r="M435" i="17"/>
  <c r="M320" i="17"/>
  <c r="M237" i="17"/>
  <c r="M252" i="17"/>
  <c r="M381" i="17"/>
  <c r="M560" i="17"/>
  <c r="M612" i="17"/>
  <c r="M454" i="17"/>
  <c r="M212" i="17"/>
  <c r="M402" i="17"/>
  <c r="M314" i="17"/>
  <c r="M161" i="17"/>
  <c r="M578" i="17"/>
  <c r="M30" i="17"/>
  <c r="M465" i="17"/>
  <c r="M166" i="17"/>
  <c r="M400" i="17"/>
  <c r="M208" i="17"/>
  <c r="M600" i="17"/>
  <c r="M178" i="17"/>
  <c r="M479" i="17"/>
  <c r="M540" i="17"/>
  <c r="M76" i="17"/>
  <c r="M406" i="17"/>
  <c r="M312" i="17"/>
  <c r="M468" i="17"/>
  <c r="M517" i="17"/>
  <c r="M515" i="17"/>
  <c r="M383" i="17"/>
  <c r="M58" i="17"/>
  <c r="M488" i="17"/>
  <c r="M172" i="17"/>
  <c r="M607" i="17"/>
  <c r="M218" i="17"/>
  <c r="M385" i="17"/>
  <c r="M259" i="17"/>
  <c r="M125" i="17"/>
  <c r="M63" i="17"/>
  <c r="M45" i="17"/>
  <c r="M543" i="17"/>
  <c r="M246" i="17"/>
  <c r="M561" i="17"/>
  <c r="M482" i="17"/>
  <c r="M24" i="17"/>
  <c r="M123" i="17"/>
  <c r="M366" i="17"/>
  <c r="M300" i="17"/>
  <c r="M152" i="17"/>
  <c r="M372" i="17"/>
  <c r="M138" i="17"/>
  <c r="M437" i="17"/>
  <c r="M475" i="17"/>
  <c r="M335" i="17"/>
  <c r="N622" i="17"/>
  <c r="M90" i="17"/>
  <c r="M333" i="17"/>
  <c r="M559" i="17"/>
  <c r="M209" i="17"/>
  <c r="M442" i="17"/>
  <c r="M232" i="17"/>
  <c r="M428" i="17"/>
  <c r="M179" i="17"/>
  <c r="N628" i="17"/>
  <c r="M199" i="17"/>
  <c r="M41" i="17"/>
  <c r="M555" i="17"/>
  <c r="M92" i="17"/>
  <c r="M99" i="17"/>
  <c r="M525" i="17"/>
  <c r="M84" i="17"/>
  <c r="M20" i="17"/>
  <c r="M83" i="17"/>
  <c r="M155" i="17"/>
  <c r="M363" i="17"/>
  <c r="M541" i="17"/>
  <c r="M219" i="17"/>
  <c r="M97" i="17"/>
  <c r="M17" i="17"/>
  <c r="M96" i="17"/>
  <c r="M64" i="17"/>
  <c r="M32" i="17"/>
  <c r="M159" i="17"/>
  <c r="M107" i="17"/>
  <c r="M43" i="17"/>
  <c r="N13" i="17"/>
  <c r="M173" i="17"/>
  <c r="M339" i="17"/>
  <c r="M403" i="17"/>
  <c r="M455" i="17"/>
  <c r="M520" i="17"/>
  <c r="M532" i="17"/>
  <c r="M121" i="17"/>
  <c r="M321" i="17"/>
  <c r="M377" i="17"/>
  <c r="M429" i="17"/>
  <c r="M493" i="17"/>
  <c r="M566" i="17"/>
  <c r="M551" i="17"/>
  <c r="M247" i="17"/>
  <c r="M114" i="17"/>
  <c r="M85" i="17"/>
  <c r="M251" i="17"/>
  <c r="M60" i="17"/>
  <c r="M189" i="17"/>
  <c r="M137" i="17"/>
  <c r="M52" i="17"/>
  <c r="M626" i="17"/>
  <c r="M447" i="17"/>
  <c r="M33" i="17"/>
  <c r="M80" i="17"/>
  <c r="M40" i="17"/>
  <c r="M117" i="17"/>
  <c r="M75" i="17"/>
  <c r="M323" i="17"/>
  <c r="M471" i="17"/>
  <c r="M554" i="17"/>
  <c r="M571" i="17"/>
  <c r="M153" i="17"/>
  <c r="M361" i="17"/>
  <c r="M509" i="17"/>
  <c r="M538" i="17"/>
  <c r="M215" i="17"/>
  <c r="M130" i="17"/>
  <c r="M194" i="17"/>
  <c r="M258" i="17"/>
  <c r="M348" i="17"/>
  <c r="M412" i="17"/>
  <c r="M476" i="17"/>
  <c r="M584" i="17"/>
  <c r="M599" i="17"/>
  <c r="M589" i="17"/>
  <c r="M221" i="17"/>
  <c r="M285" i="17"/>
  <c r="M144" i="17"/>
  <c r="M264" i="17"/>
  <c r="M418" i="17"/>
  <c r="M597" i="17"/>
  <c r="M580" i="17"/>
  <c r="M474" i="17"/>
  <c r="M410" i="17"/>
  <c r="M346" i="17"/>
  <c r="M256" i="17"/>
  <c r="M192" i="17"/>
  <c r="M140" i="17"/>
  <c r="M313" i="17"/>
  <c r="M281" i="17"/>
  <c r="M249" i="17"/>
  <c r="M217" i="17"/>
  <c r="M585" i="17"/>
  <c r="M553" i="17"/>
  <c r="M595" i="17"/>
  <c r="M576" i="17"/>
  <c r="M504" i="17"/>
  <c r="M472" i="17"/>
  <c r="M440" i="17"/>
  <c r="M408" i="17"/>
  <c r="M376" i="17"/>
  <c r="M344" i="17"/>
  <c r="M286" i="17"/>
  <c r="M254" i="17"/>
  <c r="M222" i="17"/>
  <c r="M190" i="17"/>
  <c r="M158" i="17"/>
  <c r="M126" i="17"/>
  <c r="M299" i="17"/>
  <c r="M267" i="17"/>
  <c r="M207" i="17"/>
  <c r="M575" i="17"/>
  <c r="M590" i="17"/>
  <c r="M535" i="17"/>
  <c r="M505" i="17"/>
  <c r="M473" i="17"/>
  <c r="M441" i="17"/>
  <c r="M389" i="17"/>
  <c r="M357" i="17"/>
  <c r="N623" i="17"/>
  <c r="M61" i="17"/>
  <c r="M29" i="17"/>
  <c r="M102" i="17"/>
  <c r="M86" i="17"/>
  <c r="M70" i="17"/>
  <c r="M54" i="17"/>
  <c r="M38" i="17"/>
  <c r="M22" i="17"/>
  <c r="M135" i="17"/>
  <c r="M133" i="17"/>
  <c r="M623" i="17"/>
  <c r="M87" i="17"/>
  <c r="M55" i="17"/>
  <c r="M23" i="17"/>
  <c r="M111" i="17"/>
  <c r="M108" i="17"/>
  <c r="M495" i="17"/>
  <c r="M35" i="17"/>
  <c r="M411" i="17"/>
  <c r="M143" i="17"/>
  <c r="M511" i="17"/>
  <c r="M169" i="17"/>
  <c r="M65" i="17"/>
  <c r="M72" i="17"/>
  <c r="M16" i="17"/>
  <c r="M91" i="17"/>
  <c r="M371" i="17"/>
  <c r="M503" i="17"/>
  <c r="M185" i="17"/>
  <c r="M393" i="17"/>
  <c r="M523" i="17"/>
  <c r="M583" i="17"/>
  <c r="M303" i="17"/>
  <c r="M210" i="17"/>
  <c r="M290" i="17"/>
  <c r="M364" i="17"/>
  <c r="M444" i="17"/>
  <c r="M518" i="17"/>
  <c r="M602" i="17"/>
  <c r="M253" i="17"/>
  <c r="M128" i="17"/>
  <c r="M296" i="17"/>
  <c r="M354" i="17"/>
  <c r="M514" i="17"/>
  <c r="M506" i="17"/>
  <c r="M426" i="17"/>
  <c r="M330" i="17"/>
  <c r="M272" i="17"/>
  <c r="M176" i="17"/>
  <c r="M124" i="17"/>
  <c r="M289" i="17"/>
  <c r="M241" i="17"/>
  <c r="M201" i="17"/>
  <c r="M593" i="17"/>
  <c r="M545" i="17"/>
  <c r="M598" i="17"/>
  <c r="M544" i="17"/>
  <c r="M480" i="17"/>
  <c r="M432" i="17"/>
  <c r="M392" i="17"/>
  <c r="M352" i="17"/>
  <c r="M278" i="17"/>
  <c r="M238" i="17"/>
  <c r="M198" i="17"/>
  <c r="M150" i="17"/>
  <c r="M110" i="17"/>
  <c r="M275" i="17"/>
  <c r="M526" i="17"/>
  <c r="M527" i="17"/>
  <c r="M489" i="17"/>
  <c r="M449" i="17"/>
  <c r="M397" i="17"/>
  <c r="M349" i="17"/>
  <c r="M89" i="17"/>
  <c r="M37" i="17"/>
  <c r="M106" i="17"/>
  <c r="M82" i="17"/>
  <c r="M62" i="17"/>
  <c r="M42" i="17"/>
  <c r="M18" i="17"/>
  <c r="M167" i="17"/>
  <c r="M77" i="17"/>
  <c r="M79" i="17"/>
  <c r="M39" i="17"/>
  <c r="M115" i="17"/>
  <c r="M183" i="17"/>
  <c r="M181" i="17"/>
  <c r="M343" i="17"/>
  <c r="M375" i="17"/>
  <c r="M407" i="17"/>
  <c r="M427" i="17"/>
  <c r="M459" i="17"/>
  <c r="M491" i="17"/>
  <c r="M521" i="17"/>
  <c r="M562" i="17"/>
  <c r="M536" i="17"/>
  <c r="M547" i="17"/>
  <c r="M243" i="17"/>
  <c r="M129" i="17"/>
  <c r="M193" i="17"/>
  <c r="M317" i="17"/>
  <c r="M369" i="17"/>
  <c r="M421" i="17"/>
  <c r="M485" i="17"/>
  <c r="M550" i="17"/>
  <c r="M231" i="17"/>
  <c r="M311" i="17"/>
  <c r="M170" i="17"/>
  <c r="M234" i="17"/>
  <c r="M298" i="17"/>
  <c r="M324" i="17"/>
  <c r="M388" i="17"/>
  <c r="M452" i="17"/>
  <c r="M516" i="17"/>
  <c r="M565" i="17"/>
  <c r="M261" i="17"/>
  <c r="M120" i="17"/>
  <c r="M216" i="17"/>
  <c r="M370" i="17"/>
  <c r="M498" i="17"/>
  <c r="M164" i="17"/>
  <c r="M196" i="17"/>
  <c r="M228" i="17"/>
  <c r="M260" i="17"/>
  <c r="M292" i="17"/>
  <c r="M318" i="17"/>
  <c r="M350" i="17"/>
  <c r="M382" i="17"/>
  <c r="M414" i="17"/>
  <c r="M446" i="17"/>
  <c r="M478" i="17"/>
  <c r="M510" i="17"/>
  <c r="M588" i="17"/>
  <c r="M601" i="17"/>
  <c r="M44" i="17"/>
  <c r="M431" i="17"/>
  <c r="M622" i="17"/>
  <c r="M100" i="17"/>
  <c r="N626" i="17"/>
  <c r="M157" i="17"/>
  <c r="M331" i="17"/>
  <c r="M524" i="17"/>
  <c r="M49" i="17"/>
  <c r="M56" i="17"/>
  <c r="M127" i="17"/>
  <c r="M59" i="17"/>
  <c r="M139" i="17"/>
  <c r="M387" i="17"/>
  <c r="M423" i="17"/>
  <c r="M533" i="17"/>
  <c r="M203" i="17"/>
  <c r="M409" i="17"/>
  <c r="M445" i="17"/>
  <c r="M539" i="17"/>
  <c r="M146" i="17"/>
  <c r="M226" i="17"/>
  <c r="M306" i="17"/>
  <c r="M380" i="17"/>
  <c r="M460" i="17"/>
  <c r="M269" i="17"/>
  <c r="M168" i="17"/>
  <c r="M386" i="17"/>
  <c r="M548" i="17"/>
  <c r="M490" i="17"/>
  <c r="M394" i="17"/>
  <c r="M240" i="17"/>
  <c r="M160" i="17"/>
  <c r="M116" i="17"/>
  <c r="M273" i="17"/>
  <c r="M233" i="17"/>
  <c r="M577" i="17"/>
  <c r="M611" i="17"/>
  <c r="M512" i="17"/>
  <c r="M464" i="17"/>
  <c r="M424" i="17"/>
  <c r="M384" i="17"/>
  <c r="M336" i="17"/>
  <c r="M310" i="17"/>
  <c r="M270" i="17"/>
  <c r="M230" i="17"/>
  <c r="M182" i="17"/>
  <c r="M142" i="17"/>
  <c r="M307" i="17"/>
  <c r="M255" i="17"/>
  <c r="M574" i="17"/>
  <c r="M519" i="17"/>
  <c r="M604" i="17"/>
  <c r="M556" i="17"/>
  <c r="M486" i="17"/>
  <c r="M438" i="17"/>
  <c r="M398" i="17"/>
  <c r="M358" i="17"/>
  <c r="M284" i="17"/>
  <c r="M244" i="17"/>
  <c r="M204" i="17"/>
  <c r="M156" i="17"/>
  <c r="M338" i="17"/>
  <c r="M280" i="17"/>
  <c r="M136" i="17"/>
  <c r="M245" i="17"/>
  <c r="M610" i="17"/>
  <c r="M436" i="17"/>
  <c r="M356" i="17"/>
  <c r="M282" i="17"/>
  <c r="M202" i="17"/>
  <c r="M122" i="17"/>
  <c r="M530" i="17"/>
  <c r="M501" i="17"/>
  <c r="M353" i="17"/>
  <c r="M145" i="17"/>
  <c r="M227" i="17"/>
  <c r="M579" i="17"/>
  <c r="M546" i="17"/>
  <c r="M507" i="17"/>
  <c r="M467" i="17"/>
  <c r="M419" i="17"/>
  <c r="M415" i="17"/>
  <c r="M367" i="17"/>
  <c r="M327" i="17"/>
  <c r="M197" i="17"/>
  <c r="M163" i="17"/>
  <c r="M15" i="17"/>
  <c r="M71" i="17"/>
  <c r="M93" i="17"/>
  <c r="M119" i="17"/>
  <c r="M34" i="17"/>
  <c r="M66" i="17"/>
  <c r="M94" i="17"/>
  <c r="M53" i="17"/>
  <c r="M341" i="17"/>
  <c r="M405" i="17"/>
  <c r="M425" i="17"/>
  <c r="M481" i="17"/>
  <c r="M558" i="17"/>
  <c r="M591" i="17"/>
  <c r="M291" i="17"/>
  <c r="M174" i="17"/>
  <c r="M262" i="17"/>
  <c r="M328" i="17"/>
  <c r="M416" i="17"/>
  <c r="M496" i="17"/>
  <c r="M592" i="17"/>
  <c r="M569" i="17"/>
  <c r="M225" i="17"/>
  <c r="M305" i="17"/>
  <c r="M224" i="17"/>
  <c r="M458" i="17"/>
  <c r="M613" i="17"/>
  <c r="M450" i="17"/>
  <c r="M200" i="17"/>
  <c r="M205" i="17"/>
  <c r="M396" i="17"/>
  <c r="M162" i="17"/>
  <c r="M522" i="17"/>
  <c r="M329" i="17"/>
  <c r="M235" i="17"/>
  <c r="M439" i="17"/>
  <c r="M27" i="17"/>
  <c r="M48" i="17"/>
  <c r="M68" i="17"/>
  <c r="M463" i="17"/>
  <c r="M570" i="17"/>
  <c r="M67" i="17"/>
  <c r="M596" i="17"/>
  <c r="M470" i="17"/>
  <c r="M430" i="17"/>
  <c r="M390" i="17"/>
  <c r="M342" i="17"/>
  <c r="M276" i="17"/>
  <c r="M236" i="17"/>
  <c r="M188" i="17"/>
  <c r="M605" i="17"/>
  <c r="M564" i="17"/>
  <c r="M466" i="17"/>
  <c r="M248" i="17"/>
  <c r="M309" i="17"/>
  <c r="M229" i="17"/>
  <c r="M581" i="17"/>
  <c r="M500" i="17"/>
  <c r="M420" i="17"/>
  <c r="M340" i="17"/>
  <c r="M266" i="17"/>
  <c r="M186" i="17"/>
  <c r="M295" i="17"/>
  <c r="M582" i="17"/>
  <c r="M469" i="17"/>
  <c r="M337" i="17"/>
  <c r="M113" i="17"/>
  <c r="M211" i="17"/>
  <c r="M563" i="17"/>
  <c r="M528" i="17"/>
  <c r="M537" i="17"/>
  <c r="M499" i="17"/>
  <c r="M451" i="17"/>
  <c r="M399" i="17"/>
  <c r="M359" i="17"/>
  <c r="M319" i="17"/>
  <c r="M165" i="17"/>
  <c r="M147" i="17"/>
  <c r="M31" i="17"/>
  <c r="M95" i="17"/>
  <c r="M109" i="17"/>
  <c r="M14" i="17"/>
  <c r="M46" i="17"/>
  <c r="M74" i="17"/>
  <c r="M98" i="17"/>
  <c r="M13" i="17"/>
  <c r="M73" i="17"/>
  <c r="M365" i="17"/>
  <c r="M413" i="17"/>
  <c r="M433" i="17"/>
  <c r="M497" i="17"/>
  <c r="M534" i="17"/>
  <c r="M223" i="17"/>
  <c r="M118" i="17"/>
  <c r="M206" i="17"/>
  <c r="M294" i="17"/>
  <c r="M360" i="17"/>
  <c r="M448" i="17"/>
  <c r="M606" i="17"/>
  <c r="M257" i="17"/>
  <c r="M132" i="17"/>
  <c r="M288" i="17"/>
  <c r="M362" i="17"/>
  <c r="M322" i="17"/>
  <c r="M112" i="17"/>
  <c r="M573" i="17"/>
  <c r="M508" i="17"/>
  <c r="M332" i="17"/>
  <c r="M274" i="17"/>
  <c r="M287" i="17"/>
  <c r="M477" i="17"/>
  <c r="M355" i="17"/>
  <c r="M141" i="17"/>
  <c r="M69" i="17"/>
  <c r="M88" i="17"/>
  <c r="M195" i="17"/>
  <c r="M19" i="17"/>
  <c r="M25" i="17"/>
  <c r="M347" i="17"/>
  <c r="M175" i="17"/>
  <c r="M379" i="17"/>
  <c r="M609" i="17"/>
  <c r="M502" i="17"/>
  <c r="M462" i="17"/>
  <c r="M422" i="17"/>
  <c r="M374" i="17"/>
  <c r="M334" i="17"/>
  <c r="M308" i="17"/>
  <c r="M268" i="17"/>
  <c r="M220" i="17"/>
  <c r="M180" i="17"/>
  <c r="M608" i="17"/>
  <c r="M434" i="17"/>
  <c r="M184" i="17"/>
  <c r="M293" i="17"/>
  <c r="M213" i="17"/>
  <c r="M549" i="17"/>
  <c r="M568" i="17"/>
  <c r="M484" i="17"/>
  <c r="M404" i="17"/>
  <c r="M250" i="17"/>
  <c r="M154" i="17"/>
  <c r="M279" i="17"/>
  <c r="M567" i="17"/>
  <c r="M531" i="17"/>
  <c r="M453" i="17"/>
  <c r="M401" i="17"/>
  <c r="M325" i="17"/>
  <c r="M177" i="17"/>
  <c r="M187" i="17"/>
  <c r="M594" i="17"/>
  <c r="M529" i="17"/>
  <c r="M483" i="17"/>
  <c r="M443" i="17"/>
  <c r="M391" i="17"/>
  <c r="M351" i="17"/>
  <c r="M149" i="17"/>
  <c r="M131" i="17"/>
  <c r="M47" i="17"/>
  <c r="M103" i="17"/>
  <c r="M191" i="17"/>
  <c r="M26" i="17"/>
  <c r="M50" i="17"/>
  <c r="M78" i="17"/>
  <c r="M21" i="17"/>
  <c r="M105" i="17"/>
  <c r="M373" i="17"/>
  <c r="M457" i="17"/>
  <c r="M513" i="17"/>
  <c r="M542" i="17"/>
  <c r="M239" i="17"/>
  <c r="M134" i="17"/>
  <c r="M214" i="17"/>
  <c r="M302" i="17"/>
  <c r="M368" i="17"/>
  <c r="M456" i="17"/>
  <c r="M603" i="17"/>
  <c r="M265" i="17"/>
  <c r="M148" i="17"/>
  <c r="M304" i="17"/>
  <c r="M378" i="17"/>
  <c r="M301" i="17"/>
  <c r="M557" i="17"/>
  <c r="M552" i="17"/>
  <c r="M492" i="17"/>
  <c r="M316" i="17"/>
  <c r="M242" i="17"/>
  <c r="M271" i="17"/>
  <c r="M461" i="17"/>
  <c r="M586" i="17"/>
  <c r="M171" i="17"/>
  <c r="M101" i="17"/>
  <c r="M104" i="17"/>
  <c r="M587" i="17"/>
  <c r="M395" i="17"/>
  <c r="M51" i="17"/>
  <c r="M57" i="17"/>
  <c r="M28" i="17"/>
  <c r="M315" i="17"/>
  <c r="M628" i="17"/>
  <c r="F627" i="17"/>
  <c r="E627" i="17"/>
  <c r="N627" i="17"/>
  <c r="M627" i="17"/>
  <c r="J627" i="17"/>
  <c r="D627" i="17"/>
  <c r="L627" i="17"/>
  <c r="K627" i="17"/>
  <c r="I627" i="17"/>
  <c r="T627" i="17"/>
  <c r="S627" i="17"/>
  <c r="C627" i="17"/>
  <c r="G627" i="17"/>
  <c r="H624" i="17"/>
  <c r="G624" i="17"/>
  <c r="H625" i="17"/>
  <c r="G625" i="17"/>
  <c r="W91" i="27" l="1"/>
  <c r="V131" i="17"/>
  <c r="V389" i="17"/>
  <c r="W389" i="17" s="1"/>
  <c r="V567" i="17"/>
  <c r="W567" i="17" s="1"/>
  <c r="W34" i="27"/>
  <c r="W89" i="27"/>
  <c r="V584" i="17"/>
  <c r="W584" i="17" s="1"/>
  <c r="V609" i="17"/>
  <c r="W609" i="17" s="1"/>
  <c r="V290" i="17"/>
  <c r="W290" i="17" s="1"/>
  <c r="V549" i="17"/>
  <c r="W549" i="17" s="1"/>
  <c r="V341" i="17"/>
  <c r="W341" i="17" s="1"/>
  <c r="AC301" i="17"/>
  <c r="X41" i="27"/>
  <c r="X20" i="27"/>
  <c r="V43" i="17"/>
  <c r="W43" i="17" s="1"/>
  <c r="W44" i="27"/>
  <c r="V84" i="17"/>
  <c r="W84" i="17" s="1"/>
  <c r="V599" i="17"/>
  <c r="W599" i="17" s="1"/>
  <c r="V220" i="17"/>
  <c r="W220" i="17" s="1"/>
  <c r="V324" i="17"/>
  <c r="W324" i="17" s="1"/>
  <c r="V464" i="17"/>
  <c r="W464" i="17" s="1"/>
  <c r="V605" i="17"/>
  <c r="W605" i="17" s="1"/>
  <c r="V589" i="17"/>
  <c r="W589" i="17" s="1"/>
  <c r="V403" i="17"/>
  <c r="W403" i="17" s="1"/>
  <c r="V32" i="17"/>
  <c r="W32" i="17" s="1"/>
  <c r="Q625" i="17"/>
  <c r="V516" i="17"/>
  <c r="W516" i="17" s="1"/>
  <c r="V427" i="17"/>
  <c r="W427" i="17" s="1"/>
  <c r="V85" i="17"/>
  <c r="W85" i="17" s="1"/>
  <c r="V594" i="17"/>
  <c r="W594" i="17" s="1"/>
  <c r="V338" i="17"/>
  <c r="W338" i="17" s="1"/>
  <c r="V213" i="17"/>
  <c r="W213" i="17" s="1"/>
  <c r="V88" i="17"/>
  <c r="W88" i="17" s="1"/>
  <c r="V372" i="17"/>
  <c r="W372" i="17" s="1"/>
  <c r="V162" i="17"/>
  <c r="W162" i="17" s="1"/>
  <c r="V546" i="17"/>
  <c r="W546" i="17" s="1"/>
  <c r="V485" i="17"/>
  <c r="W485" i="17" s="1"/>
  <c r="V40" i="17"/>
  <c r="W40" i="17" s="1"/>
  <c r="X18" i="27"/>
  <c r="X90" i="27"/>
  <c r="W40" i="27"/>
  <c r="X23" i="27"/>
  <c r="X31" i="27"/>
  <c r="W43" i="27"/>
  <c r="X85" i="27"/>
  <c r="W48" i="27"/>
  <c r="X47" i="27"/>
  <c r="W84" i="27"/>
  <c r="X36" i="27"/>
  <c r="X46" i="27"/>
  <c r="X94" i="27"/>
  <c r="V556" i="17"/>
  <c r="W556" i="17" s="1"/>
  <c r="V559" i="17"/>
  <c r="W559" i="17" s="1"/>
  <c r="AC255" i="17"/>
  <c r="V266" i="17"/>
  <c r="W266" i="17" s="1"/>
  <c r="V57" i="17"/>
  <c r="W57" i="17" s="1"/>
  <c r="X21" i="27"/>
  <c r="V565" i="17"/>
  <c r="W565" i="17" s="1"/>
  <c r="V114" i="17"/>
  <c r="W114" i="17" s="1"/>
  <c r="V63" i="17"/>
  <c r="W63" i="17" s="1"/>
  <c r="X95" i="27"/>
  <c r="X35" i="27"/>
  <c r="V420" i="17"/>
  <c r="W420" i="17" s="1"/>
  <c r="V561" i="17"/>
  <c r="W561" i="17" s="1"/>
  <c r="V294" i="17"/>
  <c r="W294" i="17" s="1"/>
  <c r="V469" i="17"/>
  <c r="W469" i="17" s="1"/>
  <c r="AC325" i="17"/>
  <c r="V50" i="17"/>
  <c r="W50" i="17" s="1"/>
  <c r="V484" i="17"/>
  <c r="W484" i="17" s="1"/>
  <c r="V560" i="17"/>
  <c r="W560" i="17" s="1"/>
  <c r="V574" i="17"/>
  <c r="W574" i="17" s="1"/>
  <c r="V250" i="17"/>
  <c r="W250" i="17" s="1"/>
  <c r="V571" i="17"/>
  <c r="W571" i="17" s="1"/>
  <c r="X24" i="27"/>
  <c r="W16" i="27"/>
  <c r="W25" i="27"/>
  <c r="X26" i="27"/>
  <c r="X32" i="27"/>
  <c r="U578" i="17"/>
  <c r="Y578" i="17" s="1"/>
  <c r="V463" i="17"/>
  <c r="W463" i="17" s="1"/>
  <c r="W80" i="27"/>
  <c r="X81" i="27"/>
  <c r="W37" i="27"/>
  <c r="W49" i="27"/>
  <c r="X19" i="27"/>
  <c r="W83" i="27"/>
  <c r="X86" i="27"/>
  <c r="AA37" i="27"/>
  <c r="AB37" i="27"/>
  <c r="AA25" i="27"/>
  <c r="AB25" i="27"/>
  <c r="AB24" i="27"/>
  <c r="AA24" i="27"/>
  <c r="AB26" i="27"/>
  <c r="AA26" i="27"/>
  <c r="AB32" i="27"/>
  <c r="AA32" i="27"/>
  <c r="AB16" i="27"/>
  <c r="AA16" i="27"/>
  <c r="AB19" i="27"/>
  <c r="AA19" i="27"/>
  <c r="AB86" i="27"/>
  <c r="AA86" i="27"/>
  <c r="AA81" i="27"/>
  <c r="AB81" i="27"/>
  <c r="AB84" i="27"/>
  <c r="AA84" i="27"/>
  <c r="AB80" i="27"/>
  <c r="AA80" i="27"/>
  <c r="AB44" i="27"/>
  <c r="AA44" i="27"/>
  <c r="AA49" i="27"/>
  <c r="AB49" i="27"/>
  <c r="AA41" i="27"/>
  <c r="AB41" i="27"/>
  <c r="AB91" i="27"/>
  <c r="AA91" i="27"/>
  <c r="AB20" i="27"/>
  <c r="AA20" i="27"/>
  <c r="AB83" i="27"/>
  <c r="AA83" i="27"/>
  <c r="AA61" i="27"/>
  <c r="AB61" i="27"/>
  <c r="AA17" i="27"/>
  <c r="AB17" i="27"/>
  <c r="AA57" i="27"/>
  <c r="AB57" i="27"/>
  <c r="AB51" i="27"/>
  <c r="AA51" i="27"/>
  <c r="AA65" i="27"/>
  <c r="AB65" i="27"/>
  <c r="AB68" i="27"/>
  <c r="AA68" i="27"/>
  <c r="AB95" i="27"/>
  <c r="AA95" i="27"/>
  <c r="AB35" i="27"/>
  <c r="AA35" i="27"/>
  <c r="AB46" i="27"/>
  <c r="AA46" i="27"/>
  <c r="AB31" i="27"/>
  <c r="AA31" i="27"/>
  <c r="AB90" i="27"/>
  <c r="AA90" i="27"/>
  <c r="AB36" i="27"/>
  <c r="AA36" i="27"/>
  <c r="AB94" i="27"/>
  <c r="AA94" i="27"/>
  <c r="AA85" i="27"/>
  <c r="AB85" i="27"/>
  <c r="AA21" i="27"/>
  <c r="AB21" i="27"/>
  <c r="AB23" i="27"/>
  <c r="AA23" i="27"/>
  <c r="AB40" i="27"/>
  <c r="AA40" i="27"/>
  <c r="AB34" i="27"/>
  <c r="AA34" i="27"/>
  <c r="AB43" i="27"/>
  <c r="AA43" i="27"/>
  <c r="AB47" i="27"/>
  <c r="AA47" i="27"/>
  <c r="AB48" i="27"/>
  <c r="AA48" i="27"/>
  <c r="AA89" i="27"/>
  <c r="AB89" i="27"/>
  <c r="AB18" i="27"/>
  <c r="AA18" i="27"/>
  <c r="V96" i="27"/>
  <c r="W96" i="27" s="1"/>
  <c r="Z96" i="27"/>
  <c r="V79" i="27"/>
  <c r="X79" i="27" s="1"/>
  <c r="Z79" i="27"/>
  <c r="V55" i="27"/>
  <c r="X55" i="27" s="1"/>
  <c r="Z55" i="27"/>
  <c r="V72" i="27"/>
  <c r="X72" i="27" s="1"/>
  <c r="Z72" i="27"/>
  <c r="V29" i="27"/>
  <c r="W29" i="27" s="1"/>
  <c r="Z29" i="27"/>
  <c r="V64" i="27"/>
  <c r="W64" i="27" s="1"/>
  <c r="Z64" i="27"/>
  <c r="V60" i="27"/>
  <c r="X60" i="27" s="1"/>
  <c r="Z60" i="27"/>
  <c r="V28" i="27"/>
  <c r="X28" i="27" s="1"/>
  <c r="Z28" i="27"/>
  <c r="V66" i="27"/>
  <c r="X66" i="27" s="1"/>
  <c r="Z66" i="27"/>
  <c r="V30" i="27"/>
  <c r="X30" i="27" s="1"/>
  <c r="Z30" i="27"/>
  <c r="V92" i="27"/>
  <c r="W92" i="27" s="1"/>
  <c r="Z92" i="27"/>
  <c r="V69" i="27"/>
  <c r="W69" i="27" s="1"/>
  <c r="Z69" i="27"/>
  <c r="V76" i="27"/>
  <c r="W76" i="27" s="1"/>
  <c r="Z76" i="27"/>
  <c r="V78" i="27"/>
  <c r="W78" i="27" s="1"/>
  <c r="Z78" i="27"/>
  <c r="V88" i="27"/>
  <c r="X88" i="27" s="1"/>
  <c r="Z88" i="27"/>
  <c r="V45" i="27"/>
  <c r="W45" i="27" s="1"/>
  <c r="Z45" i="27"/>
  <c r="V93" i="27"/>
  <c r="X93" i="27" s="1"/>
  <c r="Z93" i="27"/>
  <c r="V59" i="27"/>
  <c r="W59" i="27" s="1"/>
  <c r="Z59" i="27"/>
  <c r="V39" i="27"/>
  <c r="X39" i="27" s="1"/>
  <c r="Z39" i="27"/>
  <c r="V27" i="27"/>
  <c r="X27" i="27" s="1"/>
  <c r="Z27" i="27"/>
  <c r="V70" i="27"/>
  <c r="X70" i="27" s="1"/>
  <c r="Z70" i="27"/>
  <c r="V53" i="27"/>
  <c r="W53" i="27" s="1"/>
  <c r="Z53" i="27"/>
  <c r="V75" i="27"/>
  <c r="W75" i="27" s="1"/>
  <c r="Z75" i="27"/>
  <c r="V77" i="27"/>
  <c r="X77" i="27" s="1"/>
  <c r="Z77" i="27"/>
  <c r="V52" i="27"/>
  <c r="W52" i="27" s="1"/>
  <c r="Z52" i="27"/>
  <c r="V56" i="27"/>
  <c r="W56" i="27" s="1"/>
  <c r="Z56" i="27"/>
  <c r="V71" i="27"/>
  <c r="W71" i="27" s="1"/>
  <c r="Z71" i="27"/>
  <c r="V63" i="27"/>
  <c r="W63" i="27" s="1"/>
  <c r="Z63" i="27"/>
  <c r="V33" i="27"/>
  <c r="W33" i="27" s="1"/>
  <c r="Z33" i="27"/>
  <c r="V58" i="27"/>
  <c r="X58" i="27" s="1"/>
  <c r="Z58" i="27"/>
  <c r="V14" i="27"/>
  <c r="X14" i="27" s="1"/>
  <c r="Z14" i="27"/>
  <c r="V15" i="27"/>
  <c r="X15" i="27" s="1"/>
  <c r="Z15" i="27"/>
  <c r="V42" i="27"/>
  <c r="W42" i="27" s="1"/>
  <c r="Z42" i="27"/>
  <c r="V97" i="27"/>
  <c r="X97" i="27" s="1"/>
  <c r="Z97" i="27"/>
  <c r="V50" i="27"/>
  <c r="W50" i="27" s="1"/>
  <c r="Z50" i="27"/>
  <c r="V74" i="27"/>
  <c r="W74" i="27" s="1"/>
  <c r="Z74" i="27"/>
  <c r="V73" i="27"/>
  <c r="X73" i="27" s="1"/>
  <c r="Z73" i="27"/>
  <c r="V54" i="27"/>
  <c r="W54" i="27" s="1"/>
  <c r="Z54" i="27"/>
  <c r="V82" i="27"/>
  <c r="X82" i="27" s="1"/>
  <c r="Z82" i="27"/>
  <c r="V38" i="27"/>
  <c r="W38" i="27" s="1"/>
  <c r="Z38" i="27"/>
  <c r="V62" i="27"/>
  <c r="X62" i="27" s="1"/>
  <c r="Z62" i="27"/>
  <c r="V67" i="27"/>
  <c r="X67" i="27" s="1"/>
  <c r="Z67" i="27"/>
  <c r="V87" i="27"/>
  <c r="W87" i="27" s="1"/>
  <c r="Z87" i="27"/>
  <c r="V22" i="27"/>
  <c r="X22" i="27" s="1"/>
  <c r="Z22" i="27"/>
  <c r="X13" i="27"/>
  <c r="AE13" i="27" s="1"/>
  <c r="Z13" i="27"/>
  <c r="V376" i="17"/>
  <c r="W376" i="17" s="1"/>
  <c r="V363" i="17"/>
  <c r="W363" i="17" s="1"/>
  <c r="V246" i="17"/>
  <c r="W246" i="17" s="1"/>
  <c r="V425" i="17"/>
  <c r="W425" i="17" s="1"/>
  <c r="V297" i="17"/>
  <c r="W297" i="17" s="1"/>
  <c r="V117" i="17"/>
  <c r="W117" i="17" s="1"/>
  <c r="V53" i="17"/>
  <c r="W53" i="17" s="1"/>
  <c r="V444" i="17"/>
  <c r="W444" i="17" s="1"/>
  <c r="V119" i="17"/>
  <c r="W119" i="17" s="1"/>
  <c r="V322" i="17"/>
  <c r="W322" i="17" s="1"/>
  <c r="V97" i="17"/>
  <c r="W97" i="17" s="1"/>
  <c r="AC136" i="17"/>
  <c r="V374" i="17"/>
  <c r="W374" i="17" s="1"/>
  <c r="U101" i="17"/>
  <c r="Y101" i="17" s="1"/>
  <c r="AB211" i="17"/>
  <c r="U305" i="17"/>
  <c r="Y305" i="17" s="1"/>
  <c r="U317" i="17"/>
  <c r="Y317" i="17" s="1"/>
  <c r="U137" i="17"/>
  <c r="Y137" i="17" s="1"/>
  <c r="AB525" i="17"/>
  <c r="V415" i="17"/>
  <c r="W415" i="17" s="1"/>
  <c r="AC602" i="17"/>
  <c r="V490" i="17"/>
  <c r="W490" i="17" s="1"/>
  <c r="V137" i="17"/>
  <c r="W137" i="17" s="1"/>
  <c r="V121" i="17"/>
  <c r="W121" i="17" s="1"/>
  <c r="V23" i="17"/>
  <c r="W23" i="17" s="1"/>
  <c r="U439" i="17"/>
  <c r="Y439" i="17" s="1"/>
  <c r="U546" i="17"/>
  <c r="Y546" i="17" s="1"/>
  <c r="U150" i="17"/>
  <c r="Y150" i="17" s="1"/>
  <c r="U590" i="17"/>
  <c r="Y590" i="17" s="1"/>
  <c r="U376" i="17"/>
  <c r="Y376" i="17" s="1"/>
  <c r="U504" i="17"/>
  <c r="Y504" i="17" s="1"/>
  <c r="U123" i="17"/>
  <c r="Y123" i="17" s="1"/>
  <c r="U308" i="17"/>
  <c r="Y308" i="17" s="1"/>
  <c r="V440" i="17"/>
  <c r="W440" i="17" s="1"/>
  <c r="V452" i="17"/>
  <c r="W452" i="17" s="1"/>
  <c r="V46" i="17"/>
  <c r="W46" i="17" s="1"/>
  <c r="V555" i="17"/>
  <c r="W555" i="17" s="1"/>
  <c r="V588" i="17"/>
  <c r="W588" i="17" s="1"/>
  <c r="V280" i="17"/>
  <c r="W280" i="17" s="1"/>
  <c r="V304" i="17"/>
  <c r="W304" i="17" s="1"/>
  <c r="V483" i="17"/>
  <c r="W483" i="17" s="1"/>
  <c r="V387" i="17"/>
  <c r="W387" i="17" s="1"/>
  <c r="V227" i="17"/>
  <c r="W227" i="17" s="1"/>
  <c r="V106" i="17"/>
  <c r="W106" i="17" s="1"/>
  <c r="V446" i="17"/>
  <c r="W446" i="17" s="1"/>
  <c r="V254" i="17"/>
  <c r="W254" i="17" s="1"/>
  <c r="V513" i="17"/>
  <c r="W513" i="17" s="1"/>
  <c r="V385" i="17"/>
  <c r="W385" i="17" s="1"/>
  <c r="V20" i="17"/>
  <c r="W20" i="17" s="1"/>
  <c r="U103" i="17"/>
  <c r="Y103" i="17" s="1"/>
  <c r="AB534" i="17"/>
  <c r="U229" i="17"/>
  <c r="Y229" i="17" s="1"/>
  <c r="U496" i="17"/>
  <c r="Y496" i="17" s="1"/>
  <c r="AB119" i="17"/>
  <c r="AB550" i="17"/>
  <c r="U167" i="17"/>
  <c r="Y167" i="17" s="1"/>
  <c r="AB538" i="17"/>
  <c r="U455" i="17"/>
  <c r="Y455" i="17" s="1"/>
  <c r="AB372" i="17"/>
  <c r="U381" i="17"/>
  <c r="Y381" i="17" s="1"/>
  <c r="AC328" i="17"/>
  <c r="V585" i="17"/>
  <c r="W585" i="17" s="1"/>
  <c r="AC477" i="17"/>
  <c r="V221" i="17"/>
  <c r="W221" i="17" s="1"/>
  <c r="V422" i="17"/>
  <c r="W422" i="17" s="1"/>
  <c r="V361" i="17"/>
  <c r="W361" i="17" s="1"/>
  <c r="V101" i="17"/>
  <c r="W101" i="17" s="1"/>
  <c r="V83" i="17"/>
  <c r="W83" i="17" s="1"/>
  <c r="V19" i="17"/>
  <c r="W19" i="17" s="1"/>
  <c r="V383" i="17"/>
  <c r="W383" i="17" s="1"/>
  <c r="V367" i="17"/>
  <c r="W367" i="17" s="1"/>
  <c r="AC426" i="17"/>
  <c r="V429" i="17"/>
  <c r="W429" i="17" s="1"/>
  <c r="U311" i="17"/>
  <c r="Y311" i="17" s="1"/>
  <c r="V360" i="17"/>
  <c r="W360" i="17" s="1"/>
  <c r="V519" i="17"/>
  <c r="W519" i="17" s="1"/>
  <c r="V307" i="17"/>
  <c r="W307" i="17" s="1"/>
  <c r="V542" i="17"/>
  <c r="W542" i="17" s="1"/>
  <c r="V238" i="17"/>
  <c r="W238" i="17" s="1"/>
  <c r="V305" i="17"/>
  <c r="W305" i="17" s="1"/>
  <c r="V225" i="17"/>
  <c r="W225" i="17" s="1"/>
  <c r="V61" i="17"/>
  <c r="W61" i="17" s="1"/>
  <c r="V75" i="17"/>
  <c r="W75" i="17" s="1"/>
  <c r="AC321" i="17"/>
  <c r="U148" i="17"/>
  <c r="Y148" i="17" s="1"/>
  <c r="U279" i="17"/>
  <c r="Y279" i="17" s="1"/>
  <c r="U46" i="17"/>
  <c r="Y46" i="17" s="1"/>
  <c r="AB31" i="17"/>
  <c r="U309" i="17"/>
  <c r="Y309" i="17" s="1"/>
  <c r="U245" i="17"/>
  <c r="Y245" i="17" s="1"/>
  <c r="U384" i="17"/>
  <c r="Y384" i="17" s="1"/>
  <c r="U431" i="17"/>
  <c r="Y431" i="17" s="1"/>
  <c r="U510" i="17"/>
  <c r="Y510" i="17" s="1"/>
  <c r="U382" i="17"/>
  <c r="Y382" i="17" s="1"/>
  <c r="U498" i="17"/>
  <c r="Y498" i="17" s="1"/>
  <c r="U106" i="17"/>
  <c r="Y106" i="17" s="1"/>
  <c r="U397" i="17"/>
  <c r="Y397" i="17" s="1"/>
  <c r="U598" i="17"/>
  <c r="Y598" i="17" s="1"/>
  <c r="U253" i="17"/>
  <c r="Y253" i="17" s="1"/>
  <c r="U143" i="17"/>
  <c r="Y143" i="17" s="1"/>
  <c r="U473" i="17"/>
  <c r="Y473" i="17" s="1"/>
  <c r="U189" i="17"/>
  <c r="Y189" i="17" s="1"/>
  <c r="U43" i="17"/>
  <c r="Y43" i="17" s="1"/>
  <c r="U64" i="17"/>
  <c r="Y64" i="17" s="1"/>
  <c r="U199" i="17"/>
  <c r="Y199" i="17" s="1"/>
  <c r="U232" i="17"/>
  <c r="Y232" i="17" s="1"/>
  <c r="I625" i="17"/>
  <c r="L625" i="17"/>
  <c r="F625" i="17"/>
  <c r="M625" i="17"/>
  <c r="U185" i="17"/>
  <c r="Y185" i="17" s="1"/>
  <c r="U479" i="17"/>
  <c r="Y479" i="17" s="1"/>
  <c r="V344" i="17"/>
  <c r="W344" i="17" s="1"/>
  <c r="V175" i="17"/>
  <c r="W175" i="17" s="1"/>
  <c r="V449" i="17"/>
  <c r="W449" i="17" s="1"/>
  <c r="V321" i="17"/>
  <c r="W321" i="17" s="1"/>
  <c r="V139" i="17"/>
  <c r="W139" i="17" s="1"/>
  <c r="V91" i="17"/>
  <c r="W91" i="17" s="1"/>
  <c r="J625" i="17"/>
  <c r="AC394" i="17"/>
  <c r="V202" i="17"/>
  <c r="W202" i="17" s="1"/>
  <c r="V461" i="17"/>
  <c r="W461" i="17" s="1"/>
  <c r="R625" i="17"/>
  <c r="AB484" i="17"/>
  <c r="U83" i="17"/>
  <c r="Y83" i="17" s="1"/>
  <c r="AC572" i="17"/>
  <c r="V62" i="17"/>
  <c r="W62" i="17" s="1"/>
  <c r="V351" i="17"/>
  <c r="W351" i="17" s="1"/>
  <c r="S625" i="17"/>
  <c r="U26" i="17"/>
  <c r="Y26" i="17" s="1"/>
  <c r="AB25" i="17"/>
  <c r="AB405" i="17"/>
  <c r="AB44" i="17"/>
  <c r="U324" i="17"/>
  <c r="Y324" i="17" s="1"/>
  <c r="U37" i="17"/>
  <c r="Y37" i="17" s="1"/>
  <c r="AB65" i="17"/>
  <c r="U111" i="17"/>
  <c r="Y111" i="17" s="1"/>
  <c r="V508" i="17"/>
  <c r="W508" i="17" s="1"/>
  <c r="V504" i="17"/>
  <c r="W504" i="17" s="1"/>
  <c r="V248" i="17"/>
  <c r="W248" i="17" s="1"/>
  <c r="V491" i="17"/>
  <c r="W491" i="17" s="1"/>
  <c r="V299" i="17"/>
  <c r="W299" i="17" s="1"/>
  <c r="V550" i="17"/>
  <c r="W550" i="17" s="1"/>
  <c r="V278" i="17"/>
  <c r="W278" i="17" s="1"/>
  <c r="V489" i="17"/>
  <c r="W489" i="17" s="1"/>
  <c r="V217" i="17"/>
  <c r="W217" i="17" s="1"/>
  <c r="V156" i="17"/>
  <c r="W156" i="17" s="1"/>
  <c r="O625" i="17"/>
  <c r="E625" i="17"/>
  <c r="D625" i="17"/>
  <c r="U395" i="17"/>
  <c r="Y395" i="17" s="1"/>
  <c r="AB347" i="17"/>
  <c r="U409" i="17"/>
  <c r="Y409" i="17" s="1"/>
  <c r="U388" i="17"/>
  <c r="Y388" i="17" s="1"/>
  <c r="U22" i="17"/>
  <c r="Y22" i="17" s="1"/>
  <c r="K625" i="17"/>
  <c r="N625" i="17"/>
  <c r="T625" i="17"/>
  <c r="C625" i="17"/>
  <c r="U191" i="17"/>
  <c r="Y191" i="17" s="1"/>
  <c r="U413" i="17"/>
  <c r="Y413" i="17" s="1"/>
  <c r="U367" i="17"/>
  <c r="Y367" i="17" s="1"/>
  <c r="U122" i="17"/>
  <c r="Y122" i="17" s="1"/>
  <c r="U280" i="17"/>
  <c r="U539" i="17"/>
  <c r="Y539" i="17" s="1"/>
  <c r="AB23" i="17"/>
  <c r="U54" i="17"/>
  <c r="Y54" i="17" s="1"/>
  <c r="U29" i="17"/>
  <c r="Y29" i="17" s="1"/>
  <c r="U84" i="17"/>
  <c r="Y84" i="17" s="1"/>
  <c r="U218" i="17"/>
  <c r="Y218" i="17" s="1"/>
  <c r="U468" i="17"/>
  <c r="Y468" i="17" s="1"/>
  <c r="V188" i="17"/>
  <c r="W188" i="17" s="1"/>
  <c r="V130" i="17"/>
  <c r="W130" i="17" s="1"/>
  <c r="V154" i="17"/>
  <c r="W154" i="17" s="1"/>
  <c r="V601" i="17"/>
  <c r="W601" i="17" s="1"/>
  <c r="V564" i="17"/>
  <c r="W564" i="17" s="1"/>
  <c r="V308" i="17"/>
  <c r="W308" i="17" s="1"/>
  <c r="V512" i="17"/>
  <c r="W512" i="17" s="1"/>
  <c r="V256" i="17"/>
  <c r="W256" i="17" s="1"/>
  <c r="V30" i="17"/>
  <c r="W30" i="17" s="1"/>
  <c r="V503" i="17"/>
  <c r="W503" i="17" s="1"/>
  <c r="V471" i="17"/>
  <c r="W471" i="17" s="1"/>
  <c r="V423" i="17"/>
  <c r="W423" i="17" s="1"/>
  <c r="V407" i="17"/>
  <c r="W407" i="17" s="1"/>
  <c r="V375" i="17"/>
  <c r="W375" i="17" s="1"/>
  <c r="V279" i="17"/>
  <c r="W279" i="17" s="1"/>
  <c r="V263" i="17"/>
  <c r="W263" i="17" s="1"/>
  <c r="V247" i="17"/>
  <c r="W247" i="17" s="1"/>
  <c r="V151" i="17"/>
  <c r="W151" i="17" s="1"/>
  <c r="AC58" i="17"/>
  <c r="V466" i="17"/>
  <c r="W466" i="17" s="1"/>
  <c r="V306" i="17"/>
  <c r="W306" i="17" s="1"/>
  <c r="V274" i="17"/>
  <c r="W274" i="17" s="1"/>
  <c r="AC174" i="17"/>
  <c r="V142" i="17"/>
  <c r="W142" i="17" s="1"/>
  <c r="V517" i="17"/>
  <c r="W517" i="17" s="1"/>
  <c r="V501" i="17"/>
  <c r="W501" i="17" s="1"/>
  <c r="V373" i="17"/>
  <c r="W373" i="17" s="1"/>
  <c r="V147" i="17"/>
  <c r="W147" i="17" s="1"/>
  <c r="V129" i="17"/>
  <c r="W129" i="17" s="1"/>
  <c r="V81" i="17"/>
  <c r="W81" i="17" s="1"/>
  <c r="U565" i="17"/>
  <c r="Y565" i="17" s="1"/>
  <c r="U532" i="17"/>
  <c r="Y532" i="17" s="1"/>
  <c r="AB76" i="17"/>
  <c r="V312" i="17"/>
  <c r="W312" i="17" s="1"/>
  <c r="V102" i="17"/>
  <c r="W102" i="17" s="1"/>
  <c r="V487" i="17"/>
  <c r="W487" i="17" s="1"/>
  <c r="U547" i="17"/>
  <c r="Y547" i="17" s="1"/>
  <c r="U82" i="17"/>
  <c r="Y82" i="17" s="1"/>
  <c r="U349" i="17"/>
  <c r="Y349" i="17" s="1"/>
  <c r="U135" i="17"/>
  <c r="Y135" i="17" s="1"/>
  <c r="AB222" i="17"/>
  <c r="V228" i="17"/>
  <c r="W228" i="17" s="1"/>
  <c r="V350" i="17"/>
  <c r="W350" i="17" s="1"/>
  <c r="V109" i="17"/>
  <c r="W109" i="17" s="1"/>
  <c r="AB88" i="17"/>
  <c r="AC480" i="17"/>
  <c r="AC253" i="17"/>
  <c r="V189" i="17"/>
  <c r="W189" i="17" s="1"/>
  <c r="V73" i="17"/>
  <c r="W73" i="17" s="1"/>
  <c r="U404" i="17"/>
  <c r="Y404" i="17" s="1"/>
  <c r="AB365" i="17"/>
  <c r="U95" i="17"/>
  <c r="Y95" i="17" s="1"/>
  <c r="U574" i="17"/>
  <c r="Y574" i="17" s="1"/>
  <c r="U331" i="17"/>
  <c r="Y331" i="17" s="1"/>
  <c r="U201" i="17"/>
  <c r="Y201" i="17" s="1"/>
  <c r="U585" i="17"/>
  <c r="Y585" i="17" s="1"/>
  <c r="U571" i="17"/>
  <c r="Y571" i="17" s="1"/>
  <c r="U607" i="17"/>
  <c r="Y607" i="17" s="1"/>
  <c r="V289" i="17"/>
  <c r="W289" i="17" s="1"/>
  <c r="U516" i="17"/>
  <c r="Y516" i="17" s="1"/>
  <c r="V562" i="17"/>
  <c r="W562" i="17" s="1"/>
  <c r="V408" i="17"/>
  <c r="W408" i="17" s="1"/>
  <c r="V216" i="17"/>
  <c r="W216" i="17" s="1"/>
  <c r="U353" i="17"/>
  <c r="Y353" i="17" s="1"/>
  <c r="U626" i="17"/>
  <c r="D636" i="17" s="1"/>
  <c r="V623" i="17"/>
  <c r="W623" i="17" s="1"/>
  <c r="V626" i="17"/>
  <c r="W626" i="17" s="1"/>
  <c r="V184" i="17"/>
  <c r="W184" i="17" s="1"/>
  <c r="U603" i="17"/>
  <c r="Y603" i="17" s="1"/>
  <c r="U250" i="17"/>
  <c r="Y250" i="17" s="1"/>
  <c r="U570" i="17"/>
  <c r="Y570" i="17" s="1"/>
  <c r="U522" i="17"/>
  <c r="Y522" i="17" s="1"/>
  <c r="U15" i="17"/>
  <c r="Y15" i="17" s="1"/>
  <c r="U436" i="17"/>
  <c r="Y436" i="17" s="1"/>
  <c r="U519" i="17"/>
  <c r="Y519" i="17" s="1"/>
  <c r="U553" i="17"/>
  <c r="Y553" i="17" s="1"/>
  <c r="U366" i="17"/>
  <c r="Y366" i="17" s="1"/>
  <c r="V439" i="17"/>
  <c r="W439" i="17" s="1"/>
  <c r="V327" i="17"/>
  <c r="W327" i="17" s="1"/>
  <c r="V231" i="17"/>
  <c r="W231" i="17" s="1"/>
  <c r="V242" i="17"/>
  <c r="W242" i="17" s="1"/>
  <c r="U104" i="17"/>
  <c r="Y104" i="17" s="1"/>
  <c r="U268" i="17"/>
  <c r="Y268" i="17" s="1"/>
  <c r="AB19" i="17"/>
  <c r="U223" i="17"/>
  <c r="Y223" i="17" s="1"/>
  <c r="U581" i="17"/>
  <c r="Y581" i="17" s="1"/>
  <c r="U27" i="17"/>
  <c r="Y27" i="17" s="1"/>
  <c r="U558" i="17"/>
  <c r="Y558" i="17" s="1"/>
  <c r="U393" i="17"/>
  <c r="Y393" i="17" s="1"/>
  <c r="AB52" i="17"/>
  <c r="U363" i="17"/>
  <c r="Y363" i="17" s="1"/>
  <c r="U555" i="17"/>
  <c r="Y555" i="17" s="1"/>
  <c r="V204" i="17"/>
  <c r="W204" i="17" s="1"/>
  <c r="V232" i="17"/>
  <c r="W232" i="17" s="1"/>
  <c r="U51" i="17"/>
  <c r="Y51" i="17" s="1"/>
  <c r="V414" i="17"/>
  <c r="W414" i="17" s="1"/>
  <c r="V34" i="17"/>
  <c r="W34" i="17" s="1"/>
  <c r="U628" i="17"/>
  <c r="F624" i="17"/>
  <c r="Q624" i="17"/>
  <c r="P624" i="17"/>
  <c r="O624" i="17"/>
  <c r="R624" i="17"/>
  <c r="U623" i="17"/>
  <c r="D633" i="17" s="1"/>
  <c r="V628" i="17"/>
  <c r="W628" i="17" s="1"/>
  <c r="U622" i="17"/>
  <c r="D632" i="17" s="1"/>
  <c r="V622" i="17"/>
  <c r="W622" i="17" s="1"/>
  <c r="U627" i="17"/>
  <c r="V627" i="17"/>
  <c r="W627" i="17" s="1"/>
  <c r="U265" i="17"/>
  <c r="Y265" i="17" s="1"/>
  <c r="AB542" i="17"/>
  <c r="U105" i="17"/>
  <c r="Y105" i="17" s="1"/>
  <c r="U453" i="17"/>
  <c r="Y453" i="17" s="1"/>
  <c r="U568" i="17"/>
  <c r="Y568" i="17" s="1"/>
  <c r="U204" i="17"/>
  <c r="Y204" i="17" s="1"/>
  <c r="U146" i="17"/>
  <c r="Y146" i="17" s="1"/>
  <c r="AB139" i="17"/>
  <c r="U49" i="17"/>
  <c r="Y49" i="17" s="1"/>
  <c r="AB129" i="17"/>
  <c r="U595" i="17"/>
  <c r="Y595" i="17" s="1"/>
  <c r="U589" i="17"/>
  <c r="Y589" i="17" s="1"/>
  <c r="U412" i="17"/>
  <c r="Y412" i="17" s="1"/>
  <c r="U130" i="17"/>
  <c r="U60" i="17"/>
  <c r="Y60" i="17" s="1"/>
  <c r="U20" i="17"/>
  <c r="Y20" i="17" s="1"/>
  <c r="U437" i="17"/>
  <c r="Y437" i="17" s="1"/>
  <c r="U300" i="17"/>
  <c r="Y300" i="17" s="1"/>
  <c r="U45" i="17"/>
  <c r="Y45" i="17" s="1"/>
  <c r="V268" i="17"/>
  <c r="W268" i="17" s="1"/>
  <c r="V604" i="17"/>
  <c r="W604" i="17" s="1"/>
  <c r="V260" i="17"/>
  <c r="W260" i="17" s="1"/>
  <c r="V94" i="17"/>
  <c r="W94" i="17" s="1"/>
  <c r="V539" i="17"/>
  <c r="W539" i="17" s="1"/>
  <c r="V475" i="17"/>
  <c r="W475" i="17" s="1"/>
  <c r="V411" i="17"/>
  <c r="W411" i="17" s="1"/>
  <c r="V347" i="17"/>
  <c r="W347" i="17" s="1"/>
  <c r="V283" i="17"/>
  <c r="W283" i="17" s="1"/>
  <c r="V219" i="17"/>
  <c r="W219" i="17" s="1"/>
  <c r="V127" i="17"/>
  <c r="W127" i="17" s="1"/>
  <c r="V14" i="17"/>
  <c r="W14" i="17" s="1"/>
  <c r="V502" i="17"/>
  <c r="W502" i="17" s="1"/>
  <c r="V454" i="17"/>
  <c r="W454" i="17" s="1"/>
  <c r="V310" i="17"/>
  <c r="W310" i="17" s="1"/>
  <c r="V198" i="17"/>
  <c r="W198" i="17" s="1"/>
  <c r="V473" i="17"/>
  <c r="W473" i="17" s="1"/>
  <c r="V409" i="17"/>
  <c r="W409" i="17" s="1"/>
  <c r="V345" i="17"/>
  <c r="W345" i="17" s="1"/>
  <c r="V249" i="17"/>
  <c r="W249" i="17" s="1"/>
  <c r="V155" i="17"/>
  <c r="W155" i="17" s="1"/>
  <c r="V149" i="17"/>
  <c r="W149" i="17" s="1"/>
  <c r="V140" i="17"/>
  <c r="W140" i="17" s="1"/>
  <c r="V76" i="17"/>
  <c r="W76" i="17" s="1"/>
  <c r="V28" i="17"/>
  <c r="W28" i="17" s="1"/>
  <c r="V67" i="17"/>
  <c r="W67" i="17" s="1"/>
  <c r="U274" i="17"/>
  <c r="Y274" i="17" s="1"/>
  <c r="V596" i="17"/>
  <c r="W596" i="17" s="1"/>
  <c r="V192" i="17"/>
  <c r="W192" i="17" s="1"/>
  <c r="AC311" i="17"/>
  <c r="V183" i="17"/>
  <c r="W183" i="17" s="1"/>
  <c r="V498" i="17"/>
  <c r="W498" i="17" s="1"/>
  <c r="AC402" i="17"/>
  <c r="V226" i="17"/>
  <c r="W226" i="17" s="1"/>
  <c r="V210" i="17"/>
  <c r="W210" i="17" s="1"/>
  <c r="AC38" i="17"/>
  <c r="V405" i="17"/>
  <c r="W405" i="17" s="1"/>
  <c r="V357" i="17"/>
  <c r="W357" i="17" s="1"/>
  <c r="AC293" i="17"/>
  <c r="AC277" i="17"/>
  <c r="V261" i="17"/>
  <c r="W261" i="17" s="1"/>
  <c r="AC161" i="17"/>
  <c r="V145" i="17"/>
  <c r="W145" i="17" s="1"/>
  <c r="V49" i="17"/>
  <c r="W49" i="17" s="1"/>
  <c r="V33" i="17"/>
  <c r="W33" i="17" s="1"/>
  <c r="V168" i="17"/>
  <c r="W168" i="17" s="1"/>
  <c r="V104" i="17"/>
  <c r="W104" i="17" s="1"/>
  <c r="V95" i="17"/>
  <c r="W95" i="17" s="1"/>
  <c r="V31" i="17"/>
  <c r="W31" i="17" s="1"/>
  <c r="U132" i="17"/>
  <c r="Y132" i="17" s="1"/>
  <c r="U267" i="17"/>
  <c r="Y267" i="17" s="1"/>
  <c r="U551" i="17"/>
  <c r="Y551" i="17" s="1"/>
  <c r="AB377" i="17"/>
  <c r="U314" i="17"/>
  <c r="Y314" i="17" s="1"/>
  <c r="V500" i="17"/>
  <c r="W500" i="17" s="1"/>
  <c r="V436" i="17"/>
  <c r="W436" i="17" s="1"/>
  <c r="AC608" i="17"/>
  <c r="V448" i="17"/>
  <c r="W448" i="17" s="1"/>
  <c r="V434" i="17"/>
  <c r="W434" i="17" s="1"/>
  <c r="AC386" i="17"/>
  <c r="U271" i="17"/>
  <c r="Y271" i="17" s="1"/>
  <c r="AB456" i="17"/>
  <c r="U462" i="17"/>
  <c r="Y462" i="17" s="1"/>
  <c r="U294" i="17"/>
  <c r="Y294" i="17" s="1"/>
  <c r="U319" i="17"/>
  <c r="Y319" i="17" s="1"/>
  <c r="U582" i="17"/>
  <c r="Y582" i="17" s="1"/>
  <c r="U450" i="17"/>
  <c r="Y450" i="17" s="1"/>
  <c r="U174" i="17"/>
  <c r="Y174" i="17" s="1"/>
  <c r="U481" i="17"/>
  <c r="Y481" i="17" s="1"/>
  <c r="U512" i="17"/>
  <c r="Y512" i="17" s="1"/>
  <c r="U168" i="17"/>
  <c r="Y168" i="17" s="1"/>
  <c r="AB445" i="17"/>
  <c r="AB127" i="17"/>
  <c r="U588" i="17"/>
  <c r="Y588" i="17" s="1"/>
  <c r="U292" i="17"/>
  <c r="Y292" i="17" s="1"/>
  <c r="U491" i="17"/>
  <c r="Y491" i="17" s="1"/>
  <c r="U375" i="17"/>
  <c r="Y375" i="17" s="1"/>
  <c r="U115" i="17"/>
  <c r="Y115" i="17" s="1"/>
  <c r="U527" i="17"/>
  <c r="Y527" i="17" s="1"/>
  <c r="AB544" i="17"/>
  <c r="U176" i="17"/>
  <c r="Y176" i="17" s="1"/>
  <c r="U495" i="17"/>
  <c r="Y495" i="17" s="1"/>
  <c r="AB55" i="17"/>
  <c r="U61" i="17"/>
  <c r="Y61" i="17" s="1"/>
  <c r="AB597" i="17"/>
  <c r="U584" i="17"/>
  <c r="U258" i="17"/>
  <c r="Y258" i="17" s="1"/>
  <c r="U85" i="17"/>
  <c r="Y85" i="17" s="1"/>
  <c r="AB428" i="17"/>
  <c r="U383" i="17"/>
  <c r="Y383" i="17" s="1"/>
  <c r="U320" i="17"/>
  <c r="Y320" i="17" s="1"/>
  <c r="AB297" i="17"/>
  <c r="V396" i="17"/>
  <c r="W396" i="17" s="1"/>
  <c r="V536" i="17"/>
  <c r="W536" i="17" s="1"/>
  <c r="V122" i="17"/>
  <c r="W122" i="17" s="1"/>
  <c r="V593" i="17"/>
  <c r="W593" i="17" s="1"/>
  <c r="V548" i="17"/>
  <c r="W548" i="17" s="1"/>
  <c r="V432" i="17"/>
  <c r="W432" i="17" s="1"/>
  <c r="V170" i="17"/>
  <c r="W170" i="17" s="1"/>
  <c r="V611" i="17"/>
  <c r="W611" i="17" s="1"/>
  <c r="V563" i="17"/>
  <c r="W563" i="17" s="1"/>
  <c r="V531" i="17"/>
  <c r="W531" i="17" s="1"/>
  <c r="V467" i="17"/>
  <c r="W467" i="17" s="1"/>
  <c r="V451" i="17"/>
  <c r="W451" i="17" s="1"/>
  <c r="V435" i="17"/>
  <c r="W435" i="17" s="1"/>
  <c r="V275" i="17"/>
  <c r="W275" i="17" s="1"/>
  <c r="V243" i="17"/>
  <c r="W243" i="17" s="1"/>
  <c r="V590" i="17"/>
  <c r="W590" i="17" s="1"/>
  <c r="V526" i="17"/>
  <c r="W526" i="17" s="1"/>
  <c r="V510" i="17"/>
  <c r="W510" i="17" s="1"/>
  <c r="V478" i="17"/>
  <c r="W478" i="17" s="1"/>
  <c r="V430" i="17"/>
  <c r="W430" i="17" s="1"/>
  <c r="V366" i="17"/>
  <c r="W366" i="17" s="1"/>
  <c r="V270" i="17"/>
  <c r="W270" i="17" s="1"/>
  <c r="V222" i="17"/>
  <c r="W222" i="17" s="1"/>
  <c r="V22" i="17"/>
  <c r="W22" i="17" s="1"/>
  <c r="V465" i="17"/>
  <c r="W465" i="17" s="1"/>
  <c r="V401" i="17"/>
  <c r="W401" i="17" s="1"/>
  <c r="V337" i="17"/>
  <c r="W337" i="17" s="1"/>
  <c r="V273" i="17"/>
  <c r="W273" i="17" s="1"/>
  <c r="V173" i="17"/>
  <c r="W173" i="17" s="1"/>
  <c r="V77" i="17"/>
  <c r="W77" i="17" s="1"/>
  <c r="V29" i="17"/>
  <c r="W29" i="17" s="1"/>
  <c r="V180" i="17"/>
  <c r="W180" i="17" s="1"/>
  <c r="V132" i="17"/>
  <c r="W132" i="17" s="1"/>
  <c r="V116" i="17"/>
  <c r="W116" i="17" s="1"/>
  <c r="V68" i="17"/>
  <c r="W68" i="17" s="1"/>
  <c r="V59" i="17"/>
  <c r="W59" i="17" s="1"/>
  <c r="V302" i="17"/>
  <c r="W302" i="17" s="1"/>
  <c r="V125" i="17"/>
  <c r="W125" i="17" s="1"/>
  <c r="V482" i="17"/>
  <c r="W482" i="17" s="1"/>
  <c r="V418" i="17"/>
  <c r="W418" i="17" s="1"/>
  <c r="V258" i="17"/>
  <c r="W258" i="17" s="1"/>
  <c r="V309" i="17"/>
  <c r="W309" i="17" s="1"/>
  <c r="V177" i="17"/>
  <c r="W177" i="17" s="1"/>
  <c r="V65" i="17"/>
  <c r="W65" i="17" s="1"/>
  <c r="V152" i="17"/>
  <c r="W152" i="17" s="1"/>
  <c r="V111" i="17"/>
  <c r="W111" i="17" s="1"/>
  <c r="U248" i="17"/>
  <c r="Y248" i="17" s="1"/>
  <c r="U591" i="17"/>
  <c r="Y591" i="17" s="1"/>
  <c r="U307" i="17"/>
  <c r="Y307" i="17" s="1"/>
  <c r="U228" i="17"/>
  <c r="Y228" i="17" s="1"/>
  <c r="AB602" i="17"/>
  <c r="U96" i="17"/>
  <c r="Y96" i="17" s="1"/>
  <c r="U92" i="17"/>
  <c r="Y92" i="17" s="1"/>
  <c r="U90" i="17"/>
  <c r="Y90" i="17" s="1"/>
  <c r="V252" i="17"/>
  <c r="W252" i="17" s="1"/>
  <c r="V524" i="17"/>
  <c r="W524" i="17" s="1"/>
  <c r="V577" i="17"/>
  <c r="W577" i="17" s="1"/>
  <c r="V208" i="17"/>
  <c r="W208" i="17" s="1"/>
  <c r="V459" i="17"/>
  <c r="W459" i="17" s="1"/>
  <c r="V395" i="17"/>
  <c r="W395" i="17" s="1"/>
  <c r="V331" i="17"/>
  <c r="W331" i="17" s="1"/>
  <c r="V267" i="17"/>
  <c r="W267" i="17" s="1"/>
  <c r="V203" i="17"/>
  <c r="W203" i="17" s="1"/>
  <c r="V518" i="17"/>
  <c r="W518" i="17" s="1"/>
  <c r="V470" i="17"/>
  <c r="W470" i="17" s="1"/>
  <c r="V230" i="17"/>
  <c r="W230" i="17" s="1"/>
  <c r="V150" i="17"/>
  <c r="W150" i="17" s="1"/>
  <c r="V118" i="17"/>
  <c r="W118" i="17" s="1"/>
  <c r="V54" i="17"/>
  <c r="W54" i="17" s="1"/>
  <c r="V569" i="17"/>
  <c r="W569" i="17" s="1"/>
  <c r="V553" i="17"/>
  <c r="W553" i="17" s="1"/>
  <c r="V281" i="17"/>
  <c r="W281" i="17" s="1"/>
  <c r="V201" i="17"/>
  <c r="W201" i="17" s="1"/>
  <c r="V181" i="17"/>
  <c r="W181" i="17" s="1"/>
  <c r="V37" i="17"/>
  <c r="W37" i="17" s="1"/>
  <c r="V124" i="17"/>
  <c r="W124" i="17" s="1"/>
  <c r="V108" i="17"/>
  <c r="W108" i="17" s="1"/>
  <c r="V60" i="17"/>
  <c r="W60" i="17" s="1"/>
  <c r="V51" i="17"/>
  <c r="W51" i="17" s="1"/>
  <c r="V79" i="17"/>
  <c r="W79" i="17" s="1"/>
  <c r="V15" i="17"/>
  <c r="W15" i="17" s="1"/>
  <c r="U242" i="17"/>
  <c r="Y242" i="17" s="1"/>
  <c r="U508" i="17"/>
  <c r="Y508" i="17" s="1"/>
  <c r="U359" i="17"/>
  <c r="Y359" i="17" s="1"/>
  <c r="U342" i="17"/>
  <c r="Y342" i="17" s="1"/>
  <c r="U235" i="17"/>
  <c r="Y235" i="17" s="1"/>
  <c r="U396" i="17"/>
  <c r="U116" i="17"/>
  <c r="Y116" i="17" s="1"/>
  <c r="U226" i="17"/>
  <c r="Y226" i="17" s="1"/>
  <c r="AB193" i="17"/>
  <c r="U18" i="17"/>
  <c r="Y18" i="17" s="1"/>
  <c r="U526" i="17"/>
  <c r="Y526" i="17" s="1"/>
  <c r="U217" i="17"/>
  <c r="Y217" i="17" s="1"/>
  <c r="U554" i="17"/>
  <c r="Y554" i="17" s="1"/>
  <c r="U114" i="17"/>
  <c r="Y114" i="17" s="1"/>
  <c r="AB219" i="17"/>
  <c r="V581" i="17"/>
  <c r="W581" i="17" s="1"/>
  <c r="V456" i="17"/>
  <c r="W456" i="17" s="1"/>
  <c r="AC212" i="17"/>
  <c r="V138" i="17"/>
  <c r="W138" i="17" s="1"/>
  <c r="V335" i="17"/>
  <c r="W335" i="17" s="1"/>
  <c r="V319" i="17"/>
  <c r="W319" i="17" s="1"/>
  <c r="V303" i="17"/>
  <c r="W303" i="17" s="1"/>
  <c r="V239" i="17"/>
  <c r="W239" i="17" s="1"/>
  <c r="V90" i="17"/>
  <c r="W90" i="17" s="1"/>
  <c r="V586" i="17"/>
  <c r="W586" i="17" s="1"/>
  <c r="V474" i="17"/>
  <c r="W474" i="17" s="1"/>
  <c r="V330" i="17"/>
  <c r="W330" i="17" s="1"/>
  <c r="V282" i="17"/>
  <c r="W282" i="17" s="1"/>
  <c r="V126" i="17"/>
  <c r="W126" i="17" s="1"/>
  <c r="V445" i="17"/>
  <c r="W445" i="17" s="1"/>
  <c r="V397" i="17"/>
  <c r="W397" i="17" s="1"/>
  <c r="V317" i="17"/>
  <c r="W317" i="17" s="1"/>
  <c r="V205" i="17"/>
  <c r="W205" i="17" s="1"/>
  <c r="AC82" i="17"/>
  <c r="V153" i="17"/>
  <c r="W153" i="17" s="1"/>
  <c r="V89" i="17"/>
  <c r="W89" i="17" s="1"/>
  <c r="V41" i="17"/>
  <c r="W41" i="17" s="1"/>
  <c r="V176" i="17"/>
  <c r="W176" i="17" s="1"/>
  <c r="V160" i="17"/>
  <c r="W160" i="17" s="1"/>
  <c r="V48" i="17"/>
  <c r="W48" i="17" s="1"/>
  <c r="V87" i="17"/>
  <c r="W87" i="17" s="1"/>
  <c r="V71" i="17"/>
  <c r="W71" i="17" s="1"/>
  <c r="U593" i="17"/>
  <c r="Y593" i="17" s="1"/>
  <c r="U159" i="17"/>
  <c r="Y159" i="17" s="1"/>
  <c r="U183" i="17"/>
  <c r="Y183" i="17" s="1"/>
  <c r="U251" i="17"/>
  <c r="Y251" i="17" s="1"/>
  <c r="U36" i="17"/>
  <c r="Y36" i="17" s="1"/>
  <c r="V455" i="17"/>
  <c r="W455" i="17" s="1"/>
  <c r="V17" i="17"/>
  <c r="W17" i="17" s="1"/>
  <c r="V424" i="17"/>
  <c r="W424" i="17" s="1"/>
  <c r="V296" i="17"/>
  <c r="W296" i="17" s="1"/>
  <c r="V370" i="17"/>
  <c r="W370" i="17" s="1"/>
  <c r="V354" i="17"/>
  <c r="W354" i="17" s="1"/>
  <c r="U172" i="17"/>
  <c r="Y172" i="17" s="1"/>
  <c r="V472" i="17"/>
  <c r="W472" i="17" s="1"/>
  <c r="V259" i="17"/>
  <c r="W259" i="17" s="1"/>
  <c r="V98" i="17"/>
  <c r="W98" i="17" s="1"/>
  <c r="V45" i="17"/>
  <c r="W45" i="17" s="1"/>
  <c r="V148" i="17"/>
  <c r="W148" i="17" s="1"/>
  <c r="V244" i="17"/>
  <c r="W244" i="17" s="1"/>
  <c r="V391" i="17"/>
  <c r="W391" i="17" s="1"/>
  <c r="V199" i="17"/>
  <c r="W199" i="17" s="1"/>
  <c r="U66" i="17"/>
  <c r="Y66" i="17" s="1"/>
  <c r="U541" i="17"/>
  <c r="Y541" i="17" s="1"/>
  <c r="V540" i="17"/>
  <c r="W540" i="17" s="1"/>
  <c r="AC110" i="17"/>
  <c r="V355" i="17"/>
  <c r="W355" i="17" s="1"/>
  <c r="V339" i="17"/>
  <c r="W339" i="17" s="1"/>
  <c r="V323" i="17"/>
  <c r="W323" i="17" s="1"/>
  <c r="V195" i="17"/>
  <c r="W195" i="17" s="1"/>
  <c r="V494" i="17"/>
  <c r="W494" i="17" s="1"/>
  <c r="V286" i="17"/>
  <c r="W286" i="17" s="1"/>
  <c r="V134" i="17"/>
  <c r="W134" i="17" s="1"/>
  <c r="V209" i="17"/>
  <c r="W209" i="17" s="1"/>
  <c r="V193" i="17"/>
  <c r="W193" i="17" s="1"/>
  <c r="V93" i="17"/>
  <c r="W93" i="17" s="1"/>
  <c r="V100" i="17"/>
  <c r="W100" i="17" s="1"/>
  <c r="V36" i="17"/>
  <c r="W36" i="17" s="1"/>
  <c r="V107" i="17"/>
  <c r="W107" i="17" s="1"/>
  <c r="U81" i="17"/>
  <c r="Y81" i="17" s="1"/>
  <c r="U73" i="17"/>
  <c r="Y73" i="17" s="1"/>
  <c r="V613" i="17"/>
  <c r="W613" i="17" s="1"/>
  <c r="V78" i="17"/>
  <c r="W78" i="17" s="1"/>
  <c r="U586" i="17"/>
  <c r="Y586" i="17" s="1"/>
  <c r="U154" i="17"/>
  <c r="Y154" i="17" s="1"/>
  <c r="U573" i="17"/>
  <c r="Y573" i="17" s="1"/>
  <c r="U147" i="17"/>
  <c r="Y147" i="17" s="1"/>
  <c r="U337" i="17"/>
  <c r="Y337" i="17" s="1"/>
  <c r="AB186" i="17"/>
  <c r="U67" i="17"/>
  <c r="Y67" i="17" s="1"/>
  <c r="AB48" i="17"/>
  <c r="U227" i="17"/>
  <c r="Y227" i="17" s="1"/>
  <c r="U545" i="17"/>
  <c r="Y545" i="17" s="1"/>
  <c r="U102" i="17"/>
  <c r="Y102" i="17" s="1"/>
  <c r="AB249" i="17"/>
  <c r="AB339" i="17"/>
  <c r="AB263" i="17"/>
  <c r="V300" i="17"/>
  <c r="W300" i="17" s="1"/>
  <c r="V264" i="17"/>
  <c r="W264" i="17" s="1"/>
  <c r="V200" i="17"/>
  <c r="W200" i="17" s="1"/>
  <c r="V468" i="17"/>
  <c r="W468" i="17" s="1"/>
  <c r="V276" i="17"/>
  <c r="W276" i="17" s="1"/>
  <c r="AC288" i="17"/>
  <c r="V224" i="17"/>
  <c r="W224" i="17" s="1"/>
  <c r="V511" i="17"/>
  <c r="W511" i="17" s="1"/>
  <c r="V495" i="17"/>
  <c r="W495" i="17" s="1"/>
  <c r="AC287" i="17"/>
  <c r="V223" i="17"/>
  <c r="W223" i="17" s="1"/>
  <c r="V26" i="17"/>
  <c r="W26" i="17" s="1"/>
  <c r="V410" i="17"/>
  <c r="W410" i="17" s="1"/>
  <c r="V314" i="17"/>
  <c r="W314" i="17" s="1"/>
  <c r="V298" i="17"/>
  <c r="W298" i="17" s="1"/>
  <c r="V186" i="17"/>
  <c r="W186" i="17" s="1"/>
  <c r="V158" i="17"/>
  <c r="W158" i="17" s="1"/>
  <c r="V557" i="17"/>
  <c r="W557" i="17" s="1"/>
  <c r="V413" i="17"/>
  <c r="W413" i="17" s="1"/>
  <c r="AC333" i="17"/>
  <c r="V237" i="17"/>
  <c r="W237" i="17" s="1"/>
  <c r="V105" i="17"/>
  <c r="W105" i="17" s="1"/>
  <c r="V144" i="17"/>
  <c r="W144" i="17" s="1"/>
  <c r="V64" i="17"/>
  <c r="W64" i="17" s="1"/>
  <c r="V103" i="17"/>
  <c r="W103" i="17" s="1"/>
  <c r="U315" i="17"/>
  <c r="Y315" i="17" s="1"/>
  <c r="U420" i="17"/>
  <c r="Y420" i="17" s="1"/>
  <c r="U387" i="17"/>
  <c r="Y387" i="17" s="1"/>
  <c r="U108" i="17"/>
  <c r="Y108" i="17" s="1"/>
  <c r="AB24" i="17"/>
  <c r="U259" i="17"/>
  <c r="Y259" i="17" s="1"/>
  <c r="V496" i="17"/>
  <c r="W496" i="17" s="1"/>
  <c r="V595" i="17"/>
  <c r="W595" i="17" s="1"/>
  <c r="V499" i="17"/>
  <c r="W499" i="17" s="1"/>
  <c r="U57" i="17"/>
  <c r="Y57" i="17" s="1"/>
  <c r="AB461" i="17"/>
  <c r="U549" i="17"/>
  <c r="Y549" i="17" s="1"/>
  <c r="AB109" i="17"/>
  <c r="AB563" i="17"/>
  <c r="U266" i="17"/>
  <c r="Y266" i="17" s="1"/>
  <c r="U236" i="17"/>
  <c r="Y236" i="17" s="1"/>
  <c r="U341" i="17"/>
  <c r="Y341" i="17" s="1"/>
  <c r="U34" i="17"/>
  <c r="Y34" i="17" s="1"/>
  <c r="U233" i="17"/>
  <c r="Y233" i="17" s="1"/>
  <c r="U100" i="17"/>
  <c r="Y100" i="17" s="1"/>
  <c r="AB243" i="17"/>
  <c r="U91" i="17"/>
  <c r="Y91" i="17" s="1"/>
  <c r="U80" i="17"/>
  <c r="Y80" i="17" s="1"/>
  <c r="U17" i="17"/>
  <c r="Y17" i="17" s="1"/>
  <c r="U30" i="17"/>
  <c r="Y30" i="17" s="1"/>
  <c r="V492" i="17"/>
  <c r="W492" i="17" s="1"/>
  <c r="V236" i="17"/>
  <c r="W236" i="17" s="1"/>
  <c r="V476" i="17"/>
  <c r="W476" i="17" s="1"/>
  <c r="V196" i="17"/>
  <c r="W196" i="17" s="1"/>
  <c r="V272" i="17"/>
  <c r="W272" i="17" s="1"/>
  <c r="V523" i="17"/>
  <c r="W523" i="17" s="1"/>
  <c r="V507" i="17"/>
  <c r="W507" i="17" s="1"/>
  <c r="V443" i="17"/>
  <c r="W443" i="17" s="1"/>
  <c r="V379" i="17"/>
  <c r="W379" i="17" s="1"/>
  <c r="V315" i="17"/>
  <c r="W315" i="17" s="1"/>
  <c r="V251" i="17"/>
  <c r="W251" i="17" s="1"/>
  <c r="V187" i="17"/>
  <c r="W187" i="17" s="1"/>
  <c r="V159" i="17"/>
  <c r="W159" i="17" s="1"/>
  <c r="V74" i="17"/>
  <c r="W74" i="17" s="1"/>
  <c r="V486" i="17"/>
  <c r="W486" i="17" s="1"/>
  <c r="V438" i="17"/>
  <c r="W438" i="17" s="1"/>
  <c r="V262" i="17"/>
  <c r="W262" i="17" s="1"/>
  <c r="V214" i="17"/>
  <c r="W214" i="17" s="1"/>
  <c r="V182" i="17"/>
  <c r="W182" i="17" s="1"/>
  <c r="V457" i="17"/>
  <c r="W457" i="17" s="1"/>
  <c r="V393" i="17"/>
  <c r="W393" i="17" s="1"/>
  <c r="V329" i="17"/>
  <c r="W329" i="17" s="1"/>
  <c r="V313" i="17"/>
  <c r="W313" i="17" s="1"/>
  <c r="V265" i="17"/>
  <c r="W265" i="17" s="1"/>
  <c r="V233" i="17"/>
  <c r="W233" i="17" s="1"/>
  <c r="V185" i="17"/>
  <c r="W185" i="17" s="1"/>
  <c r="V123" i="17"/>
  <c r="W123" i="17" s="1"/>
  <c r="V66" i="17"/>
  <c r="W66" i="17" s="1"/>
  <c r="V165" i="17"/>
  <c r="W165" i="17" s="1"/>
  <c r="V133" i="17"/>
  <c r="W133" i="17" s="1"/>
  <c r="V69" i="17"/>
  <c r="W69" i="17" s="1"/>
  <c r="V21" i="17"/>
  <c r="W21" i="17" s="1"/>
  <c r="V172" i="17"/>
  <c r="W172" i="17" s="1"/>
  <c r="V92" i="17"/>
  <c r="W92" i="17" s="1"/>
  <c r="V44" i="17"/>
  <c r="W44" i="17" s="1"/>
  <c r="V115" i="17"/>
  <c r="W115" i="17" s="1"/>
  <c r="V99" i="17"/>
  <c r="W99" i="17" s="1"/>
  <c r="V35" i="17"/>
  <c r="W35" i="17" s="1"/>
  <c r="U164" i="17"/>
  <c r="Y164" i="17" s="1"/>
  <c r="U444" i="17"/>
  <c r="Y444" i="17" s="1"/>
  <c r="AB313" i="17"/>
  <c r="U33" i="17"/>
  <c r="Y33" i="17" s="1"/>
  <c r="AC13" i="17"/>
  <c r="U97" i="17"/>
  <c r="Y97" i="17" s="1"/>
  <c r="U155" i="17"/>
  <c r="Y155" i="17" s="1"/>
  <c r="U559" i="17"/>
  <c r="Y559" i="17" s="1"/>
  <c r="AB335" i="17"/>
  <c r="U246" i="17"/>
  <c r="Y246" i="17" s="1"/>
  <c r="U125" i="17"/>
  <c r="Y125" i="17" s="1"/>
  <c r="U560" i="17"/>
  <c r="Y560" i="17" s="1"/>
  <c r="U283" i="17"/>
  <c r="Y283" i="17" s="1"/>
  <c r="V488" i="17"/>
  <c r="W488" i="17" s="1"/>
  <c r="V178" i="17"/>
  <c r="W178" i="17" s="1"/>
  <c r="V295" i="17"/>
  <c r="W295" i="17" s="1"/>
  <c r="V229" i="17"/>
  <c r="W229" i="17" s="1"/>
  <c r="V197" i="17"/>
  <c r="W197" i="17" s="1"/>
  <c r="V56" i="17"/>
  <c r="W56" i="17" s="1"/>
  <c r="U175" i="17"/>
  <c r="Y175" i="17" s="1"/>
  <c r="U355" i="17"/>
  <c r="Y355" i="17" s="1"/>
  <c r="U322" i="17"/>
  <c r="Y322" i="17" s="1"/>
  <c r="U564" i="17"/>
  <c r="Y564" i="17" s="1"/>
  <c r="AB202" i="17"/>
  <c r="AB336" i="17"/>
  <c r="U120" i="17"/>
  <c r="Y120" i="17" s="1"/>
  <c r="U234" i="17"/>
  <c r="Y234" i="17" s="1"/>
  <c r="U47" i="17"/>
  <c r="Y47" i="17" s="1"/>
  <c r="AB93" i="17"/>
  <c r="AB611" i="17"/>
  <c r="U72" i="17"/>
  <c r="Y72" i="17" s="1"/>
  <c r="U117" i="17"/>
  <c r="U493" i="17"/>
  <c r="Y493" i="17" s="1"/>
  <c r="U121" i="17"/>
  <c r="Y121" i="17" s="1"/>
  <c r="U403" i="17"/>
  <c r="Y403" i="17" s="1"/>
  <c r="U78" i="17"/>
  <c r="Y78" i="17" s="1"/>
  <c r="U567" i="17"/>
  <c r="Y567" i="17" s="1"/>
  <c r="U195" i="17"/>
  <c r="Y195" i="17" s="1"/>
  <c r="U332" i="17"/>
  <c r="Y332" i="17" s="1"/>
  <c r="AB257" i="17"/>
  <c r="AB162" i="17"/>
  <c r="U610" i="17"/>
  <c r="Y610" i="17" s="1"/>
  <c r="U303" i="17"/>
  <c r="Y303" i="17" s="1"/>
  <c r="U28" i="17"/>
  <c r="Y28" i="17" s="1"/>
  <c r="AB587" i="17"/>
  <c r="U131" i="17"/>
  <c r="Y131" i="17" s="1"/>
  <c r="U500" i="17"/>
  <c r="Y500" i="17" s="1"/>
  <c r="AB247" i="17"/>
  <c r="U107" i="17"/>
  <c r="Y107" i="17" s="1"/>
  <c r="V146" i="17"/>
  <c r="W146" i="17" s="1"/>
  <c r="V419" i="17"/>
  <c r="W419" i="17" s="1"/>
  <c r="V371" i="17"/>
  <c r="W371" i="17" s="1"/>
  <c r="V211" i="17"/>
  <c r="W211" i="17" s="1"/>
  <c r="V206" i="17"/>
  <c r="W206" i="17" s="1"/>
  <c r="V86" i="17"/>
  <c r="W86" i="17" s="1"/>
  <c r="V257" i="17"/>
  <c r="W257" i="17" s="1"/>
  <c r="V157" i="17"/>
  <c r="W157" i="17" s="1"/>
  <c r="V399" i="17"/>
  <c r="W399" i="17" s="1"/>
  <c r="V362" i="17"/>
  <c r="W362" i="17" s="1"/>
  <c r="U373" i="17"/>
  <c r="Y373" i="17" s="1"/>
  <c r="AB50" i="17"/>
  <c r="U477" i="17"/>
  <c r="Y477" i="17" s="1"/>
  <c r="AB94" i="17"/>
  <c r="U56" i="17"/>
  <c r="Y56" i="17" s="1"/>
  <c r="U170" i="17"/>
  <c r="Y170" i="17" s="1"/>
  <c r="U86" i="17"/>
  <c r="U509" i="17"/>
  <c r="Y509" i="17" s="1"/>
  <c r="AB543" i="17"/>
  <c r="AB345" i="17"/>
  <c r="V428" i="17"/>
  <c r="W428" i="17" s="1"/>
  <c r="V359" i="17"/>
  <c r="W359" i="17" s="1"/>
  <c r="V343" i="17"/>
  <c r="W343" i="17" s="1"/>
  <c r="V215" i="17"/>
  <c r="W215" i="17" s="1"/>
  <c r="V578" i="17"/>
  <c r="W578" i="17" s="1"/>
  <c r="V194" i="17"/>
  <c r="W194" i="17" s="1"/>
  <c r="V453" i="17"/>
  <c r="W453" i="17" s="1"/>
  <c r="V437" i="17"/>
  <c r="W437" i="17" s="1"/>
  <c r="V421" i="17"/>
  <c r="W421" i="17" s="1"/>
  <c r="V245" i="17"/>
  <c r="W245" i="17" s="1"/>
  <c r="V179" i="17"/>
  <c r="W179" i="17" s="1"/>
  <c r="V113" i="17"/>
  <c r="W113" i="17" s="1"/>
  <c r="V120" i="17"/>
  <c r="W120" i="17" s="1"/>
  <c r="V72" i="17"/>
  <c r="W72" i="17" s="1"/>
  <c r="V24" i="17"/>
  <c r="W24" i="17" s="1"/>
  <c r="V47" i="17"/>
  <c r="W47" i="17" s="1"/>
  <c r="AB287" i="17"/>
  <c r="U14" i="17"/>
  <c r="Y14" i="17" s="1"/>
  <c r="U569" i="17"/>
  <c r="Y569" i="17" s="1"/>
  <c r="V597" i="17"/>
  <c r="W597" i="17" s="1"/>
  <c r="V292" i="17"/>
  <c r="W292" i="17" s="1"/>
  <c r="V240" i="17"/>
  <c r="W240" i="17" s="1"/>
  <c r="V515" i="17"/>
  <c r="W515" i="17" s="1"/>
  <c r="V291" i="17"/>
  <c r="W291" i="17" s="1"/>
  <c r="V143" i="17"/>
  <c r="W143" i="17" s="1"/>
  <c r="V42" i="17"/>
  <c r="W42" i="17" s="1"/>
  <c r="V462" i="17"/>
  <c r="W462" i="17" s="1"/>
  <c r="V190" i="17"/>
  <c r="W190" i="17" s="1"/>
  <c r="V166" i="17"/>
  <c r="W166" i="17" s="1"/>
  <c r="V241" i="17"/>
  <c r="W241" i="17" s="1"/>
  <c r="V171" i="17"/>
  <c r="W171" i="17" s="1"/>
  <c r="V141" i="17"/>
  <c r="W141" i="17" s="1"/>
  <c r="V164" i="17"/>
  <c r="W164" i="17" s="1"/>
  <c r="V52" i="17"/>
  <c r="W52" i="17" s="1"/>
  <c r="V27" i="17"/>
  <c r="W27" i="17" s="1"/>
  <c r="U530" i="17"/>
  <c r="Y530" i="17" s="1"/>
  <c r="U523" i="17"/>
  <c r="Y523" i="17" s="1"/>
  <c r="U524" i="17"/>
  <c r="Y524" i="17" s="1"/>
  <c r="U369" i="17"/>
  <c r="Y369" i="17" s="1"/>
  <c r="U89" i="17"/>
  <c r="Y89" i="17" s="1"/>
  <c r="U35" i="17"/>
  <c r="Y35" i="17" s="1"/>
  <c r="AB63" i="17"/>
  <c r="AB58" i="17"/>
  <c r="U540" i="17"/>
  <c r="Y540" i="17" s="1"/>
  <c r="V284" i="17"/>
  <c r="W284" i="17" s="1"/>
  <c r="V447" i="17"/>
  <c r="W447" i="17" s="1"/>
  <c r="V431" i="17"/>
  <c r="W431" i="17" s="1"/>
  <c r="V271" i="17"/>
  <c r="W271" i="17" s="1"/>
  <c r="V207" i="17"/>
  <c r="W207" i="17" s="1"/>
  <c r="V135" i="17"/>
  <c r="W135" i="17" s="1"/>
  <c r="AC378" i="17"/>
  <c r="V346" i="17"/>
  <c r="W346" i="17" s="1"/>
  <c r="V218" i="17"/>
  <c r="W218" i="17" s="1"/>
  <c r="V70" i="17"/>
  <c r="W70" i="17" s="1"/>
  <c r="V573" i="17"/>
  <c r="W573" i="17" s="1"/>
  <c r="V365" i="17"/>
  <c r="W365" i="17" s="1"/>
  <c r="V269" i="17"/>
  <c r="W269" i="17" s="1"/>
  <c r="V163" i="17"/>
  <c r="W163" i="17" s="1"/>
  <c r="V25" i="17"/>
  <c r="W25" i="17" s="1"/>
  <c r="V128" i="17"/>
  <c r="W128" i="17" s="1"/>
  <c r="V112" i="17"/>
  <c r="W112" i="17" s="1"/>
  <c r="V80" i="17"/>
  <c r="W80" i="17" s="1"/>
  <c r="AC16" i="17"/>
  <c r="L624" i="17"/>
  <c r="N624" i="17"/>
  <c r="K624" i="17"/>
  <c r="C624" i="17"/>
  <c r="S624" i="17"/>
  <c r="J624" i="17"/>
  <c r="U422" i="17"/>
  <c r="Y422" i="17" s="1"/>
  <c r="AB141" i="17"/>
  <c r="U469" i="17"/>
  <c r="Y469" i="17" s="1"/>
  <c r="AB430" i="17"/>
  <c r="AB310" i="17"/>
  <c r="U464" i="17"/>
  <c r="Y464" i="17" s="1"/>
  <c r="U601" i="17"/>
  <c r="Y601" i="17" s="1"/>
  <c r="V380" i="17"/>
  <c r="W380" i="17" s="1"/>
  <c r="U281" i="17"/>
  <c r="Y281" i="17" s="1"/>
  <c r="E624" i="17"/>
  <c r="T624" i="17"/>
  <c r="I624" i="17"/>
  <c r="M624" i="17"/>
  <c r="U391" i="17"/>
  <c r="Y391" i="17" s="1"/>
  <c r="U180" i="17"/>
  <c r="Y180" i="17" s="1"/>
  <c r="U606" i="17"/>
  <c r="Y606" i="17" s="1"/>
  <c r="U497" i="17"/>
  <c r="Y497" i="17" s="1"/>
  <c r="AB425" i="17"/>
  <c r="U197" i="17"/>
  <c r="Y197" i="17" s="1"/>
  <c r="U358" i="17"/>
  <c r="Y358" i="17" s="1"/>
  <c r="AB269" i="17"/>
  <c r="AB485" i="17"/>
  <c r="U459" i="17"/>
  <c r="Y459" i="17" s="1"/>
  <c r="U241" i="17"/>
  <c r="Y241" i="17" s="1"/>
  <c r="U503" i="17"/>
  <c r="Y503" i="17" s="1"/>
  <c r="U126" i="17"/>
  <c r="Y126" i="17" s="1"/>
  <c r="U254" i="17"/>
  <c r="Y254" i="17" s="1"/>
  <c r="AB576" i="17"/>
  <c r="U140" i="17"/>
  <c r="Y140" i="17" s="1"/>
  <c r="U178" i="17"/>
  <c r="Y178" i="17" s="1"/>
  <c r="V583" i="17"/>
  <c r="W583" i="17" s="1"/>
  <c r="V551" i="17"/>
  <c r="W551" i="17" s="1"/>
  <c r="V514" i="17"/>
  <c r="W514" i="17" s="1"/>
  <c r="V450" i="17"/>
  <c r="W450" i="17" s="1"/>
  <c r="D624" i="17"/>
  <c r="U316" i="17"/>
  <c r="Y316" i="17" s="1"/>
  <c r="U118" i="17"/>
  <c r="Y118" i="17" s="1"/>
  <c r="U433" i="17"/>
  <c r="Y433" i="17" s="1"/>
  <c r="AB399" i="17"/>
  <c r="U528" i="17"/>
  <c r="Y528" i="17" s="1"/>
  <c r="U205" i="17"/>
  <c r="Y205" i="17" s="1"/>
  <c r="U327" i="17"/>
  <c r="Y327" i="17" s="1"/>
  <c r="U398" i="17"/>
  <c r="Y398" i="17" s="1"/>
  <c r="U350" i="17"/>
  <c r="Y350" i="17" s="1"/>
  <c r="U275" i="17"/>
  <c r="Y275" i="17" s="1"/>
  <c r="U290" i="17"/>
  <c r="Y290" i="17" s="1"/>
  <c r="U192" i="17"/>
  <c r="Y192" i="17" s="1"/>
  <c r="U264" i="17"/>
  <c r="Y264" i="17" s="1"/>
  <c r="U252" i="17"/>
  <c r="Y252" i="17" s="1"/>
  <c r="V364" i="17"/>
  <c r="W364" i="17" s="1"/>
  <c r="V348" i="17"/>
  <c r="W348" i="17" s="1"/>
  <c r="V382" i="17"/>
  <c r="W382" i="17" s="1"/>
  <c r="V318" i="17"/>
  <c r="W318" i="17" s="1"/>
  <c r="V481" i="17"/>
  <c r="W481" i="17" s="1"/>
  <c r="V417" i="17"/>
  <c r="W417" i="17" s="1"/>
  <c r="V353" i="17"/>
  <c r="W353" i="17" s="1"/>
  <c r="U489" i="17"/>
  <c r="Y489" i="17" s="1"/>
  <c r="U190" i="17"/>
  <c r="Y190" i="17" s="1"/>
  <c r="U344" i="17"/>
  <c r="Y344" i="17" s="1"/>
  <c r="U472" i="17"/>
  <c r="Y472" i="17" s="1"/>
  <c r="V340" i="17"/>
  <c r="W340" i="17" s="1"/>
  <c r="V592" i="17"/>
  <c r="W592" i="17" s="1"/>
  <c r="V591" i="17"/>
  <c r="W591" i="17" s="1"/>
  <c r="V506" i="17"/>
  <c r="W506" i="17" s="1"/>
  <c r="V442" i="17"/>
  <c r="W442" i="17" s="1"/>
  <c r="U505" i="17"/>
  <c r="Y505" i="17" s="1"/>
  <c r="AB609" i="17"/>
  <c r="U136" i="17"/>
  <c r="Y136" i="17" s="1"/>
  <c r="AB270" i="17"/>
  <c r="U203" i="17"/>
  <c r="Y203" i="17" s="1"/>
  <c r="AB449" i="17"/>
  <c r="U289" i="17"/>
  <c r="Y289" i="17" s="1"/>
  <c r="U517" i="17"/>
  <c r="Y517" i="17" s="1"/>
  <c r="U187" i="17"/>
  <c r="Y187" i="17" s="1"/>
  <c r="AB488" i="17"/>
  <c r="AC206" i="17"/>
  <c r="U492" i="17"/>
  <c r="U145" i="17"/>
  <c r="Y145" i="17" s="1"/>
  <c r="U407" i="17"/>
  <c r="Y407" i="17" s="1"/>
  <c r="U144" i="17"/>
  <c r="Y144" i="17" s="1"/>
  <c r="U348" i="17"/>
  <c r="Y348" i="17" s="1"/>
  <c r="U208" i="17"/>
  <c r="Y208" i="17" s="1"/>
  <c r="AB326" i="17"/>
  <c r="V600" i="17"/>
  <c r="W600" i="17" s="1"/>
  <c r="V558" i="17"/>
  <c r="W558" i="17" s="1"/>
  <c r="V398" i="17"/>
  <c r="W398" i="17" s="1"/>
  <c r="V334" i="17"/>
  <c r="W334" i="17" s="1"/>
  <c r="V545" i="17"/>
  <c r="W545" i="17" s="1"/>
  <c r="V497" i="17"/>
  <c r="W497" i="17" s="1"/>
  <c r="V433" i="17"/>
  <c r="W433" i="17" s="1"/>
  <c r="V369" i="17"/>
  <c r="W369" i="17" s="1"/>
  <c r="AB262" i="17"/>
  <c r="U521" i="17"/>
  <c r="Y521" i="17" s="1"/>
  <c r="AB210" i="17"/>
  <c r="U134" i="17"/>
  <c r="U529" i="17"/>
  <c r="Y529" i="17" s="1"/>
  <c r="U213" i="17"/>
  <c r="Y213" i="17" s="1"/>
  <c r="U608" i="17"/>
  <c r="Y608" i="17" s="1"/>
  <c r="U276" i="17"/>
  <c r="Y276" i="17" s="1"/>
  <c r="U470" i="17"/>
  <c r="Y470" i="17" s="1"/>
  <c r="U415" i="17"/>
  <c r="Y415" i="17" s="1"/>
  <c r="U338" i="17"/>
  <c r="Y338" i="17" s="1"/>
  <c r="U284" i="17"/>
  <c r="Y284" i="17" s="1"/>
  <c r="U273" i="17"/>
  <c r="Y273" i="17" s="1"/>
  <c r="U352" i="17"/>
  <c r="Y352" i="17" s="1"/>
  <c r="U511" i="17"/>
  <c r="Y511" i="17" s="1"/>
  <c r="U441" i="17"/>
  <c r="Y441" i="17" s="1"/>
  <c r="U299" i="17"/>
  <c r="Y299" i="17" s="1"/>
  <c r="U285" i="17"/>
  <c r="Y285" i="17" s="1"/>
  <c r="V392" i="17"/>
  <c r="W392" i="17" s="1"/>
  <c r="V404" i="17"/>
  <c r="W404" i="17" s="1"/>
  <c r="AC527" i="17"/>
  <c r="V570" i="17"/>
  <c r="W570" i="17" s="1"/>
  <c r="AC554" i="17"/>
  <c r="V458" i="17"/>
  <c r="W458" i="17" s="1"/>
  <c r="U513" i="17"/>
  <c r="Y513" i="17" s="1"/>
  <c r="U149" i="17"/>
  <c r="Y149" i="17" s="1"/>
  <c r="U360" i="17"/>
  <c r="Y360" i="17" s="1"/>
  <c r="AB200" i="17"/>
  <c r="U142" i="17"/>
  <c r="Y142" i="17" s="1"/>
  <c r="U480" i="17"/>
  <c r="Y480" i="17" s="1"/>
  <c r="U416" i="17"/>
  <c r="Y416" i="17" s="1"/>
  <c r="U501" i="17"/>
  <c r="Y501" i="17" s="1"/>
  <c r="AB157" i="17"/>
  <c r="U536" i="17"/>
  <c r="Y536" i="17" s="1"/>
  <c r="U198" i="17"/>
  <c r="Y198" i="17" s="1"/>
  <c r="U514" i="17"/>
  <c r="Y514" i="17" s="1"/>
  <c r="U575" i="17"/>
  <c r="Y575" i="17" s="1"/>
  <c r="U221" i="17"/>
  <c r="Y221" i="17" s="1"/>
  <c r="U476" i="17"/>
  <c r="Y476" i="17" s="1"/>
  <c r="U194" i="17"/>
  <c r="Y194" i="17" s="1"/>
  <c r="U212" i="17"/>
  <c r="Y212" i="17" s="1"/>
  <c r="V566" i="17"/>
  <c r="W566" i="17" s="1"/>
  <c r="V390" i="17"/>
  <c r="W390" i="17" s="1"/>
  <c r="V326" i="17"/>
  <c r="W326" i="17" s="1"/>
  <c r="V505" i="17"/>
  <c r="W505" i="17" s="1"/>
  <c r="V441" i="17"/>
  <c r="W441" i="17" s="1"/>
  <c r="V377" i="17"/>
  <c r="W377" i="17" s="1"/>
  <c r="V533" i="17"/>
  <c r="W533" i="17" s="1"/>
  <c r="U244" i="17"/>
  <c r="Y244" i="17" s="1"/>
  <c r="U110" i="17"/>
  <c r="Y110" i="17" s="1"/>
  <c r="U518" i="17"/>
  <c r="Y518" i="17" s="1"/>
  <c r="U368" i="17"/>
  <c r="U293" i="17"/>
  <c r="U406" i="17"/>
  <c r="Y406" i="17" s="1"/>
  <c r="AC612" i="17"/>
  <c r="V520" i="17"/>
  <c r="W520" i="17" s="1"/>
  <c r="V543" i="17"/>
  <c r="W543" i="17" s="1"/>
  <c r="U301" i="17"/>
  <c r="Y301" i="17" s="1"/>
  <c r="U302" i="17"/>
  <c r="Y302" i="17" s="1"/>
  <c r="U448" i="17"/>
  <c r="Y448" i="17" s="1"/>
  <c r="U390" i="17"/>
  <c r="Y390" i="17" s="1"/>
  <c r="U328" i="17"/>
  <c r="Y328" i="17" s="1"/>
  <c r="AB160" i="17"/>
  <c r="U370" i="17"/>
  <c r="Y370" i="17" s="1"/>
  <c r="AB181" i="17"/>
  <c r="U238" i="17"/>
  <c r="Y238" i="17" s="1"/>
  <c r="U432" i="17"/>
  <c r="Y432" i="17" s="1"/>
  <c r="U354" i="17"/>
  <c r="Y354" i="17" s="1"/>
  <c r="U286" i="17"/>
  <c r="Y286" i="17" s="1"/>
  <c r="U440" i="17"/>
  <c r="Y440" i="17" s="1"/>
  <c r="U465" i="17"/>
  <c r="Y465" i="17" s="1"/>
  <c r="V388" i="17"/>
  <c r="W388" i="17" s="1"/>
  <c r="V528" i="17"/>
  <c r="W528" i="17" s="1"/>
  <c r="V603" i="17"/>
  <c r="W603" i="17" s="1"/>
  <c r="V534" i="17"/>
  <c r="W534" i="17" s="1"/>
  <c r="V358" i="17"/>
  <c r="W358" i="17" s="1"/>
  <c r="U152" i="17"/>
  <c r="Y152" i="17" s="1"/>
  <c r="U214" i="17"/>
  <c r="Y214" i="17" s="1"/>
  <c r="AB165" i="17"/>
  <c r="U224" i="17"/>
  <c r="Y224" i="17" s="1"/>
  <c r="U318" i="17"/>
  <c r="AB216" i="17"/>
  <c r="U278" i="17"/>
  <c r="Y278" i="17" s="1"/>
  <c r="U296" i="17"/>
  <c r="Y296" i="17" s="1"/>
  <c r="U173" i="17"/>
  <c r="Y173" i="17" s="1"/>
  <c r="U612" i="17"/>
  <c r="Y612" i="17" s="1"/>
  <c r="V412" i="17"/>
  <c r="W412" i="17" s="1"/>
  <c r="V576" i="17"/>
  <c r="W576" i="17" s="1"/>
  <c r="V535" i="17"/>
  <c r="W535" i="17" s="1"/>
  <c r="V582" i="17"/>
  <c r="W582" i="17" s="1"/>
  <c r="V406" i="17"/>
  <c r="W406" i="17" s="1"/>
  <c r="V342" i="17"/>
  <c r="W342" i="17" s="1"/>
  <c r="U402" i="17"/>
  <c r="Y402" i="17" s="1"/>
  <c r="U487" i="17"/>
  <c r="Y487" i="17" s="1"/>
  <c r="V356" i="17"/>
  <c r="W356" i="17" s="1"/>
  <c r="U418" i="17"/>
  <c r="Y418" i="17" s="1"/>
  <c r="U475" i="17"/>
  <c r="Y475" i="17" s="1"/>
  <c r="U502" i="17"/>
  <c r="Y502" i="17" s="1"/>
  <c r="U434" i="17"/>
  <c r="Y434" i="17" s="1"/>
  <c r="U466" i="17"/>
  <c r="Y466" i="17" s="1"/>
  <c r="AC24" i="17"/>
  <c r="AC580" i="17"/>
  <c r="V522" i="17"/>
  <c r="W522" i="17" s="1"/>
  <c r="V525" i="17"/>
  <c r="W525" i="17" s="1"/>
  <c r="V537" i="17"/>
  <c r="W537" i="17" s="1"/>
  <c r="AC521" i="17"/>
  <c r="AC538" i="17"/>
  <c r="V598" i="17"/>
  <c r="W598" i="17" s="1"/>
  <c r="U486" i="17"/>
  <c r="Y486" i="17" s="1"/>
  <c r="AC149" i="17"/>
  <c r="AC60" i="17"/>
  <c r="U494" i="17"/>
  <c r="Y494" i="17" s="1"/>
  <c r="V544" i="17"/>
  <c r="W544" i="17" s="1"/>
  <c r="U596" i="17"/>
  <c r="Y596" i="17" s="1"/>
  <c r="U447" i="17"/>
  <c r="Y447" i="17" s="1"/>
  <c r="V541" i="17"/>
  <c r="W541" i="17" s="1"/>
  <c r="U604" i="17"/>
  <c r="Y604" i="17" s="1"/>
  <c r="AC587" i="17"/>
  <c r="V521" i="17"/>
  <c r="W521" i="17" s="1"/>
  <c r="U556" i="17"/>
  <c r="Y556" i="17" s="1"/>
  <c r="AC563" i="17"/>
  <c r="U463" i="17"/>
  <c r="Y463" i="17" s="1"/>
  <c r="U482" i="17"/>
  <c r="Y482" i="17" s="1"/>
  <c r="V587" i="17"/>
  <c r="W587" i="17" s="1"/>
  <c r="U443" i="17"/>
  <c r="Y443" i="17" s="1"/>
  <c r="AC353" i="17"/>
  <c r="AC122" i="17"/>
  <c r="AB458" i="17"/>
  <c r="V416" i="17"/>
  <c r="W416" i="17" s="1"/>
  <c r="AC508" i="17"/>
  <c r="AC390" i="17"/>
  <c r="AC123" i="17"/>
  <c r="V352" i="17"/>
  <c r="W352" i="17" s="1"/>
  <c r="AB467" i="17"/>
  <c r="AC537" i="17"/>
  <c r="AC69" i="17"/>
  <c r="AC260" i="17"/>
  <c r="AC502" i="17"/>
  <c r="AC101" i="17"/>
  <c r="AC35" i="17"/>
  <c r="V568" i="17"/>
  <c r="W568" i="17" s="1"/>
  <c r="V400" i="17"/>
  <c r="W400" i="17" s="1"/>
  <c r="V336" i="17"/>
  <c r="W336" i="17" s="1"/>
  <c r="AC294" i="17"/>
  <c r="AC524" i="17"/>
  <c r="AC464" i="17"/>
  <c r="AC124" i="17"/>
  <c r="AC379" i="17"/>
  <c r="AC115" i="17"/>
  <c r="AC425" i="17"/>
  <c r="AC470" i="17"/>
  <c r="AC262" i="17"/>
  <c r="AC181" i="17"/>
  <c r="AC443" i="17"/>
  <c r="U580" i="17"/>
  <c r="Y580" i="17" s="1"/>
  <c r="U563" i="17"/>
  <c r="Y563" i="17" s="1"/>
  <c r="U288" i="17"/>
  <c r="Y288" i="17" s="1"/>
  <c r="AC496" i="17"/>
  <c r="AC195" i="17"/>
  <c r="AC536" i="17"/>
  <c r="AC270" i="17"/>
  <c r="AC91" i="17"/>
  <c r="AC366" i="17"/>
  <c r="AC20" i="17"/>
  <c r="V579" i="17"/>
  <c r="W579" i="17" s="1"/>
  <c r="U548" i="17"/>
  <c r="Y548" i="17" s="1"/>
  <c r="U483" i="17"/>
  <c r="Y483" i="17" s="1"/>
  <c r="AC180" i="17"/>
  <c r="AC350" i="17"/>
  <c r="AC227" i="17"/>
  <c r="V547" i="17"/>
  <c r="W547" i="17" s="1"/>
  <c r="U467" i="17"/>
  <c r="Y467" i="17" s="1"/>
  <c r="U442" i="17"/>
  <c r="Y442" i="17" s="1"/>
  <c r="AC273" i="17"/>
  <c r="AB81" i="17"/>
  <c r="AC398" i="17"/>
  <c r="AC558" i="17"/>
  <c r="AC240" i="17"/>
  <c r="AC339" i="17"/>
  <c r="AC222" i="17"/>
  <c r="U613" i="17"/>
  <c r="Y613" i="17" s="1"/>
  <c r="V529" i="17"/>
  <c r="W529" i="17" s="1"/>
  <c r="U515" i="17"/>
  <c r="Y515" i="17" s="1"/>
  <c r="U451" i="17"/>
  <c r="Y451" i="17" s="1"/>
  <c r="U426" i="17"/>
  <c r="Y426" i="17" s="1"/>
  <c r="U362" i="17"/>
  <c r="Y362" i="17" s="1"/>
  <c r="U272" i="17"/>
  <c r="Y272" i="17" s="1"/>
  <c r="V606" i="17"/>
  <c r="W606" i="17" s="1"/>
  <c r="V320" i="17"/>
  <c r="W320" i="17" s="1"/>
  <c r="V610" i="17"/>
  <c r="W610" i="17" s="1"/>
  <c r="V212" i="17"/>
  <c r="W212" i="17" s="1"/>
  <c r="AC192" i="17"/>
  <c r="V552" i="17"/>
  <c r="W552" i="17" s="1"/>
  <c r="U499" i="17"/>
  <c r="Y499" i="17" s="1"/>
  <c r="U435" i="17"/>
  <c r="Y435" i="17" s="1"/>
  <c r="U474" i="17"/>
  <c r="Y474" i="17" s="1"/>
  <c r="U410" i="17"/>
  <c r="Y410" i="17" s="1"/>
  <c r="U346" i="17"/>
  <c r="Y346" i="17" s="1"/>
  <c r="V384" i="17"/>
  <c r="W384" i="17" s="1"/>
  <c r="U256" i="17"/>
  <c r="Y256" i="17" s="1"/>
  <c r="U181" i="17"/>
  <c r="Y181" i="17" s="1"/>
  <c r="U445" i="17"/>
  <c r="Y445" i="17" s="1"/>
  <c r="U576" i="17"/>
  <c r="Y576" i="17" s="1"/>
  <c r="U270" i="17"/>
  <c r="Y270" i="17" s="1"/>
  <c r="V287" i="17"/>
  <c r="W287" i="17" s="1"/>
  <c r="V333" i="17"/>
  <c r="W333" i="17" s="1"/>
  <c r="U377" i="17"/>
  <c r="Y377" i="17" s="1"/>
  <c r="U490" i="17"/>
  <c r="Y490" i="17" s="1"/>
  <c r="U165" i="17"/>
  <c r="Y165" i="17" s="1"/>
  <c r="AC111" i="17"/>
  <c r="AC168" i="17"/>
  <c r="U600" i="17"/>
  <c r="Y600" i="17" s="1"/>
  <c r="U419" i="17"/>
  <c r="Y419" i="17" s="1"/>
  <c r="U394" i="17"/>
  <c r="Y394" i="17" s="1"/>
  <c r="U330" i="17"/>
  <c r="Y330" i="17" s="1"/>
  <c r="V368" i="17"/>
  <c r="W368" i="17" s="1"/>
  <c r="U304" i="17"/>
  <c r="Y304" i="17" s="1"/>
  <c r="U240" i="17"/>
  <c r="Y240" i="17" s="1"/>
  <c r="U399" i="17"/>
  <c r="Y399" i="17" s="1"/>
  <c r="U216" i="17"/>
  <c r="Y216" i="17" s="1"/>
  <c r="U127" i="17"/>
  <c r="Y127" i="17" s="1"/>
  <c r="V288" i="17"/>
  <c r="W288" i="17" s="1"/>
  <c r="AC562" i="17"/>
  <c r="AC129" i="17"/>
  <c r="AC487" i="17"/>
  <c r="V530" i="17"/>
  <c r="W530" i="17" s="1"/>
  <c r="U506" i="17"/>
  <c r="Y506" i="17" s="1"/>
  <c r="U378" i="17"/>
  <c r="Y378" i="17" s="1"/>
  <c r="V480" i="17"/>
  <c r="W480" i="17" s="1"/>
  <c r="U485" i="17"/>
  <c r="Y485" i="17" s="1"/>
  <c r="U193" i="17"/>
  <c r="Y193" i="17" s="1"/>
  <c r="V301" i="17"/>
  <c r="W301" i="17" s="1"/>
  <c r="V174" i="17"/>
  <c r="W174" i="17" s="1"/>
  <c r="V136" i="17"/>
  <c r="W136" i="17" s="1"/>
  <c r="U458" i="17"/>
  <c r="Y458" i="17" s="1"/>
  <c r="U21" i="17"/>
  <c r="U389" i="17"/>
  <c r="Y389" i="17" s="1"/>
  <c r="U182" i="17"/>
  <c r="Y182" i="17" s="1"/>
  <c r="V325" i="17"/>
  <c r="W325" i="17" s="1"/>
  <c r="V38" i="17"/>
  <c r="W38" i="17" s="1"/>
  <c r="U587" i="17"/>
  <c r="Y587" i="17" s="1"/>
  <c r="U484" i="17"/>
  <c r="Y484" i="17" s="1"/>
  <c r="AC327" i="17"/>
  <c r="AC242" i="17"/>
  <c r="AC162" i="17"/>
  <c r="AC375" i="17"/>
  <c r="AC142" i="17"/>
  <c r="V58" i="17"/>
  <c r="W58" i="17" s="1"/>
  <c r="U552" i="17"/>
  <c r="Y552" i="17" s="1"/>
  <c r="U287" i="17"/>
  <c r="Y287" i="17" s="1"/>
  <c r="U599" i="17"/>
  <c r="Y599" i="17" s="1"/>
  <c r="V394" i="17"/>
  <c r="W394" i="17" s="1"/>
  <c r="V612" i="17"/>
  <c r="W612" i="17" s="1"/>
  <c r="U534" i="17"/>
  <c r="Y534" i="17" s="1"/>
  <c r="U430" i="17"/>
  <c r="Y430" i="17" s="1"/>
  <c r="U25" i="17"/>
  <c r="Y25" i="17" s="1"/>
  <c r="U385" i="17"/>
  <c r="Y385" i="17" s="1"/>
  <c r="U597" i="17"/>
  <c r="Y597" i="17" s="1"/>
  <c r="V110" i="17"/>
  <c r="W110" i="17" s="1"/>
  <c r="V277" i="17"/>
  <c r="W277" i="17" s="1"/>
  <c r="U405" i="17"/>
  <c r="Y405" i="17" s="1"/>
  <c r="U156" i="17"/>
  <c r="Y156" i="17" s="1"/>
  <c r="U525" i="17"/>
  <c r="Y525" i="17" s="1"/>
  <c r="U99" i="17"/>
  <c r="Y99" i="17" s="1"/>
  <c r="V311" i="17"/>
  <c r="W311" i="17" s="1"/>
  <c r="V527" i="17"/>
  <c r="W527" i="17" s="1"/>
  <c r="U88" i="17"/>
  <c r="Y88" i="17" s="1"/>
  <c r="U62" i="17"/>
  <c r="Y62" i="17" s="1"/>
  <c r="U163" i="17"/>
  <c r="Y163" i="17" s="1"/>
  <c r="U157" i="17"/>
  <c r="Y157" i="17" s="1"/>
  <c r="U602" i="17"/>
  <c r="Y602" i="17" s="1"/>
  <c r="U23" i="17"/>
  <c r="Y23" i="17" s="1"/>
  <c r="V402" i="17"/>
  <c r="W402" i="17" s="1"/>
  <c r="U428" i="17"/>
  <c r="Y428" i="17" s="1"/>
  <c r="U263" i="17"/>
  <c r="Y263" i="17" s="1"/>
  <c r="U59" i="17"/>
  <c r="Y59" i="17" s="1"/>
  <c r="U351" i="17"/>
  <c r="Y351" i="17" s="1"/>
  <c r="U471" i="17"/>
  <c r="Y471" i="17" s="1"/>
  <c r="U446" i="17"/>
  <c r="Y446" i="17" s="1"/>
  <c r="U41" i="17"/>
  <c r="Y41" i="17" s="1"/>
  <c r="U119" i="17"/>
  <c r="Y119" i="17" s="1"/>
  <c r="V293" i="17"/>
  <c r="W293" i="17" s="1"/>
  <c r="U334" i="17"/>
  <c r="Y334" i="17" s="1"/>
  <c r="U249" i="17"/>
  <c r="Y249" i="17" s="1"/>
  <c r="U538" i="17"/>
  <c r="Y538" i="17" s="1"/>
  <c r="U379" i="17"/>
  <c r="Y379" i="17" s="1"/>
  <c r="U364" i="17"/>
  <c r="Y364" i="17" s="1"/>
  <c r="V580" i="17"/>
  <c r="W580" i="17" s="1"/>
  <c r="U269" i="17"/>
  <c r="Y269" i="17" s="1"/>
  <c r="U611" i="17"/>
  <c r="Y611" i="17" s="1"/>
  <c r="U257" i="17"/>
  <c r="Y257" i="17" s="1"/>
  <c r="U177" i="17"/>
  <c r="Y177" i="17" s="1"/>
  <c r="U295" i="17"/>
  <c r="Y295" i="17" s="1"/>
  <c r="U141" i="17"/>
  <c r="Y141" i="17" s="1"/>
  <c r="U605" i="17"/>
  <c r="Y605" i="17" s="1"/>
  <c r="U365" i="17"/>
  <c r="Y365" i="17" s="1"/>
  <c r="U345" i="17"/>
  <c r="Y345" i="17" s="1"/>
  <c r="U488" i="17"/>
  <c r="Y488" i="17" s="1"/>
  <c r="V16" i="17"/>
  <c r="W16" i="17" s="1"/>
  <c r="U336" i="17"/>
  <c r="Y336" i="17" s="1"/>
  <c r="U55" i="17"/>
  <c r="Y55" i="17" s="1"/>
  <c r="U361" i="17"/>
  <c r="Y361" i="17" s="1"/>
  <c r="U219" i="17"/>
  <c r="Y219" i="17" s="1"/>
  <c r="V386" i="17"/>
  <c r="W386" i="17" s="1"/>
  <c r="U63" i="17"/>
  <c r="Y63" i="17" s="1"/>
  <c r="U48" i="17"/>
  <c r="Y48" i="17" s="1"/>
  <c r="U68" i="17"/>
  <c r="Y68" i="17" s="1"/>
  <c r="U202" i="17"/>
  <c r="Y202" i="17" s="1"/>
  <c r="V167" i="17"/>
  <c r="W167" i="17" s="1"/>
  <c r="U79" i="17"/>
  <c r="Y79" i="17" s="1"/>
  <c r="U44" i="17"/>
  <c r="Y44" i="17" s="1"/>
  <c r="U70" i="17"/>
  <c r="Y70" i="17" s="1"/>
  <c r="V191" i="17"/>
  <c r="W191" i="17" s="1"/>
  <c r="V426" i="17"/>
  <c r="W426" i="17" s="1"/>
  <c r="U423" i="17"/>
  <c r="U113" i="17"/>
  <c r="Y113" i="17" s="1"/>
  <c r="V161" i="17"/>
  <c r="W161" i="17" s="1"/>
  <c r="U326" i="17"/>
  <c r="Y326" i="17" s="1"/>
  <c r="U531" i="17"/>
  <c r="Y531" i="17" s="1"/>
  <c r="U533" i="17"/>
  <c r="Y533" i="17" s="1"/>
  <c r="V509" i="17"/>
  <c r="W509" i="17" s="1"/>
  <c r="V381" i="17"/>
  <c r="W381" i="17" s="1"/>
  <c r="U188" i="17"/>
  <c r="V316" i="17"/>
  <c r="W316" i="17" s="1"/>
  <c r="U329" i="17"/>
  <c r="Y329" i="17" s="1"/>
  <c r="U392" i="17"/>
  <c r="Y392" i="17" s="1"/>
  <c r="V82" i="17"/>
  <c r="W82" i="17" s="1"/>
  <c r="U255" i="17"/>
  <c r="Y255" i="17" s="1"/>
  <c r="U40" i="17"/>
  <c r="Y40" i="17" s="1"/>
  <c r="U282" i="17"/>
  <c r="Y282" i="17" s="1"/>
  <c r="U215" i="17"/>
  <c r="Y215" i="17" s="1"/>
  <c r="U98" i="17"/>
  <c r="Y98" i="17" s="1"/>
  <c r="U19" i="17"/>
  <c r="Y19" i="17" s="1"/>
  <c r="V608" i="17"/>
  <c r="W608" i="17" s="1"/>
  <c r="U31" i="17"/>
  <c r="Y31" i="17" s="1"/>
  <c r="U24" i="17"/>
  <c r="Y24" i="17" s="1"/>
  <c r="U210" i="17"/>
  <c r="Y210" i="17" s="1"/>
  <c r="U76" i="17"/>
  <c r="Y76" i="17" s="1"/>
  <c r="U186" i="17"/>
  <c r="Y186" i="17" s="1"/>
  <c r="U166" i="17"/>
  <c r="Y166" i="17" s="1"/>
  <c r="U372" i="17"/>
  <c r="Y372" i="17" s="1"/>
  <c r="U414" i="17"/>
  <c r="Y414" i="17" s="1"/>
  <c r="U16" i="17"/>
  <c r="Y16" i="17" s="1"/>
  <c r="U401" i="17"/>
  <c r="Y401" i="17" s="1"/>
  <c r="U325" i="17"/>
  <c r="Y325" i="17" s="1"/>
  <c r="U153" i="17"/>
  <c r="Y153" i="17" s="1"/>
  <c r="V332" i="17"/>
  <c r="W332" i="17" s="1"/>
  <c r="U566" i="17"/>
  <c r="Y566" i="17" s="1"/>
  <c r="V39" i="17"/>
  <c r="W39" i="17" s="1"/>
  <c r="U196" i="17"/>
  <c r="Y196" i="17" s="1"/>
  <c r="U247" i="17"/>
  <c r="Y247" i="17" s="1"/>
  <c r="U58" i="17"/>
  <c r="Y58" i="17" s="1"/>
  <c r="U343" i="17"/>
  <c r="Y343" i="17" s="1"/>
  <c r="U356" i="17"/>
  <c r="Y356" i="17" s="1"/>
  <c r="U32" i="17"/>
  <c r="Y32" i="17" s="1"/>
  <c r="V554" i="17"/>
  <c r="W554" i="17" s="1"/>
  <c r="U310" i="17"/>
  <c r="Y310" i="17" s="1"/>
  <c r="V575" i="17"/>
  <c r="W575" i="17" s="1"/>
  <c r="U542" i="17"/>
  <c r="Y542" i="17" s="1"/>
  <c r="U374" i="17"/>
  <c r="Y374" i="17" s="1"/>
  <c r="U128" i="17"/>
  <c r="Y128" i="17" s="1"/>
  <c r="U386" i="17"/>
  <c r="Y386" i="17" s="1"/>
  <c r="U333" i="17"/>
  <c r="Y333" i="17" s="1"/>
  <c r="U400" i="17"/>
  <c r="Y400" i="17" s="1"/>
  <c r="V55" i="17"/>
  <c r="W55" i="17" s="1"/>
  <c r="V285" i="17"/>
  <c r="W285" i="17" s="1"/>
  <c r="U380" i="17"/>
  <c r="Y380" i="17" s="1"/>
  <c r="U594" i="17"/>
  <c r="Y594" i="17" s="1"/>
  <c r="U237" i="17"/>
  <c r="Y237" i="17" s="1"/>
  <c r="U77" i="17"/>
  <c r="Y77" i="17" s="1"/>
  <c r="U161" i="17"/>
  <c r="Y161" i="17" s="1"/>
  <c r="U65" i="17"/>
  <c r="Y65" i="17" s="1"/>
  <c r="U592" i="17"/>
  <c r="Y592" i="17" s="1"/>
  <c r="U151" i="17"/>
  <c r="Y151" i="17" s="1"/>
  <c r="U543" i="17"/>
  <c r="Y543" i="17" s="1"/>
  <c r="U124" i="17"/>
  <c r="Y124" i="17" s="1"/>
  <c r="U42" i="17"/>
  <c r="Y42" i="17" s="1"/>
  <c r="U231" i="17"/>
  <c r="Y231" i="17" s="1"/>
  <c r="U94" i="17"/>
  <c r="Y94" i="17" s="1"/>
  <c r="U340" i="17"/>
  <c r="Y340" i="17" s="1"/>
  <c r="U609" i="17"/>
  <c r="Y609" i="17" s="1"/>
  <c r="U243" i="17"/>
  <c r="Y243" i="17" s="1"/>
  <c r="U478" i="17"/>
  <c r="Y478" i="17" s="1"/>
  <c r="AC290" i="17"/>
  <c r="AC183" i="17"/>
  <c r="AC213" i="17"/>
  <c r="AC567" i="17"/>
  <c r="AC284" i="17"/>
  <c r="U207" i="17"/>
  <c r="Y207" i="17" s="1"/>
  <c r="U347" i="17"/>
  <c r="Y347" i="17" s="1"/>
  <c r="U421" i="17"/>
  <c r="Y421" i="17" s="1"/>
  <c r="U87" i="17"/>
  <c r="U323" i="17"/>
  <c r="Y323" i="17" s="1"/>
  <c r="U50" i="17"/>
  <c r="Y50" i="17" s="1"/>
  <c r="U520" i="17"/>
  <c r="Y520" i="17" s="1"/>
  <c r="U579" i="17"/>
  <c r="U239" i="17"/>
  <c r="Y239" i="17" s="1"/>
  <c r="U39" i="17"/>
  <c r="Y39" i="17" s="1"/>
  <c r="U371" i="17"/>
  <c r="Y371" i="17" s="1"/>
  <c r="V378" i="17"/>
  <c r="W378" i="17" s="1"/>
  <c r="V602" i="17"/>
  <c r="W602" i="17" s="1"/>
  <c r="U38" i="17"/>
  <c r="Y38" i="17" s="1"/>
  <c r="V255" i="17"/>
  <c r="W255" i="17" s="1"/>
  <c r="U211" i="17"/>
  <c r="Y211" i="17" s="1"/>
  <c r="U262" i="17"/>
  <c r="Y262" i="17" s="1"/>
  <c r="U461" i="17"/>
  <c r="Y461" i="17" s="1"/>
  <c r="V572" i="17"/>
  <c r="W572" i="17" s="1"/>
  <c r="U321" i="17"/>
  <c r="Y321" i="17" s="1"/>
  <c r="U277" i="17"/>
  <c r="Y277" i="17" s="1"/>
  <c r="U200" i="17"/>
  <c r="Y200" i="17" s="1"/>
  <c r="V328" i="17"/>
  <c r="W328" i="17" s="1"/>
  <c r="U544" i="17"/>
  <c r="Y544" i="17" s="1"/>
  <c r="U550" i="17"/>
  <c r="Y550" i="17" s="1"/>
  <c r="V477" i="17"/>
  <c r="W477" i="17" s="1"/>
  <c r="V349" i="17"/>
  <c r="W349" i="17" s="1"/>
  <c r="U69" i="17"/>
  <c r="U169" i="17"/>
  <c r="Y169" i="17" s="1"/>
  <c r="U297" i="17"/>
  <c r="Y297" i="17" s="1"/>
  <c r="U220" i="17"/>
  <c r="Y220" i="17" s="1"/>
  <c r="U561" i="17"/>
  <c r="Y561" i="17" s="1"/>
  <c r="V169" i="17"/>
  <c r="W169" i="17" s="1"/>
  <c r="U456" i="17"/>
  <c r="Y456" i="17" s="1"/>
  <c r="V13" i="17"/>
  <c r="W13" i="17" s="1"/>
  <c r="U306" i="17"/>
  <c r="U52" i="17"/>
  <c r="Y52" i="17" s="1"/>
  <c r="U74" i="17"/>
  <c r="Y74" i="17" s="1"/>
  <c r="U139" i="17"/>
  <c r="Y139" i="17" s="1"/>
  <c r="U162" i="17"/>
  <c r="Y162" i="17" s="1"/>
  <c r="U75" i="17"/>
  <c r="Y75" i="17" s="1"/>
  <c r="U335" i="17"/>
  <c r="Y335" i="17" s="1"/>
  <c r="U291" i="17"/>
  <c r="Y291" i="17" s="1"/>
  <c r="U562" i="17"/>
  <c r="U572" i="17"/>
  <c r="Y572" i="17" s="1"/>
  <c r="U454" i="17"/>
  <c r="Y454" i="17" s="1"/>
  <c r="U112" i="17"/>
  <c r="Y112" i="17" s="1"/>
  <c r="U417" i="17"/>
  <c r="V18" i="17"/>
  <c r="W18" i="17" s="1"/>
  <c r="U138" i="17"/>
  <c r="Y138" i="17" s="1"/>
  <c r="U206" i="17"/>
  <c r="Y206" i="17" s="1"/>
  <c r="U452" i="17"/>
  <c r="Y452" i="17" s="1"/>
  <c r="U460" i="17"/>
  <c r="Y460" i="17" s="1"/>
  <c r="U179" i="17"/>
  <c r="Y179" i="17" s="1"/>
  <c r="U230" i="17"/>
  <c r="U583" i="17"/>
  <c r="U537" i="17"/>
  <c r="Y537" i="17" s="1"/>
  <c r="U133" i="17"/>
  <c r="Y133" i="17" s="1"/>
  <c r="U261" i="17"/>
  <c r="Y261" i="17" s="1"/>
  <c r="U184" i="17"/>
  <c r="U312" i="17"/>
  <c r="Y312" i="17" s="1"/>
  <c r="U408" i="17"/>
  <c r="Y408" i="17" s="1"/>
  <c r="V493" i="17"/>
  <c r="W493" i="17" s="1"/>
  <c r="U53" i="17"/>
  <c r="Y53" i="17" s="1"/>
  <c r="U357" i="17"/>
  <c r="Y357" i="17" s="1"/>
  <c r="U313" i="17"/>
  <c r="Y313" i="17" s="1"/>
  <c r="U411" i="17"/>
  <c r="Y411" i="17" s="1"/>
  <c r="U427" i="17"/>
  <c r="V96" i="17"/>
  <c r="W96" i="17" s="1"/>
  <c r="V234" i="17"/>
  <c r="W234" i="17" s="1"/>
  <c r="V253" i="17"/>
  <c r="W253" i="17" s="1"/>
  <c r="U209" i="17"/>
  <c r="U260" i="17"/>
  <c r="Y260" i="17" s="1"/>
  <c r="U457" i="17"/>
  <c r="Y457" i="17" s="1"/>
  <c r="V460" i="17"/>
  <c r="W460" i="17" s="1"/>
  <c r="U298" i="17"/>
  <c r="U171" i="17"/>
  <c r="Y171" i="17" s="1"/>
  <c r="U339" i="17"/>
  <c r="Y339" i="17" s="1"/>
  <c r="U557" i="17"/>
  <c r="Y557" i="17" s="1"/>
  <c r="V607" i="17"/>
  <c r="W607" i="17" s="1"/>
  <c r="U449" i="17"/>
  <c r="Y449" i="17" s="1"/>
  <c r="U507" i="17"/>
  <c r="Y507" i="17" s="1"/>
  <c r="U109" i="17"/>
  <c r="Y109" i="17" s="1"/>
  <c r="U129" i="17"/>
  <c r="U425" i="17"/>
  <c r="Y425" i="17" s="1"/>
  <c r="U93" i="17"/>
  <c r="Y93" i="17" s="1"/>
  <c r="U577" i="17"/>
  <c r="Y577" i="17" s="1"/>
  <c r="U535" i="17"/>
  <c r="U222" i="17"/>
  <c r="Y222" i="17" s="1"/>
  <c r="U71" i="17"/>
  <c r="Y71" i="17" s="1"/>
  <c r="V479" i="17"/>
  <c r="W479" i="17" s="1"/>
  <c r="U429" i="17"/>
  <c r="Y429" i="17" s="1"/>
  <c r="U424" i="17"/>
  <c r="Y424" i="17" s="1"/>
  <c r="V538" i="17"/>
  <c r="W538" i="17" s="1"/>
  <c r="U13" i="17"/>
  <c r="Y13" i="17" s="1"/>
  <c r="U225" i="17"/>
  <c r="Y225" i="17" s="1"/>
  <c r="V532" i="17"/>
  <c r="W532" i="17" s="1"/>
  <c r="U158" i="17"/>
  <c r="Y158" i="17" s="1"/>
  <c r="U438" i="17"/>
  <c r="Y438" i="17" s="1"/>
  <c r="U160" i="17"/>
  <c r="Y160" i="17" s="1"/>
  <c r="AC384" i="17"/>
  <c r="AB419" i="17"/>
  <c r="AB600" i="17"/>
  <c r="AC552" i="17"/>
  <c r="AC400" i="17"/>
  <c r="W13" i="27"/>
  <c r="X57" i="27"/>
  <c r="W57" i="27"/>
  <c r="X61" i="27"/>
  <c r="W61" i="27"/>
  <c r="X65" i="27"/>
  <c r="W65" i="27"/>
  <c r="X68" i="27"/>
  <c r="W68" i="27"/>
  <c r="W51" i="27"/>
  <c r="W17" i="27"/>
  <c r="AC592" i="17"/>
  <c r="AC516" i="17"/>
  <c r="AC138" i="17"/>
  <c r="AB36" i="17"/>
  <c r="AB110" i="17"/>
  <c r="AC467" i="17"/>
  <c r="AC45" i="17"/>
  <c r="AC40" i="17"/>
  <c r="AB221" i="17"/>
  <c r="AB151" i="17"/>
  <c r="AB209" i="17"/>
  <c r="AC217" i="17"/>
  <c r="AB435" i="17"/>
  <c r="AB350" i="17"/>
  <c r="AC429" i="17"/>
  <c r="AB402" i="17"/>
  <c r="AB147" i="17"/>
  <c r="AC482" i="17"/>
  <c r="AC355" i="17"/>
  <c r="AC393" i="17"/>
  <c r="AB128" i="17"/>
  <c r="AB196" i="17"/>
  <c r="AC306" i="17"/>
  <c r="AB138" i="17"/>
  <c r="AB217" i="17"/>
  <c r="AB572" i="17"/>
  <c r="AB43" i="17"/>
  <c r="AC423" i="17"/>
  <c r="AB560" i="17"/>
  <c r="AC283" i="17"/>
  <c r="AC19" i="17"/>
  <c r="AC362" i="17"/>
  <c r="AC233" i="17"/>
  <c r="AB79" i="17"/>
  <c r="AB477" i="17"/>
  <c r="AB505" i="17"/>
  <c r="AB401" i="17"/>
  <c r="AC455" i="17"/>
  <c r="AB321" i="17"/>
  <c r="AC224" i="17"/>
  <c r="AB423" i="17"/>
  <c r="AB364" i="17"/>
  <c r="AC342" i="17"/>
  <c r="AB172" i="17"/>
  <c r="AC84" i="17"/>
  <c r="AB225" i="17"/>
  <c r="AC434" i="17"/>
  <c r="AC549" i="17"/>
  <c r="AB407" i="17"/>
  <c r="AB417" i="17"/>
  <c r="AC483" i="17"/>
  <c r="AB208" i="17"/>
  <c r="AB323" i="17"/>
  <c r="AC479" i="17"/>
  <c r="AC98" i="17"/>
  <c r="AB391" i="17"/>
  <c r="AB135" i="17"/>
  <c r="AB478" i="17"/>
  <c r="AC433" i="17"/>
  <c r="AC507" i="17"/>
  <c r="AB584" i="17"/>
  <c r="AB70" i="17"/>
  <c r="AC331" i="17"/>
  <c r="AB465" i="17"/>
  <c r="AB539" i="17"/>
  <c r="AC200" i="17"/>
  <c r="AC275" i="17"/>
  <c r="AB235" i="17"/>
  <c r="AB552" i="17"/>
  <c r="AB304" i="17"/>
  <c r="AB74" i="17"/>
  <c r="AB161" i="17"/>
  <c r="AC49" i="17"/>
  <c r="AB312" i="17"/>
  <c r="AB499" i="17"/>
  <c r="AB277" i="17"/>
  <c r="AC565" i="17"/>
  <c r="AB56" i="17"/>
  <c r="AC62" i="17"/>
  <c r="AC488" i="17"/>
  <c r="AC104" i="17"/>
  <c r="AB579" i="17"/>
  <c r="AB311" i="17"/>
  <c r="AC504" i="17"/>
  <c r="AB40" i="17"/>
  <c r="AC518" i="17"/>
  <c r="AB140" i="17"/>
  <c r="AC99" i="17"/>
  <c r="AB120" i="17"/>
  <c r="AC252" i="17"/>
  <c r="AB122" i="17"/>
  <c r="AC25" i="17"/>
  <c r="AB371" i="17"/>
  <c r="AC230" i="17"/>
  <c r="AB237" i="17"/>
  <c r="AB116" i="17"/>
  <c r="AC103" i="17"/>
  <c r="AB356" i="17"/>
  <c r="AB306" i="17"/>
  <c r="AC178" i="17"/>
  <c r="AC376" i="17"/>
  <c r="AC81" i="17"/>
  <c r="AB555" i="17"/>
  <c r="AC295" i="17"/>
  <c r="AB283" i="17"/>
  <c r="AC130" i="17"/>
  <c r="AC167" i="17"/>
  <c r="AC37" i="17"/>
  <c r="AB95" i="17"/>
  <c r="AB73" i="17"/>
  <c r="AB422" i="17"/>
  <c r="AC354" i="17"/>
  <c r="AC431" i="17"/>
  <c r="AB152" i="17"/>
  <c r="AC156" i="17"/>
  <c r="AC144" i="17"/>
  <c r="AB344" i="17"/>
  <c r="AB191" i="17"/>
  <c r="AC513" i="17"/>
  <c r="AB124" i="17"/>
  <c r="AC561" i="17"/>
  <c r="AB438" i="17"/>
  <c r="AB68" i="17"/>
  <c r="AC302" i="17"/>
  <c r="AB454" i="17"/>
  <c r="AB244" i="17"/>
  <c r="AB179" i="17"/>
  <c r="AC460" i="17"/>
  <c r="AC169" i="17"/>
  <c r="AC127" i="17"/>
  <c r="AB487" i="17"/>
  <c r="AC184" i="17"/>
  <c r="AC57" i="17"/>
  <c r="AC445" i="17"/>
  <c r="AB242" i="17"/>
  <c r="AC80" i="17"/>
  <c r="AC51" i="17"/>
  <c r="AC237" i="17"/>
  <c r="AB567" i="17"/>
  <c r="AB213" i="17"/>
  <c r="AC526" i="17"/>
  <c r="AB355" i="17"/>
  <c r="AB497" i="17"/>
  <c r="AC315" i="17"/>
  <c r="AB500" i="17"/>
  <c r="AB569" i="17"/>
  <c r="AC236" i="17"/>
  <c r="AC441" i="17"/>
  <c r="AB610" i="17"/>
  <c r="AB398" i="17"/>
  <c r="AC44" i="17"/>
  <c r="AC472" i="17"/>
  <c r="AC401" i="17"/>
  <c r="AC196" i="17"/>
  <c r="AC463" i="17"/>
  <c r="AB289" i="17"/>
  <c r="AC484" i="17"/>
  <c r="AB393" i="17"/>
  <c r="AB503" i="17"/>
  <c r="AB86" i="17"/>
  <c r="AB440" i="17"/>
  <c r="AC466" i="17"/>
  <c r="AB348" i="17"/>
  <c r="AC74" i="17"/>
  <c r="AB541" i="17"/>
  <c r="AC235" i="17"/>
  <c r="W235" i="17"/>
  <c r="AB300" i="17"/>
  <c r="AB123" i="17"/>
  <c r="AB314" i="17"/>
  <c r="AB212" i="17"/>
  <c r="AB612" i="17"/>
  <c r="AB381" i="17"/>
  <c r="AB320" i="17"/>
  <c r="AC269" i="17"/>
  <c r="AB494" i="17"/>
  <c r="AC263" i="17"/>
  <c r="AB385" i="17"/>
  <c r="AB333" i="17"/>
  <c r="AC298" i="17"/>
  <c r="AB535" i="17"/>
  <c r="AC500" i="17"/>
  <c r="AB394" i="17"/>
  <c r="AB580" i="17"/>
  <c r="AB252" i="17"/>
  <c r="AC422" i="17"/>
  <c r="AB182" i="17"/>
  <c r="AC459" i="17"/>
  <c r="AC495" i="17"/>
  <c r="AC164" i="17"/>
  <c r="AC214" i="17"/>
  <c r="AC22" i="17"/>
  <c r="AC21" i="17"/>
  <c r="AC361" i="17"/>
  <c r="AB199" i="17"/>
  <c r="AB240" i="17"/>
  <c r="AB295" i="17"/>
  <c r="AB166" i="17"/>
  <c r="AB561" i="17"/>
  <c r="AB315" i="17"/>
  <c r="AC323" i="17"/>
  <c r="AB316" i="17"/>
  <c r="AB265" i="17"/>
  <c r="AC32" i="17"/>
  <c r="AC31" i="17"/>
  <c r="AC135" i="17"/>
  <c r="AB443" i="17"/>
  <c r="AC146" i="17"/>
  <c r="AC314" i="17"/>
  <c r="AB268" i="17"/>
  <c r="AB502" i="17"/>
  <c r="AC93" i="17"/>
  <c r="AC281" i="17"/>
  <c r="AB274" i="17"/>
  <c r="AB573" i="17"/>
  <c r="AB132" i="17"/>
  <c r="AC559" i="17"/>
  <c r="AB433" i="17"/>
  <c r="AC54" i="17"/>
  <c r="AB14" i="17"/>
  <c r="AC345" i="17"/>
  <c r="AC114" i="17"/>
  <c r="AC411" i="17"/>
  <c r="AC346" i="17"/>
  <c r="AC494" i="17"/>
  <c r="AB236" i="17"/>
  <c r="AC570" i="17"/>
  <c r="AB174" i="17"/>
  <c r="AC359" i="17"/>
  <c r="AC102" i="17"/>
  <c r="AB15" i="17"/>
  <c r="AC63" i="17"/>
  <c r="AC250" i="17"/>
  <c r="AC347" i="17"/>
  <c r="AC597" i="17"/>
  <c r="AB338" i="17"/>
  <c r="AB204" i="17"/>
  <c r="AC372" i="17"/>
  <c r="AC512" i="17"/>
  <c r="AC490" i="17"/>
  <c r="AC560" i="17"/>
  <c r="AB49" i="17"/>
  <c r="AC453" i="17"/>
  <c r="AC97" i="17"/>
  <c r="AC344" i="17"/>
  <c r="AB234" i="17"/>
  <c r="AC581" i="17"/>
  <c r="AC189" i="17"/>
  <c r="AC266" i="17"/>
  <c r="AB521" i="17"/>
  <c r="AC497" i="17"/>
  <c r="AC292" i="17"/>
  <c r="AB115" i="17"/>
  <c r="AC75" i="17"/>
  <c r="AB167" i="17"/>
  <c r="AB82" i="17"/>
  <c r="AC335" i="17"/>
  <c r="AC503" i="17"/>
  <c r="AB278" i="17"/>
  <c r="AB352" i="17"/>
  <c r="AC535" i="17"/>
  <c r="AB593" i="17"/>
  <c r="AB330" i="17"/>
  <c r="AC529" i="17"/>
  <c r="AB354" i="17"/>
  <c r="AC605" i="17"/>
  <c r="AB290" i="17"/>
  <c r="W131" i="17"/>
  <c r="AC131" i="17"/>
  <c r="AC26" i="17"/>
  <c r="AB35" i="17"/>
  <c r="AB623" i="17"/>
  <c r="AB102" i="17"/>
  <c r="AC415" i="17"/>
  <c r="AB590" i="17"/>
  <c r="AB267" i="17"/>
  <c r="AB190" i="17"/>
  <c r="AC318" i="17"/>
  <c r="AB472" i="17"/>
  <c r="AC498" i="17"/>
  <c r="AB281" i="17"/>
  <c r="AB256" i="17"/>
  <c r="AB410" i="17"/>
  <c r="AC444" i="17"/>
  <c r="AB144" i="17"/>
  <c r="AB130" i="17"/>
  <c r="AC305" i="17"/>
  <c r="AC137" i="17"/>
  <c r="AC397" i="17"/>
  <c r="AC163" i="17"/>
  <c r="AC34" i="17"/>
  <c r="AC299" i="17"/>
  <c r="AB137" i="17"/>
  <c r="AC68" i="17"/>
  <c r="AB114" i="17"/>
  <c r="AB121" i="17"/>
  <c r="AB455" i="17"/>
  <c r="AC147" i="17"/>
  <c r="AB173" i="17"/>
  <c r="AB159" i="17"/>
  <c r="AC50" i="17"/>
  <c r="AC517" i="17"/>
  <c r="AC312" i="17"/>
  <c r="AC90" i="17"/>
  <c r="AC219" i="17"/>
  <c r="AC264" i="17"/>
  <c r="AC208" i="17"/>
  <c r="AC334" i="17"/>
  <c r="AB90" i="17"/>
  <c r="AB475" i="17"/>
  <c r="AC546" i="17"/>
  <c r="AB366" i="17"/>
  <c r="AC449" i="17"/>
  <c r="AC244" i="17"/>
  <c r="AB517" i="17"/>
  <c r="AC108" i="17"/>
  <c r="AC116" i="17"/>
  <c r="AC489" i="17"/>
  <c r="AC229" i="17"/>
  <c r="AC380" i="17"/>
  <c r="AC276" i="17"/>
  <c r="AC446" i="17"/>
  <c r="AC547" i="17"/>
  <c r="AC418" i="17"/>
  <c r="AC297" i="17"/>
  <c r="AB599" i="17"/>
  <c r="AC257" i="17"/>
  <c r="AC577" i="17"/>
  <c r="AB585" i="17"/>
  <c r="AC438" i="17"/>
  <c r="AB380" i="17"/>
  <c r="AB45" i="17"/>
  <c r="AB387" i="17"/>
  <c r="AC308" i="17"/>
  <c r="AC369" i="17"/>
  <c r="AC607" i="17"/>
  <c r="AC201" i="17"/>
  <c r="AC172" i="17"/>
  <c r="AC419" i="17"/>
  <c r="AB233" i="17"/>
  <c r="AB389" i="17"/>
  <c r="AB38" i="17"/>
  <c r="AC404" i="17"/>
  <c r="AB414" i="17"/>
  <c r="AC96" i="17"/>
  <c r="AB169" i="17"/>
  <c r="AB171" i="17"/>
  <c r="AB526" i="17"/>
  <c r="AB145" i="17"/>
  <c r="AC485" i="17"/>
  <c r="AB586" i="17"/>
  <c r="AB301" i="17"/>
  <c r="AC14" i="17"/>
  <c r="AB568" i="17"/>
  <c r="AB195" i="17"/>
  <c r="AB528" i="17"/>
  <c r="AB470" i="17"/>
  <c r="AB67" i="17"/>
  <c r="AB463" i="17"/>
  <c r="AB27" i="17"/>
  <c r="AC209" i="17"/>
  <c r="AB224" i="17"/>
  <c r="AC574" i="17"/>
  <c r="AB481" i="17"/>
  <c r="AB34" i="17"/>
  <c r="AB197" i="17"/>
  <c r="AC239" i="17"/>
  <c r="AB415" i="17"/>
  <c r="AB546" i="17"/>
  <c r="AB530" i="17"/>
  <c r="AC430" i="17"/>
  <c r="AC358" i="17"/>
  <c r="AB168" i="17"/>
  <c r="AC583" i="17"/>
  <c r="AB146" i="17"/>
  <c r="AB431" i="17"/>
  <c r="AB588" i="17"/>
  <c r="AC440" i="17"/>
  <c r="AC388" i="17"/>
  <c r="AC610" i="17"/>
  <c r="AC540" i="17"/>
  <c r="AC215" i="17"/>
  <c r="AB37" i="17"/>
  <c r="AB523" i="17"/>
  <c r="AC85" i="17"/>
  <c r="AB72" i="17"/>
  <c r="AC248" i="17"/>
  <c r="AB108" i="17"/>
  <c r="AB29" i="17"/>
  <c r="AB441" i="17"/>
  <c r="AC550" i="17"/>
  <c r="AC515" i="17"/>
  <c r="AB571" i="17"/>
  <c r="AC126" i="17"/>
  <c r="AC187" i="17"/>
  <c r="AB493" i="17"/>
  <c r="AC121" i="17"/>
  <c r="AB403" i="17"/>
  <c r="AC109" i="17"/>
  <c r="AC52" i="17"/>
  <c r="AB232" i="17"/>
  <c r="AC204" i="17"/>
  <c r="AC309" i="17"/>
  <c r="AB482" i="17"/>
  <c r="AB218" i="17"/>
  <c r="AC586" i="17"/>
  <c r="AC72" i="17"/>
  <c r="AB279" i="17"/>
  <c r="AB343" i="17"/>
  <c r="AB604" i="17"/>
  <c r="AC78" i="17"/>
  <c r="AB59" i="17"/>
  <c r="AC481" i="17"/>
  <c r="AC88" i="17"/>
  <c r="AC576" i="17"/>
  <c r="AB601" i="17"/>
  <c r="AC611" i="17"/>
  <c r="AB239" i="17"/>
  <c r="AB373" i="17"/>
  <c r="AB388" i="17"/>
  <c r="AB334" i="17"/>
  <c r="AC492" i="17"/>
  <c r="AC509" i="17"/>
  <c r="AB92" i="17"/>
  <c r="AB75" i="17"/>
  <c r="AB400" i="17"/>
  <c r="AB317" i="17"/>
  <c r="AB260" i="17"/>
  <c r="AB395" i="17"/>
  <c r="AB529" i="17"/>
  <c r="AC226" i="17"/>
  <c r="AC197" i="17"/>
  <c r="AB180" i="17"/>
  <c r="AC348" i="17"/>
  <c r="AB508" i="17"/>
  <c r="AB322" i="17"/>
  <c r="AB294" i="17"/>
  <c r="AB359" i="17"/>
  <c r="AC165" i="17"/>
  <c r="AB420" i="17"/>
  <c r="AB248" i="17"/>
  <c r="AB390" i="17"/>
  <c r="AC176" i="17"/>
  <c r="AC159" i="17"/>
  <c r="AC133" i="17"/>
  <c r="AB136" i="17"/>
  <c r="AB284" i="17"/>
  <c r="AB358" i="17"/>
  <c r="AC541" i="17"/>
  <c r="AB512" i="17"/>
  <c r="AC416" i="17"/>
  <c r="AC313" i="17"/>
  <c r="AC179" i="17"/>
  <c r="AB100" i="17"/>
  <c r="AC105" i="17"/>
  <c r="AC324" i="17"/>
  <c r="AB498" i="17"/>
  <c r="AB516" i="17"/>
  <c r="AC125" i="17"/>
  <c r="AC202" i="17"/>
  <c r="AB459" i="17"/>
  <c r="AB349" i="17"/>
  <c r="AB489" i="17"/>
  <c r="AC604" i="17"/>
  <c r="AB198" i="17"/>
  <c r="AB432" i="17"/>
  <c r="AC506" i="17"/>
  <c r="AB598" i="17"/>
  <c r="AB241" i="17"/>
  <c r="AB506" i="17"/>
  <c r="AB303" i="17"/>
  <c r="AC387" i="17"/>
  <c r="AC185" i="17"/>
  <c r="AC128" i="17"/>
  <c r="AC351" i="17"/>
  <c r="AB575" i="17"/>
  <c r="AB126" i="17"/>
  <c r="AB254" i="17"/>
  <c r="AC392" i="17"/>
  <c r="AB412" i="17"/>
  <c r="AB258" i="17"/>
  <c r="AC113" i="17"/>
  <c r="AB447" i="17"/>
  <c r="AB251" i="17"/>
  <c r="AB551" i="17"/>
  <c r="AC193" i="17"/>
  <c r="AC198" i="17"/>
  <c r="AB532" i="17"/>
  <c r="AB64" i="17"/>
  <c r="AB97" i="17"/>
  <c r="AB155" i="17"/>
  <c r="AB20" i="17"/>
  <c r="AC73" i="17"/>
  <c r="AC544" i="17"/>
  <c r="AC571" i="17"/>
  <c r="AB246" i="17"/>
  <c r="AB125" i="17"/>
  <c r="AC218" i="17"/>
  <c r="AB515" i="17"/>
  <c r="AB540" i="17"/>
  <c r="AC391" i="17"/>
  <c r="AC71" i="17"/>
  <c r="AB149" i="17"/>
  <c r="AC223" i="17"/>
  <c r="AB187" i="17"/>
  <c r="AB549" i="17"/>
  <c r="AC216" i="17"/>
  <c r="AC194" i="17"/>
  <c r="AB337" i="17"/>
  <c r="AC456" i="17"/>
  <c r="AB341" i="17"/>
  <c r="AC539" i="17"/>
  <c r="AC556" i="17"/>
  <c r="AC424" i="17"/>
  <c r="AC153" i="17"/>
  <c r="AB536" i="17"/>
  <c r="AC594" i="17"/>
  <c r="AC307" i="17"/>
  <c r="AC188" i="17"/>
  <c r="AC220" i="17"/>
  <c r="AB570" i="17"/>
  <c r="AC585" i="17"/>
  <c r="AB396" i="17"/>
  <c r="AB386" i="17"/>
  <c r="AB272" i="17"/>
  <c r="AC548" i="17"/>
  <c r="AC280" i="17"/>
  <c r="AB603" i="17"/>
  <c r="AC191" i="17"/>
  <c r="AB495" i="17"/>
  <c r="AC186" i="17"/>
  <c r="AC154" i="17"/>
  <c r="AB464" i="17"/>
  <c r="AC468" i="17"/>
  <c r="AC145" i="17"/>
  <c r="AC291" i="17"/>
  <c r="AB331" i="17"/>
  <c r="AB324" i="17"/>
  <c r="AC341" i="17"/>
  <c r="AB429" i="17"/>
  <c r="AC338" i="17"/>
  <c r="AB379" i="17"/>
  <c r="AB98" i="17"/>
  <c r="AB51" i="17"/>
  <c r="AC452" i="17"/>
  <c r="AC520" i="17"/>
  <c r="AC303" i="17"/>
  <c r="AC377" i="17"/>
  <c r="AC475" i="17"/>
  <c r="AC410" i="17"/>
  <c r="AB293" i="17"/>
  <c r="AC525" i="17"/>
  <c r="AC251" i="17"/>
  <c r="AC461" i="17"/>
  <c r="AB360" i="17"/>
  <c r="AB118" i="17"/>
  <c r="AB413" i="17"/>
  <c r="AC47" i="17"/>
  <c r="AC140" i="17"/>
  <c r="AC271" i="17"/>
  <c r="AC282" i="17"/>
  <c r="AC245" i="17"/>
  <c r="AC442" i="17"/>
  <c r="AB105" i="17"/>
  <c r="AB608" i="17"/>
  <c r="AC190" i="17"/>
  <c r="AB205" i="17"/>
  <c r="AC428" i="17"/>
  <c r="AB565" i="17"/>
  <c r="AB89" i="17"/>
  <c r="AB185" i="17"/>
  <c r="AB474" i="17"/>
  <c r="AB554" i="17"/>
  <c r="AB33" i="17"/>
  <c r="AB626" i="17"/>
  <c r="AB559" i="17"/>
  <c r="AC622" i="17"/>
  <c r="AC432" i="17"/>
  <c r="AB259" i="17"/>
  <c r="AB30" i="17"/>
  <c r="AC363" i="17"/>
  <c r="AC349" i="17"/>
  <c r="AC265" i="17"/>
  <c r="AC427" i="17"/>
  <c r="AC234" i="17"/>
  <c r="AB607" i="17"/>
  <c r="AC296" i="17"/>
  <c r="AC17" i="17"/>
  <c r="AB383" i="17"/>
  <c r="AC203" i="17"/>
  <c r="AB308" i="17"/>
  <c r="AB223" i="17"/>
  <c r="AB564" i="17"/>
  <c r="AB409" i="17"/>
  <c r="AC132" i="17"/>
  <c r="AC319" i="17"/>
  <c r="AC557" i="17"/>
  <c r="AC246" i="17"/>
  <c r="AC61" i="17"/>
  <c r="AC158" i="17"/>
  <c r="AB39" i="17"/>
  <c r="AB442" i="17"/>
  <c r="AC493" i="17"/>
  <c r="AB437" i="17"/>
  <c r="AC595" i="17"/>
  <c r="AB468" i="17"/>
  <c r="AC613" i="17"/>
  <c r="AB299" i="17"/>
  <c r="AB483" i="17"/>
  <c r="AB578" i="17"/>
  <c r="AC117" i="17"/>
  <c r="AC399" i="17"/>
  <c r="AC599" i="17"/>
  <c r="AB229" i="17"/>
  <c r="AC542" i="17"/>
  <c r="AB282" i="17"/>
  <c r="AB466" i="17"/>
  <c r="AC437" i="17"/>
  <c r="AB424" i="17"/>
  <c r="AB613" i="17"/>
  <c r="AC590" i="17"/>
  <c r="AB203" i="17"/>
  <c r="AB416" i="17"/>
  <c r="AB490" i="17"/>
  <c r="AB57" i="17"/>
  <c r="AC579" i="17"/>
  <c r="AB148" i="17"/>
  <c r="AC274" i="17"/>
  <c r="AC531" i="17"/>
  <c r="AB46" i="17"/>
  <c r="AB522" i="17"/>
  <c r="AC210" i="17"/>
  <c r="AC591" i="17"/>
  <c r="AC413" i="17"/>
  <c r="AC42" i="17"/>
  <c r="AC221" i="17"/>
  <c r="AB480" i="17"/>
  <c r="AB545" i="17"/>
  <c r="AB553" i="17"/>
  <c r="AB264" i="17"/>
  <c r="AC243" i="17"/>
  <c r="AB80" i="17"/>
  <c r="AC357" i="17"/>
  <c r="AC403" i="17"/>
  <c r="AC365" i="17"/>
  <c r="AB84" i="17"/>
  <c r="AC469" i="17"/>
  <c r="AC474" i="17"/>
  <c r="AC486" i="17"/>
  <c r="AC207" i="17"/>
  <c r="AC79" i="17"/>
  <c r="AB479" i="17"/>
  <c r="AB178" i="17"/>
  <c r="AC566" i="17"/>
  <c r="AB13" i="17"/>
  <c r="AB71" i="17"/>
  <c r="AC92" i="17"/>
  <c r="AB507" i="17"/>
  <c r="AB87" i="17"/>
  <c r="AC247" i="17"/>
  <c r="AB231" i="17"/>
  <c r="AC408" i="17"/>
  <c r="AB446" i="17"/>
  <c r="AB206" i="17"/>
  <c r="AC450" i="17"/>
  <c r="AC278" i="17"/>
  <c r="AC268" i="17"/>
  <c r="AC83" i="17"/>
  <c r="AB421" i="17"/>
  <c r="AB280" i="17"/>
  <c r="AC211" i="17"/>
  <c r="AC373" i="17"/>
  <c r="AC18" i="17"/>
  <c r="AB156" i="17"/>
  <c r="AB220" i="17"/>
  <c r="AB62" i="17"/>
  <c r="AC340" i="17"/>
  <c r="AC232" i="17"/>
  <c r="AC267" i="17"/>
  <c r="AB107" i="17"/>
  <c r="AC543" i="17"/>
  <c r="AB457" i="17"/>
  <c r="AB384" i="17"/>
  <c r="AC606" i="17"/>
  <c r="AB557" i="17"/>
  <c r="AC70" i="17"/>
  <c r="AC505" i="17"/>
  <c r="AB606" i="17"/>
  <c r="AC205" i="17"/>
  <c r="AB582" i="17"/>
  <c r="AB596" i="17"/>
  <c r="AB496" i="17"/>
  <c r="AB558" i="17"/>
  <c r="AB66" i="17"/>
  <c r="AC573" i="17"/>
  <c r="AB226" i="17"/>
  <c r="AC249" i="17"/>
  <c r="AC256" i="17"/>
  <c r="AB524" i="17"/>
  <c r="AB375" i="17"/>
  <c r="AC119" i="17"/>
  <c r="AB275" i="17"/>
  <c r="AB143" i="17"/>
  <c r="AC94" i="17"/>
  <c r="AB192" i="17"/>
  <c r="AC112" i="17"/>
  <c r="AC28" i="17"/>
  <c r="AB238" i="17"/>
  <c r="AC300" i="17"/>
  <c r="AB357" i="17"/>
  <c r="AB452" i="17"/>
  <c r="AC364" i="17"/>
  <c r="AB77" i="17"/>
  <c r="AC473" i="17"/>
  <c r="AC409" i="17"/>
  <c r="AC29" i="17"/>
  <c r="AB514" i="17"/>
  <c r="AC368" i="17"/>
  <c r="AC343" i="17"/>
  <c r="AC170" i="17"/>
  <c r="AC141" i="17"/>
  <c r="AC589" i="17"/>
  <c r="AC286" i="17"/>
  <c r="AB397" i="17"/>
  <c r="AC258" i="17"/>
  <c r="AB16" i="17"/>
  <c r="AC568" i="17"/>
  <c r="AC383" i="17"/>
  <c r="AB589" i="17"/>
  <c r="AB583" i="17"/>
  <c r="AC330" i="17"/>
  <c r="AC462" i="17"/>
  <c r="AC396" i="17"/>
  <c r="AB462" i="17"/>
  <c r="AB448" i="17"/>
  <c r="AC231" i="17"/>
  <c r="AB581" i="17"/>
  <c r="AC41" i="17"/>
  <c r="AB450" i="17"/>
  <c r="AB227" i="17"/>
  <c r="AC173" i="17"/>
  <c r="AB353" i="17"/>
  <c r="AB436" i="17"/>
  <c r="AB142" i="17"/>
  <c r="AB622" i="17"/>
  <c r="AC36" i="17"/>
  <c r="AB370" i="17"/>
  <c r="AC86" i="17"/>
  <c r="AB527" i="17"/>
  <c r="AC352" i="17"/>
  <c r="AC254" i="17"/>
  <c r="AC511" i="17"/>
  <c r="AB346" i="17"/>
  <c r="AB509" i="17"/>
  <c r="AC238" i="17"/>
  <c r="AC33" i="17"/>
  <c r="AC405" i="17"/>
  <c r="AC289" i="17"/>
  <c r="AC160" i="17"/>
  <c r="AB96" i="17"/>
  <c r="AC65" i="17"/>
  <c r="AC15" i="17"/>
  <c r="AB594" i="17"/>
  <c r="AB266" i="17"/>
  <c r="AB434" i="17"/>
  <c r="AB183" i="17"/>
  <c r="AC118" i="17"/>
  <c r="AC199" i="17"/>
  <c r="AB562" i="17"/>
  <c r="AB298" i="17"/>
  <c r="AC555" i="17"/>
  <c r="AC575" i="17"/>
  <c r="AB361" i="17"/>
  <c r="AB53" i="17"/>
  <c r="AC48" i="17"/>
  <c r="AC414" i="17"/>
  <c r="AB22" i="17"/>
  <c r="AC59" i="17"/>
  <c r="AB99" i="17"/>
  <c r="AC134" i="17"/>
  <c r="AB501" i="17"/>
  <c r="AC407" i="17"/>
  <c r="AC55" i="17"/>
  <c r="AB367" i="17"/>
  <c r="AB177" i="17"/>
  <c r="AB188" i="17"/>
  <c r="AB406" i="17"/>
  <c r="AC564" i="17"/>
  <c r="AB318" i="17"/>
  <c r="AB69" i="17"/>
  <c r="AB158" i="17"/>
  <c r="AB518" i="17"/>
  <c r="AB253" i="17"/>
  <c r="AB288" i="17"/>
  <c r="AB207" i="17"/>
  <c r="AB113" i="17"/>
  <c r="AB134" i="17"/>
  <c r="AB520" i="17"/>
  <c r="AC177" i="17"/>
  <c r="AB194" i="17"/>
  <c r="AB28" i="17"/>
  <c r="AB104" i="17"/>
  <c r="AC304" i="17"/>
  <c r="AC360" i="17"/>
  <c r="AB378" i="17"/>
  <c r="AB103" i="17"/>
  <c r="AC95" i="17"/>
  <c r="AB131" i="17"/>
  <c r="AC175" i="17"/>
  <c r="AB453" i="17"/>
  <c r="AB404" i="17"/>
  <c r="AC448" i="17"/>
  <c r="AC553" i="17"/>
  <c r="AC371" i="17"/>
  <c r="AB332" i="17"/>
  <c r="AC420" i="17"/>
  <c r="AC514" i="17"/>
  <c r="AC23" i="17"/>
  <c r="AC143" i="17"/>
  <c r="AC385" i="17"/>
  <c r="AB451" i="17"/>
  <c r="AB276" i="17"/>
  <c r="AB342" i="17"/>
  <c r="AC533" i="17"/>
  <c r="AC530" i="17"/>
  <c r="AB305" i="17"/>
  <c r="AB328" i="17"/>
  <c r="AC64" i="17"/>
  <c r="AC148" i="17"/>
  <c r="AC510" i="17"/>
  <c r="AB245" i="17"/>
  <c r="AB486" i="17"/>
  <c r="AB556" i="17"/>
  <c r="AB519" i="17"/>
  <c r="AB273" i="17"/>
  <c r="AC336" i="17"/>
  <c r="AC476" i="17"/>
  <c r="AC626" i="17"/>
  <c r="AC588" i="17"/>
  <c r="AC534" i="17"/>
  <c r="AB510" i="17"/>
  <c r="AB382" i="17"/>
  <c r="AC356" i="17"/>
  <c r="AB228" i="17"/>
  <c r="AC478" i="17"/>
  <c r="AB170" i="17"/>
  <c r="AC395" i="17"/>
  <c r="AB547" i="17"/>
  <c r="AC465" i="17"/>
  <c r="AB106" i="17"/>
  <c r="AC593" i="17"/>
  <c r="AC326" i="17"/>
  <c r="AB176" i="17"/>
  <c r="AC584" i="17"/>
  <c r="AB296" i="17"/>
  <c r="AB444" i="17"/>
  <c r="AB511" i="17"/>
  <c r="AC600" i="17"/>
  <c r="AC106" i="17"/>
  <c r="AB54" i="17"/>
  <c r="AB61" i="17"/>
  <c r="AC447" i="17"/>
  <c r="AB376" i="17"/>
  <c r="AB504" i="17"/>
  <c r="AC528" i="17"/>
  <c r="AC582" i="17"/>
  <c r="AB285" i="17"/>
  <c r="AB476" i="17"/>
  <c r="AC435" i="17"/>
  <c r="AB117" i="17"/>
  <c r="AC569" i="17"/>
  <c r="AC139" i="17"/>
  <c r="AB60" i="17"/>
  <c r="AB85" i="17"/>
  <c r="AC76" i="17"/>
  <c r="AB17" i="17"/>
  <c r="AC100" i="17"/>
  <c r="AC491" i="17"/>
  <c r="AC30" i="17"/>
  <c r="AC337" i="17"/>
  <c r="AC53" i="17"/>
  <c r="AB201" i="17"/>
  <c r="AB473" i="17"/>
  <c r="AB133" i="17"/>
  <c r="AC27" i="17"/>
  <c r="AB111" i="17"/>
  <c r="AB309" i="17"/>
  <c r="AB184" i="17"/>
  <c r="AB83" i="17"/>
  <c r="AB32" i="17"/>
  <c r="AC225" i="17"/>
  <c r="AC609" i="17"/>
  <c r="AB150" i="17"/>
  <c r="AB154" i="17"/>
  <c r="AB340" i="17"/>
  <c r="AC412" i="17"/>
  <c r="AC285" i="17"/>
  <c r="AC89" i="17"/>
  <c r="AC598" i="17"/>
  <c r="AC120" i="17"/>
  <c r="AC374" i="17"/>
  <c r="AB592" i="17"/>
  <c r="AB112" i="17"/>
  <c r="AC320" i="17"/>
  <c r="AB319" i="17"/>
  <c r="AC458" i="17"/>
  <c r="AB255" i="17"/>
  <c r="AC150" i="17"/>
  <c r="AC241" i="17"/>
  <c r="AC532" i="17"/>
  <c r="AC381" i="17"/>
  <c r="AC322" i="17"/>
  <c r="AB439" i="17"/>
  <c r="AC417" i="17"/>
  <c r="AC522" i="17"/>
  <c r="AB302" i="17"/>
  <c r="AB492" i="17"/>
  <c r="AB291" i="17"/>
  <c r="AC39" i="17"/>
  <c r="AC519" i="17"/>
  <c r="AB78" i="17"/>
  <c r="AC596" i="17"/>
  <c r="AB533" i="17"/>
  <c r="AC317" i="17"/>
  <c r="AC501" i="17"/>
  <c r="AB351" i="17"/>
  <c r="AB325" i="17"/>
  <c r="AB215" i="17"/>
  <c r="AC272" i="17"/>
  <c r="AB491" i="17"/>
  <c r="AC523" i="17"/>
  <c r="AB329" i="17"/>
  <c r="AB418" i="17"/>
  <c r="AC603" i="17"/>
  <c r="AC499" i="17"/>
  <c r="AC545" i="17"/>
  <c r="AC439" i="17"/>
  <c r="AC389" i="17"/>
  <c r="AB18" i="17"/>
  <c r="AB374" i="17"/>
  <c r="AC157" i="17"/>
  <c r="AC66" i="17"/>
  <c r="AB392" i="17"/>
  <c r="AC261" i="17"/>
  <c r="AB230" i="17"/>
  <c r="AB426" i="17"/>
  <c r="AC623" i="17"/>
  <c r="AB327" i="17"/>
  <c r="AC436" i="17"/>
  <c r="AC601" i="17"/>
  <c r="AC228" i="17"/>
  <c r="AB21" i="17"/>
  <c r="AB47" i="17"/>
  <c r="AB595" i="17"/>
  <c r="AB408" i="17"/>
  <c r="AC107" i="17"/>
  <c r="AC43" i="17"/>
  <c r="AC166" i="17"/>
  <c r="AC451" i="17"/>
  <c r="AC578" i="17"/>
  <c r="AB250" i="17"/>
  <c r="AC316" i="17"/>
  <c r="AB101" i="17"/>
  <c r="AB42" i="17"/>
  <c r="AB175" i="17"/>
  <c r="AC454" i="17"/>
  <c r="AC151" i="17"/>
  <c r="AB411" i="17"/>
  <c r="AB91" i="17"/>
  <c r="AB531" i="17"/>
  <c r="AB41" i="17"/>
  <c r="AB513" i="17"/>
  <c r="AB271" i="17"/>
  <c r="AB548" i="17"/>
  <c r="AB362" i="17"/>
  <c r="AC382" i="17"/>
  <c r="AC551" i="17"/>
  <c r="AC155" i="17"/>
  <c r="AC421" i="17"/>
  <c r="AC46" i="17"/>
  <c r="AC259" i="17"/>
  <c r="AB537" i="17"/>
  <c r="AC56" i="17"/>
  <c r="AB427" i="17"/>
  <c r="AC182" i="17"/>
  <c r="AC310" i="17"/>
  <c r="AC279" i="17"/>
  <c r="AB163" i="17"/>
  <c r="AB153" i="17"/>
  <c r="AC67" i="17"/>
  <c r="AB369" i="17"/>
  <c r="AB261" i="17"/>
  <c r="AC171" i="17"/>
  <c r="AC329" i="17"/>
  <c r="AC457" i="17"/>
  <c r="AC332" i="17"/>
  <c r="AB363" i="17"/>
  <c r="AC77" i="17"/>
  <c r="AB460" i="17"/>
  <c r="AB214" i="17"/>
  <c r="AB591" i="17"/>
  <c r="AB26" i="17"/>
  <c r="AC87" i="17"/>
  <c r="AB469" i="17"/>
  <c r="AB164" i="17"/>
  <c r="AB292" i="17"/>
  <c r="AC152" i="17"/>
  <c r="AB189" i="17"/>
  <c r="AC370" i="17"/>
  <c r="AB286" i="17"/>
  <c r="AC471" i="17"/>
  <c r="AB605" i="17"/>
  <c r="AB577" i="17"/>
  <c r="AB574" i="17"/>
  <c r="AB307" i="17"/>
  <c r="AC406" i="17"/>
  <c r="AC367" i="17"/>
  <c r="AB471" i="17"/>
  <c r="AB566" i="17"/>
  <c r="AB368" i="17"/>
  <c r="AF627" i="17"/>
  <c r="AE627" i="17"/>
  <c r="AH367" i="17" l="1"/>
  <c r="AH578" i="17"/>
  <c r="AI578" i="17" s="1"/>
  <c r="W30" i="27"/>
  <c r="X59" i="27"/>
  <c r="X78" i="27"/>
  <c r="W79" i="27"/>
  <c r="X64" i="27"/>
  <c r="X45" i="27"/>
  <c r="X53" i="27"/>
  <c r="W77" i="27"/>
  <c r="W72" i="27"/>
  <c r="W27" i="27"/>
  <c r="X69" i="27"/>
  <c r="W28" i="27"/>
  <c r="AH13" i="27"/>
  <c r="AH317" i="17"/>
  <c r="AI317" i="17" s="1"/>
  <c r="AH188" i="17"/>
  <c r="AI188" i="17" s="1"/>
  <c r="X54" i="27"/>
  <c r="X56" i="27"/>
  <c r="X63" i="27"/>
  <c r="W97" i="27"/>
  <c r="B303" i="2" s="1"/>
  <c r="X74" i="27"/>
  <c r="W58" i="27"/>
  <c r="W14" i="27"/>
  <c r="X75" i="27"/>
  <c r="W66" i="27"/>
  <c r="W88" i="27"/>
  <c r="W73" i="27"/>
  <c r="W60" i="27"/>
  <c r="X50" i="27"/>
  <c r="X52" i="27"/>
  <c r="W82" i="27"/>
  <c r="W39" i="27"/>
  <c r="X71" i="27"/>
  <c r="X33" i="27"/>
  <c r="X96" i="27"/>
  <c r="X76" i="27"/>
  <c r="W55" i="27"/>
  <c r="X92" i="27"/>
  <c r="X42" i="27"/>
  <c r="X29" i="27"/>
  <c r="W93" i="27"/>
  <c r="W70" i="27"/>
  <c r="W67" i="27"/>
  <c r="X38" i="27"/>
  <c r="W15" i="27"/>
  <c r="W22" i="27"/>
  <c r="W62" i="27"/>
  <c r="X87" i="27"/>
  <c r="AB22" i="27"/>
  <c r="AA22" i="27"/>
  <c r="AB67" i="27"/>
  <c r="AA67" i="27"/>
  <c r="AB38" i="27"/>
  <c r="AA38" i="27"/>
  <c r="AB54" i="27"/>
  <c r="AA54" i="27"/>
  <c r="AB74" i="27"/>
  <c r="AA74" i="27"/>
  <c r="AA97" i="27"/>
  <c r="AB97" i="27"/>
  <c r="AB15" i="27"/>
  <c r="AA15" i="27"/>
  <c r="AB58" i="27"/>
  <c r="AA58" i="27"/>
  <c r="AB63" i="27"/>
  <c r="AA63" i="27"/>
  <c r="AB56" i="27"/>
  <c r="AA56" i="27"/>
  <c r="AA77" i="27"/>
  <c r="AB77" i="27"/>
  <c r="AA53" i="27"/>
  <c r="AB53" i="27"/>
  <c r="AB27" i="27"/>
  <c r="AA27" i="27"/>
  <c r="AB59" i="27"/>
  <c r="AA59" i="27"/>
  <c r="AA45" i="27"/>
  <c r="AB45" i="27"/>
  <c r="AB78" i="27"/>
  <c r="AA78" i="27"/>
  <c r="AA69" i="27"/>
  <c r="AB69" i="27"/>
  <c r="AB30" i="27"/>
  <c r="AA30" i="27"/>
  <c r="AB28" i="27"/>
  <c r="AA28" i="27"/>
  <c r="AB64" i="27"/>
  <c r="AA64" i="27"/>
  <c r="AB72" i="27"/>
  <c r="AA72" i="27"/>
  <c r="AB79" i="27"/>
  <c r="AA79" i="27"/>
  <c r="AB13" i="27"/>
  <c r="AA13" i="27"/>
  <c r="AB87" i="27"/>
  <c r="AA87" i="27"/>
  <c r="AB62" i="27"/>
  <c r="AA62" i="27"/>
  <c r="AB82" i="27"/>
  <c r="AA82" i="27"/>
  <c r="AA73" i="27"/>
  <c r="AB73" i="27"/>
  <c r="AB50" i="27"/>
  <c r="AA50" i="27"/>
  <c r="AB42" i="27"/>
  <c r="AA42" i="27"/>
  <c r="AB14" i="27"/>
  <c r="AA14" i="27"/>
  <c r="AA33" i="27"/>
  <c r="AB33" i="27"/>
  <c r="AB71" i="27"/>
  <c r="AA71" i="27"/>
  <c r="AB52" i="27"/>
  <c r="AA52" i="27"/>
  <c r="AB75" i="27"/>
  <c r="AA75" i="27"/>
  <c r="AB70" i="27"/>
  <c r="AA70" i="27"/>
  <c r="AB39" i="27"/>
  <c r="AA39" i="27"/>
  <c r="AA93" i="27"/>
  <c r="AB93" i="27"/>
  <c r="AB88" i="27"/>
  <c r="AA88" i="27"/>
  <c r="AB76" i="27"/>
  <c r="AA76" i="27"/>
  <c r="AB92" i="27"/>
  <c r="AA92" i="27"/>
  <c r="AB66" i="27"/>
  <c r="AA66" i="27"/>
  <c r="AB60" i="27"/>
  <c r="AA60" i="27"/>
  <c r="AA29" i="27"/>
  <c r="AB29" i="27"/>
  <c r="AB55" i="27"/>
  <c r="AA55" i="27"/>
  <c r="AB96" i="27"/>
  <c r="AA96" i="27"/>
  <c r="AH229" i="17"/>
  <c r="AI229" i="17" s="1"/>
  <c r="AH396" i="17"/>
  <c r="AI396" i="17" s="1"/>
  <c r="AH279" i="17"/>
  <c r="AI279" i="17" s="1"/>
  <c r="AH383" i="17"/>
  <c r="AI383" i="17" s="1"/>
  <c r="AB625" i="17"/>
  <c r="AC625" i="17"/>
  <c r="Y280" i="17"/>
  <c r="U625" i="17"/>
  <c r="D635" i="17" s="1"/>
  <c r="AE625" i="17"/>
  <c r="E635" i="17" s="1"/>
  <c r="AH584" i="17"/>
  <c r="AI584" i="17" s="1"/>
  <c r="V625" i="17"/>
  <c r="W625" i="17" s="1"/>
  <c r="AH21" i="17"/>
  <c r="AI21" i="17" s="1"/>
  <c r="AH134" i="17"/>
  <c r="AI134" i="17" s="1"/>
  <c r="AH491" i="17"/>
  <c r="AI491" i="17" s="1"/>
  <c r="V624" i="17"/>
  <c r="W624" i="17" s="1"/>
  <c r="Y584" i="17"/>
  <c r="AH387" i="17"/>
  <c r="AI387" i="17" s="1"/>
  <c r="AH292" i="17"/>
  <c r="AI292" i="17" s="1"/>
  <c r="Y396" i="17"/>
  <c r="AH129" i="17"/>
  <c r="AI129" i="17" s="1"/>
  <c r="U624" i="17"/>
  <c r="D634" i="17" s="1"/>
  <c r="AH583" i="17"/>
  <c r="AI583" i="17" s="1"/>
  <c r="AH116" i="17"/>
  <c r="AI116" i="17" s="1"/>
  <c r="AH561" i="17"/>
  <c r="AI561" i="17" s="1"/>
  <c r="AH306" i="17"/>
  <c r="AI306" i="17" s="1"/>
  <c r="AH86" i="17"/>
  <c r="AI86" i="17" s="1"/>
  <c r="AH183" i="17"/>
  <c r="AI183" i="17" s="1"/>
  <c r="AH91" i="17"/>
  <c r="AI91" i="17" s="1"/>
  <c r="Y134" i="17"/>
  <c r="AC624" i="17"/>
  <c r="AH468" i="17"/>
  <c r="AI468" i="17" s="1"/>
  <c r="AB624" i="17"/>
  <c r="AH252" i="17"/>
  <c r="AI252" i="17" s="1"/>
  <c r="AH422" i="17"/>
  <c r="AI422" i="17" s="1"/>
  <c r="AE624" i="17"/>
  <c r="E634" i="17" s="1"/>
  <c r="AH535" i="17"/>
  <c r="AI535" i="17" s="1"/>
  <c r="AH208" i="17"/>
  <c r="AI208" i="17" s="1"/>
  <c r="AH110" i="17"/>
  <c r="AI110" i="17" s="1"/>
  <c r="AF624" i="17"/>
  <c r="Y318" i="17"/>
  <c r="AH318" i="17"/>
  <c r="AI318" i="17" s="1"/>
  <c r="AH298" i="17"/>
  <c r="AI298" i="17" s="1"/>
  <c r="Y492" i="17"/>
  <c r="AH406" i="17"/>
  <c r="AI406" i="17" s="1"/>
  <c r="AH513" i="17"/>
  <c r="AI513" i="17" s="1"/>
  <c r="Y368" i="17"/>
  <c r="AH368" i="17"/>
  <c r="AI368" i="17" s="1"/>
  <c r="AH465" i="17"/>
  <c r="AI465" i="17" s="1"/>
  <c r="AH417" i="17"/>
  <c r="AI417" i="17" s="1"/>
  <c r="AH603" i="17"/>
  <c r="AI603" i="17" s="1"/>
  <c r="AH490" i="17"/>
  <c r="AI490" i="17" s="1"/>
  <c r="AH373" i="17"/>
  <c r="AI373" i="17" s="1"/>
  <c r="AH613" i="17"/>
  <c r="AI613" i="17" s="1"/>
  <c r="AH220" i="17"/>
  <c r="AI220" i="17" s="1"/>
  <c r="AH111" i="17"/>
  <c r="AI111" i="17" s="1"/>
  <c r="AH40" i="17"/>
  <c r="AI40" i="17" s="1"/>
  <c r="AH438" i="17"/>
  <c r="AI438" i="17" s="1"/>
  <c r="AH291" i="17"/>
  <c r="AI291" i="17" s="1"/>
  <c r="AH182" i="17"/>
  <c r="AI182" i="17" s="1"/>
  <c r="AH477" i="17"/>
  <c r="AI477" i="17" s="1"/>
  <c r="Y129" i="17"/>
  <c r="AH591" i="17"/>
  <c r="AI591" i="17" s="1"/>
  <c r="AH78" i="17"/>
  <c r="AI78" i="17" s="1"/>
  <c r="AH153" i="17"/>
  <c r="AI153" i="17" s="1"/>
  <c r="AH604" i="17"/>
  <c r="AI604" i="17" s="1"/>
  <c r="AH152" i="17"/>
  <c r="AI152" i="17" s="1"/>
  <c r="AH434" i="17"/>
  <c r="AI434" i="17" s="1"/>
  <c r="AH386" i="17"/>
  <c r="AI386" i="17" s="1"/>
  <c r="AH171" i="17"/>
  <c r="AI171" i="17" s="1"/>
  <c r="AH391" i="17"/>
  <c r="AI391" i="17" s="1"/>
  <c r="AH260" i="17"/>
  <c r="AI260" i="17" s="1"/>
  <c r="AH282" i="17"/>
  <c r="AI282" i="17" s="1"/>
  <c r="AH77" i="17"/>
  <c r="AI77" i="17" s="1"/>
  <c r="AH407" i="17"/>
  <c r="AI407" i="17" s="1"/>
  <c r="AH38" i="17"/>
  <c r="AI38" i="17" s="1"/>
  <c r="AH400" i="17"/>
  <c r="AI400" i="17" s="1"/>
  <c r="AH239" i="17"/>
  <c r="AI239" i="17" s="1"/>
  <c r="AH311" i="17"/>
  <c r="AI311" i="17" s="1"/>
  <c r="AH70" i="17"/>
  <c r="AI70" i="17" s="1"/>
  <c r="AH385" i="17"/>
  <c r="AI385" i="17" s="1"/>
  <c r="AH69" i="17"/>
  <c r="AI69" i="17" s="1"/>
  <c r="AH206" i="17"/>
  <c r="AI206" i="17" s="1"/>
  <c r="AH207" i="17"/>
  <c r="AI207" i="17" s="1"/>
  <c r="AH416" i="17"/>
  <c r="AI416" i="17" s="1"/>
  <c r="AH98" i="17"/>
  <c r="AI98" i="17" s="1"/>
  <c r="AH356" i="17"/>
  <c r="AI356" i="17" s="1"/>
  <c r="AH401" i="17"/>
  <c r="AI401" i="17" s="1"/>
  <c r="AH350" i="17"/>
  <c r="AI350" i="17" s="1"/>
  <c r="AH238" i="17"/>
  <c r="AI238" i="17" s="1"/>
  <c r="AH163" i="17"/>
  <c r="AI163" i="17" s="1"/>
  <c r="AH536" i="17"/>
  <c r="AI536" i="17" s="1"/>
  <c r="AH384" i="17"/>
  <c r="AI384" i="17" s="1"/>
  <c r="AH594" i="17"/>
  <c r="AI594" i="17" s="1"/>
  <c r="AH39" i="17"/>
  <c r="AI39" i="17" s="1"/>
  <c r="AH343" i="17"/>
  <c r="AI343" i="17" s="1"/>
  <c r="AH73" i="17"/>
  <c r="AI73" i="17" s="1"/>
  <c r="AH151" i="17"/>
  <c r="AI151" i="17" s="1"/>
  <c r="AH426" i="17"/>
  <c r="AI426" i="17" s="1"/>
  <c r="AH423" i="17"/>
  <c r="AI423" i="17" s="1"/>
  <c r="AH150" i="17"/>
  <c r="AI150" i="17" s="1"/>
  <c r="AH237" i="17"/>
  <c r="AI237" i="17" s="1"/>
  <c r="AH133" i="17"/>
  <c r="AI133" i="17" s="1"/>
  <c r="AH379" i="17"/>
  <c r="AI379" i="17" s="1"/>
  <c r="AH74" i="17"/>
  <c r="AI74" i="17" s="1"/>
  <c r="AH230" i="17"/>
  <c r="AI230" i="17" s="1"/>
  <c r="AH42" i="17"/>
  <c r="AI42" i="17" s="1"/>
  <c r="AH41" i="17"/>
  <c r="AI41" i="17" s="1"/>
  <c r="AH577" i="17"/>
  <c r="AI577" i="17" s="1"/>
  <c r="Y230" i="17"/>
  <c r="AH421" i="17"/>
  <c r="AI421" i="17" s="1"/>
  <c r="AH388" i="17"/>
  <c r="AI388" i="17" s="1"/>
  <c r="AH112" i="17"/>
  <c r="AI112" i="17" s="1"/>
  <c r="AH437" i="17"/>
  <c r="AI437" i="17" s="1"/>
  <c r="AH68" i="17"/>
  <c r="AI68" i="17" s="1"/>
  <c r="Y427" i="17"/>
  <c r="Y417" i="17"/>
  <c r="Y209" i="17"/>
  <c r="Y535" i="17"/>
  <c r="Y298" i="17"/>
  <c r="Y69" i="17"/>
  <c r="Y579" i="17"/>
  <c r="Y583" i="17"/>
  <c r="Y87" i="17"/>
  <c r="Y188" i="17"/>
  <c r="AH363" i="17"/>
  <c r="AI363" i="17" s="1"/>
  <c r="AH214" i="17"/>
  <c r="AI214" i="17" s="1"/>
  <c r="Y184" i="17"/>
  <c r="Y423" i="17"/>
  <c r="Y306" i="17"/>
  <c r="Y21" i="17"/>
  <c r="Y562" i="17"/>
  <c r="AI367" i="17"/>
  <c r="AH560" i="17"/>
  <c r="AI560" i="17" s="1"/>
  <c r="AH333" i="17"/>
  <c r="AI333" i="17" s="1"/>
  <c r="AH271" i="17"/>
  <c r="AI271" i="17" s="1"/>
  <c r="AH579" i="17"/>
  <c r="AI579" i="17" s="1"/>
  <c r="AH362" i="17"/>
  <c r="AI362" i="17" s="1"/>
  <c r="AH361" i="17"/>
  <c r="AI361" i="17" s="1"/>
  <c r="AH537" i="17"/>
  <c r="AI537" i="17" s="1"/>
  <c r="Y86" i="17"/>
  <c r="AH344" i="17"/>
  <c r="AI344" i="17" s="1"/>
  <c r="AH128" i="17"/>
  <c r="AI128" i="17" s="1"/>
  <c r="AH297" i="17"/>
  <c r="AI297" i="17" s="1"/>
  <c r="AH62" i="17"/>
  <c r="AI62" i="17" s="1"/>
  <c r="AH533" i="17"/>
  <c r="AI533" i="17" s="1"/>
  <c r="AH520" i="17"/>
  <c r="AI520" i="17" s="1"/>
  <c r="AH35" i="17"/>
  <c r="AI35" i="17" s="1"/>
  <c r="AH93" i="17"/>
  <c r="AI93" i="17" s="1"/>
  <c r="AH199" i="17"/>
  <c r="AI199" i="17" s="1"/>
  <c r="AH175" i="17"/>
  <c r="AI175" i="17" s="1"/>
  <c r="AH534" i="17"/>
  <c r="AI534" i="17" s="1"/>
  <c r="AH200" i="17"/>
  <c r="AI200" i="17" s="1"/>
  <c r="AH190" i="17"/>
  <c r="AI190" i="17" s="1"/>
  <c r="AH270" i="17"/>
  <c r="AI270" i="17" s="1"/>
  <c r="AH82" i="17"/>
  <c r="AI82" i="17" s="1"/>
  <c r="AH538" i="17"/>
  <c r="AI538" i="17" s="1"/>
  <c r="AH302" i="17"/>
  <c r="AI302" i="17" s="1"/>
  <c r="AH355" i="17"/>
  <c r="AI355" i="17" s="1"/>
  <c r="AH52" i="17"/>
  <c r="AI52" i="17" s="1"/>
  <c r="AH219" i="17"/>
  <c r="AI219" i="17" s="1"/>
  <c r="AH334" i="17"/>
  <c r="AI334" i="17" s="1"/>
  <c r="AH137" i="17"/>
  <c r="AI137" i="17" s="1"/>
  <c r="AH325" i="17"/>
  <c r="AI325" i="17" s="1"/>
  <c r="AH360" i="17"/>
  <c r="AI360" i="17" s="1"/>
  <c r="AH283" i="17"/>
  <c r="AI283" i="17" s="1"/>
  <c r="AH63" i="17"/>
  <c r="AI63" i="17" s="1"/>
  <c r="AH326" i="17"/>
  <c r="AI326" i="17" s="1"/>
  <c r="AH576" i="17"/>
  <c r="AI576" i="17" s="1"/>
  <c r="AH593" i="17"/>
  <c r="AI593" i="17" s="1"/>
  <c r="AH592" i="17"/>
  <c r="AI592" i="17" s="1"/>
  <c r="AH316" i="17"/>
  <c r="AI316" i="17" s="1"/>
  <c r="AH101" i="17"/>
  <c r="AI101" i="17" s="1"/>
  <c r="AH90" i="17"/>
  <c r="AI90" i="17" s="1"/>
  <c r="AH410" i="17"/>
  <c r="AI410" i="17" s="1"/>
  <c r="AH294" i="17"/>
  <c r="AI294" i="17" s="1"/>
  <c r="AH413" i="17"/>
  <c r="AI413" i="17" s="1"/>
  <c r="AH234" i="17"/>
  <c r="AI234" i="17" s="1"/>
  <c r="AH58" i="17"/>
  <c r="AI58" i="17" s="1"/>
  <c r="AH233" i="17"/>
  <c r="AI233" i="17" s="1"/>
  <c r="AH459" i="17"/>
  <c r="AI459" i="17" s="1"/>
  <c r="AH590" i="17"/>
  <c r="AI590" i="17" s="1"/>
  <c r="AH405" i="17"/>
  <c r="AI405" i="17" s="1"/>
  <c r="AH92" i="17"/>
  <c r="AI92" i="17" s="1"/>
  <c r="AH453" i="17"/>
  <c r="AI453" i="17" s="1"/>
  <c r="AH259" i="17"/>
  <c r="AI259" i="17" s="1"/>
  <c r="AH132" i="17"/>
  <c r="AI132" i="17" s="1"/>
  <c r="AH482" i="17"/>
  <c r="AI482" i="17" s="1"/>
  <c r="AH457" i="17"/>
  <c r="AI457" i="17" s="1"/>
  <c r="AH146" i="17"/>
  <c r="AI146" i="17" s="1"/>
  <c r="AH135" i="17"/>
  <c r="AI135" i="17" s="1"/>
  <c r="AH266" i="17"/>
  <c r="AI266" i="17" s="1"/>
  <c r="AH99" i="17"/>
  <c r="AI99" i="17" s="1"/>
  <c r="AH205" i="17"/>
  <c r="AI205" i="17" s="1"/>
  <c r="AH213" i="17"/>
  <c r="AI213" i="17" s="1"/>
  <c r="AH469" i="17"/>
  <c r="AI469" i="17" s="1"/>
  <c r="AH397" i="17"/>
  <c r="AI397" i="17" s="1"/>
  <c r="AH156" i="17"/>
  <c r="AI156" i="17" s="1"/>
  <c r="AH569" i="17"/>
  <c r="AI569" i="17" s="1"/>
  <c r="AH288" i="17"/>
  <c r="AI288" i="17" s="1"/>
  <c r="AH122" i="17"/>
  <c r="AI122" i="17" s="1"/>
  <c r="AH145" i="17"/>
  <c r="AI145" i="17" s="1"/>
  <c r="AH470" i="17"/>
  <c r="AI470" i="17" s="1"/>
  <c r="AH37" i="17"/>
  <c r="AI37" i="17" s="1"/>
  <c r="AH585" i="17"/>
  <c r="AI585" i="17" s="1"/>
  <c r="AH464" i="17"/>
  <c r="AI464" i="17" s="1"/>
  <c r="AH393" i="17"/>
  <c r="AI393" i="17" s="1"/>
  <c r="AH211" i="17"/>
  <c r="AI211" i="17" s="1"/>
  <c r="AH501" i="17"/>
  <c r="AI501" i="17" s="1"/>
  <c r="AH380" i="17"/>
  <c r="AI380" i="17" s="1"/>
  <c r="AH309" i="17"/>
  <c r="AI309" i="17" s="1"/>
  <c r="AH512" i="17"/>
  <c r="AI512" i="17" s="1"/>
  <c r="AH241" i="17"/>
  <c r="AI241" i="17" s="1"/>
  <c r="AH123" i="17"/>
  <c r="AI123" i="17" s="1"/>
  <c r="AH540" i="17"/>
  <c r="AI540" i="17" s="1"/>
  <c r="AH448" i="17"/>
  <c r="AI448" i="17" s="1"/>
  <c r="AH500" i="17"/>
  <c r="AI500" i="17" s="1"/>
  <c r="AH499" i="17"/>
  <c r="AI499" i="17" s="1"/>
  <c r="AH483" i="17"/>
  <c r="AI483" i="17" s="1"/>
  <c r="Y130" i="17"/>
  <c r="AH597" i="17"/>
  <c r="AI597" i="17" s="1"/>
  <c r="AH166" i="17"/>
  <c r="AI166" i="17" s="1"/>
  <c r="AH442" i="17"/>
  <c r="AI442" i="17" s="1"/>
  <c r="AH67" i="17"/>
  <c r="AI67" i="17" s="1"/>
  <c r="AH411" i="17"/>
  <c r="AI411" i="17" s="1"/>
  <c r="AH329" i="17"/>
  <c r="AI329" i="17" s="1"/>
  <c r="AH255" i="17"/>
  <c r="AI255" i="17" s="1"/>
  <c r="AH289" i="17"/>
  <c r="AI289" i="17" s="1"/>
  <c r="AH484" i="17"/>
  <c r="AI484" i="17" s="1"/>
  <c r="AH607" i="17"/>
  <c r="AI607" i="17" s="1"/>
  <c r="AH26" i="17"/>
  <c r="AI26" i="17" s="1"/>
  <c r="AH203" i="17"/>
  <c r="AI203" i="17" s="1"/>
  <c r="AH348" i="17"/>
  <c r="AI348" i="17" s="1"/>
  <c r="AH253" i="17"/>
  <c r="AI253" i="17" s="1"/>
  <c r="AH97" i="17"/>
  <c r="AI97" i="17" s="1"/>
  <c r="AH55" i="17"/>
  <c r="AI55" i="17" s="1"/>
  <c r="AH515" i="17"/>
  <c r="AI515" i="17" s="1"/>
  <c r="AH265" i="17"/>
  <c r="AI265" i="17" s="1"/>
  <c r="AH278" i="17"/>
  <c r="AI278" i="17" s="1"/>
  <c r="AH277" i="17"/>
  <c r="AI277" i="17" s="1"/>
  <c r="AH354" i="17"/>
  <c r="AI354" i="17" s="1"/>
  <c r="AH15" i="17"/>
  <c r="AI15" i="17" s="1"/>
  <c r="AH158" i="17"/>
  <c r="AI158" i="17" s="1"/>
  <c r="AH290" i="17"/>
  <c r="AI290" i="17" s="1"/>
  <c r="AH319" i="17"/>
  <c r="AI319" i="17" s="1"/>
  <c r="AH109" i="17"/>
  <c r="AI109" i="17" s="1"/>
  <c r="AH193" i="17"/>
  <c r="AI193" i="17" s="1"/>
  <c r="AH235" i="17"/>
  <c r="AI235" i="17" s="1"/>
  <c r="AH115" i="17"/>
  <c r="AI115" i="17" s="1"/>
  <c r="AH120" i="17"/>
  <c r="AI120" i="17" s="1"/>
  <c r="AH528" i="17"/>
  <c r="AI528" i="17" s="1"/>
  <c r="AH61" i="17"/>
  <c r="AI61" i="17" s="1"/>
  <c r="AH460" i="17"/>
  <c r="AI460" i="17" s="1"/>
  <c r="AH548" i="17"/>
  <c r="AI548" i="17" s="1"/>
  <c r="AH121" i="17"/>
  <c r="AI121" i="17" s="1"/>
  <c r="AH286" i="17"/>
  <c r="AI286" i="17" s="1"/>
  <c r="AH566" i="17"/>
  <c r="AI566" i="17" s="1"/>
  <c r="AH439" i="17"/>
  <c r="AI439" i="17" s="1"/>
  <c r="AH71" i="17"/>
  <c r="AI71" i="17" s="1"/>
  <c r="AH307" i="17"/>
  <c r="AI307" i="17" s="1"/>
  <c r="AH299" i="17"/>
  <c r="AI299" i="17" s="1"/>
  <c r="AH609" i="17"/>
  <c r="AI609" i="17" s="1"/>
  <c r="AH162" i="17"/>
  <c r="AI162" i="17" s="1"/>
  <c r="AH320" i="17"/>
  <c r="AI320" i="17" s="1"/>
  <c r="AH487" i="17"/>
  <c r="AI487" i="17" s="1"/>
  <c r="AH516" i="17"/>
  <c r="AI516" i="17" s="1"/>
  <c r="AH359" i="17"/>
  <c r="AI359" i="17" s="1"/>
  <c r="AH20" i="17"/>
  <c r="AI20" i="17" s="1"/>
  <c r="AH186" i="17"/>
  <c r="AI186" i="17" s="1"/>
  <c r="AH59" i="17"/>
  <c r="AI59" i="17" s="1"/>
  <c r="AH357" i="17"/>
  <c r="AI357" i="17" s="1"/>
  <c r="AH107" i="17"/>
  <c r="AI107" i="17" s="1"/>
  <c r="AH184" i="17"/>
  <c r="AI184" i="17" s="1"/>
  <c r="AH66" i="17"/>
  <c r="AI66" i="17" s="1"/>
  <c r="AH300" i="17"/>
  <c r="AI300" i="17" s="1"/>
  <c r="AH284" i="17"/>
  <c r="AI284" i="17" s="1"/>
  <c r="AH508" i="17"/>
  <c r="AI508" i="17" s="1"/>
  <c r="AH554" i="17"/>
  <c r="AI554" i="17" s="1"/>
  <c r="AH412" i="17"/>
  <c r="AI412" i="17" s="1"/>
  <c r="AH375" i="17"/>
  <c r="AI375" i="17" s="1"/>
  <c r="AH293" i="17"/>
  <c r="AI293" i="17" s="1"/>
  <c r="AH441" i="17"/>
  <c r="AI441" i="17" s="1"/>
  <c r="AH440" i="17"/>
  <c r="AI440" i="17" s="1"/>
  <c r="AH494" i="17"/>
  <c r="AI494" i="17" s="1"/>
  <c r="AH49" i="17"/>
  <c r="AI49" i="17" s="1"/>
  <c r="AH308" i="17"/>
  <c r="AI308" i="17" s="1"/>
  <c r="AH225" i="17"/>
  <c r="AI225" i="17" s="1"/>
  <c r="AH436" i="17"/>
  <c r="AI436" i="17" s="1"/>
  <c r="AH351" i="17"/>
  <c r="AI351" i="17" s="1"/>
  <c r="AH224" i="17"/>
  <c r="AI224" i="17" s="1"/>
  <c r="AH418" i="17"/>
  <c r="AI418" i="17" s="1"/>
  <c r="AH415" i="17"/>
  <c r="AI415" i="17" s="1"/>
  <c r="AH565" i="17"/>
  <c r="AI565" i="17" s="1"/>
  <c r="AH574" i="17"/>
  <c r="AI574" i="17" s="1"/>
  <c r="AH496" i="17"/>
  <c r="AI496" i="17" s="1"/>
  <c r="AH563" i="17"/>
  <c r="AI563" i="17" s="1"/>
  <c r="AH251" i="17"/>
  <c r="AI251" i="17" s="1"/>
  <c r="AH57" i="17"/>
  <c r="AI57" i="17" s="1"/>
  <c r="AH139" i="17"/>
  <c r="AI139" i="17" s="1"/>
  <c r="AH349" i="17"/>
  <c r="AI349" i="17" s="1"/>
  <c r="AH72" i="17"/>
  <c r="AI72" i="17" s="1"/>
  <c r="AH539" i="17"/>
  <c r="AI539" i="17" s="1"/>
  <c r="AH567" i="17"/>
  <c r="AI567" i="17" s="1"/>
  <c r="AH419" i="17"/>
  <c r="AI419" i="17" s="1"/>
  <c r="AH555" i="17"/>
  <c r="AI555" i="17" s="1"/>
  <c r="AH147" i="17"/>
  <c r="AI147" i="17" s="1"/>
  <c r="Y293" i="17"/>
  <c r="AH340" i="17"/>
  <c r="AI340" i="17" s="1"/>
  <c r="AH517" i="17"/>
  <c r="AI517" i="17" s="1"/>
  <c r="AH389" i="17"/>
  <c r="AI389" i="17" s="1"/>
  <c r="AH337" i="17"/>
  <c r="AI337" i="17" s="1"/>
  <c r="AH148" i="17"/>
  <c r="AI148" i="17" s="1"/>
  <c r="AH94" i="17"/>
  <c r="AI94" i="17" s="1"/>
  <c r="AH323" i="17"/>
  <c r="AI323" i="17" s="1"/>
  <c r="AH287" i="17"/>
  <c r="AI287" i="17" s="1"/>
  <c r="AH23" i="17"/>
  <c r="AI23" i="17" s="1"/>
  <c r="AH130" i="17"/>
  <c r="AI130" i="17" s="1"/>
  <c r="AH185" i="17"/>
  <c r="AI185" i="17" s="1"/>
  <c r="AH174" i="17"/>
  <c r="AI174" i="17" s="1"/>
  <c r="AH187" i="17"/>
  <c r="AI187" i="17" s="1"/>
  <c r="AH196" i="17"/>
  <c r="AI196" i="17" s="1"/>
  <c r="AH345" i="17"/>
  <c r="AI345" i="17" s="1"/>
  <c r="AH370" i="17"/>
  <c r="AI370" i="17" s="1"/>
  <c r="AH564" i="17"/>
  <c r="AI564" i="17" s="1"/>
  <c r="AH575" i="17"/>
  <c r="AI575" i="17" s="1"/>
  <c r="AH433" i="17"/>
  <c r="AI433" i="17" s="1"/>
  <c r="AH530" i="17"/>
  <c r="AI530" i="17" s="1"/>
  <c r="AH435" i="17"/>
  <c r="AI435" i="17" s="1"/>
  <c r="AH189" i="17"/>
  <c r="AI189" i="17" s="1"/>
  <c r="AH589" i="17"/>
  <c r="AI589" i="17" s="1"/>
  <c r="AH173" i="17"/>
  <c r="AI173" i="17" s="1"/>
  <c r="AH13" i="17"/>
  <c r="AI13" i="17" s="1"/>
  <c r="AH481" i="17"/>
  <c r="AI481" i="17" s="1"/>
  <c r="AH402" i="17"/>
  <c r="AI402" i="17" s="1"/>
  <c r="AH599" i="17"/>
  <c r="AI599" i="17" s="1"/>
  <c r="AH495" i="17"/>
  <c r="AI495" i="17" s="1"/>
  <c r="AH314" i="17"/>
  <c r="AI314" i="17" s="1"/>
  <c r="AH258" i="17"/>
  <c r="AI258" i="17" s="1"/>
  <c r="AH431" i="17"/>
  <c r="AI431" i="17" s="1"/>
  <c r="AH472" i="17"/>
  <c r="AI472" i="17" s="1"/>
  <c r="AH280" i="17"/>
  <c r="AI280" i="17" s="1"/>
  <c r="AH274" i="17"/>
  <c r="AI274" i="17" s="1"/>
  <c r="AH471" i="17"/>
  <c r="AI471" i="17" s="1"/>
  <c r="AH369" i="17"/>
  <c r="AI369" i="17" s="1"/>
  <c r="AH527" i="17"/>
  <c r="AI527" i="17" s="1"/>
  <c r="AH454" i="17"/>
  <c r="AI454" i="17" s="1"/>
  <c r="AH315" i="17"/>
  <c r="AI315" i="17" s="1"/>
  <c r="AH429" i="17"/>
  <c r="AI429" i="17" s="1"/>
  <c r="AH17" i="17"/>
  <c r="AI17" i="17" s="1"/>
  <c r="AH414" i="17"/>
  <c r="AI414" i="17" s="1"/>
  <c r="AH324" i="17"/>
  <c r="AI324" i="17" s="1"/>
  <c r="AH392" i="17"/>
  <c r="AI392" i="17" s="1"/>
  <c r="AH149" i="17"/>
  <c r="AI149" i="17" s="1"/>
  <c r="AH124" i="17"/>
  <c r="AI124" i="17" s="1"/>
  <c r="AH24" i="17"/>
  <c r="AI24" i="17" s="1"/>
  <c r="AH404" i="17"/>
  <c r="AI404" i="17" s="1"/>
  <c r="AH598" i="17"/>
  <c r="AI598" i="17" s="1"/>
  <c r="AH612" i="17"/>
  <c r="AI612" i="17" s="1"/>
  <c r="AH498" i="17"/>
  <c r="AI498" i="17" s="1"/>
  <c r="AH212" i="17"/>
  <c r="AI212" i="17" s="1"/>
  <c r="AH568" i="17"/>
  <c r="AI568" i="17" s="1"/>
  <c r="AH582" i="17"/>
  <c r="AI582" i="17" s="1"/>
  <c r="AH25" i="17"/>
  <c r="AI25" i="17" s="1"/>
  <c r="AH172" i="17"/>
  <c r="AI172" i="17" s="1"/>
  <c r="AH506" i="17"/>
  <c r="AI506" i="17" s="1"/>
  <c r="AH553" i="17"/>
  <c r="AI553" i="17" s="1"/>
  <c r="AH56" i="17"/>
  <c r="AI56" i="17" s="1"/>
  <c r="AH562" i="17"/>
  <c r="AI562" i="17" s="1"/>
  <c r="AH22" i="17"/>
  <c r="AI22" i="17" s="1"/>
  <c r="AH505" i="17"/>
  <c r="AI505" i="17" s="1"/>
  <c r="AH113" i="17"/>
  <c r="AI113" i="17" s="1"/>
  <c r="AH138" i="17"/>
  <c r="AI138" i="17" s="1"/>
  <c r="AH34" i="17"/>
  <c r="AI34" i="17" s="1"/>
  <c r="AH310" i="17"/>
  <c r="AI310" i="17" s="1"/>
  <c r="AH267" i="17"/>
  <c r="AI267" i="17" s="1"/>
  <c r="AH492" i="17"/>
  <c r="AI492" i="17" s="1"/>
  <c r="AH281" i="17"/>
  <c r="AI281" i="17" s="1"/>
  <c r="AH254" i="17"/>
  <c r="AI254" i="17" s="1"/>
  <c r="AH250" i="17"/>
  <c r="AI250" i="17" s="1"/>
  <c r="AH432" i="17"/>
  <c r="AI432" i="17" s="1"/>
  <c r="AH236" i="17"/>
  <c r="AI236" i="17" s="1"/>
  <c r="AH198" i="17"/>
  <c r="AI198" i="17" s="1"/>
  <c r="AH144" i="17"/>
  <c r="AI144" i="17" s="1"/>
  <c r="AH526" i="17"/>
  <c r="AI526" i="17" s="1"/>
  <c r="AH552" i="17"/>
  <c r="AI552" i="17" s="1"/>
  <c r="AH321" i="17"/>
  <c r="AI321" i="17" s="1"/>
  <c r="AH428" i="17"/>
  <c r="AI428" i="17" s="1"/>
  <c r="AH338" i="17"/>
  <c r="AI338" i="17" s="1"/>
  <c r="AH497" i="17"/>
  <c r="AI497" i="17" s="1"/>
  <c r="AH458" i="17"/>
  <c r="AI458" i="17" s="1"/>
  <c r="AH600" i="17"/>
  <c r="AI600" i="17" s="1"/>
  <c r="AH303" i="17"/>
  <c r="AI303" i="17" s="1"/>
  <c r="AH232" i="17"/>
  <c r="AI232" i="17" s="1"/>
  <c r="AH427" i="17"/>
  <c r="AI427" i="17" s="1"/>
  <c r="AH493" i="17"/>
  <c r="AI493" i="17" s="1"/>
  <c r="AH304" i="17"/>
  <c r="AI304" i="17" s="1"/>
  <c r="AH322" i="17"/>
  <c r="AI322" i="17" s="1"/>
  <c r="AH81" i="17"/>
  <c r="AI81" i="17" s="1"/>
  <c r="AH514" i="17"/>
  <c r="AI514" i="17" s="1"/>
  <c r="AH390" i="17"/>
  <c r="AI390" i="17" s="1"/>
  <c r="AH570" i="17"/>
  <c r="AI570" i="17" s="1"/>
  <c r="AH48" i="17"/>
  <c r="AI48" i="17" s="1"/>
  <c r="AH46" i="17"/>
  <c r="AI46" i="17" s="1"/>
  <c r="AH102" i="17"/>
  <c r="AI102" i="17" s="1"/>
  <c r="AH217" i="17"/>
  <c r="AI217" i="17" s="1"/>
  <c r="AH275" i="17"/>
  <c r="AI275" i="17" s="1"/>
  <c r="AH394" i="17"/>
  <c r="AI394" i="17" s="1"/>
  <c r="AH420" i="17"/>
  <c r="AI420" i="17" s="1"/>
  <c r="AH161" i="17"/>
  <c r="AI161" i="17" s="1"/>
  <c r="AH228" i="17"/>
  <c r="AI228" i="17" s="1"/>
  <c r="AH54" i="17"/>
  <c r="AI54" i="17" s="1"/>
  <c r="AH610" i="17"/>
  <c r="AI610" i="17" s="1"/>
  <c r="AH502" i="17"/>
  <c r="AI502" i="17" s="1"/>
  <c r="AH50" i="17"/>
  <c r="AI50" i="17" s="1"/>
  <c r="AH529" i="17"/>
  <c r="AI529" i="17" s="1"/>
  <c r="AH381" i="17"/>
  <c r="AI381" i="17" s="1"/>
  <c r="AH19" i="17"/>
  <c r="AI19" i="17" s="1"/>
  <c r="AH545" i="17"/>
  <c r="AI545" i="17" s="1"/>
  <c r="AH136" i="17"/>
  <c r="AI136" i="17" s="1"/>
  <c r="AH204" i="17"/>
  <c r="AI204" i="17" s="1"/>
  <c r="AH358" i="17"/>
  <c r="AI358" i="17" s="1"/>
  <c r="AH446" i="17"/>
  <c r="AI446" i="17" s="1"/>
  <c r="AH489" i="17"/>
  <c r="AI489" i="17" s="1"/>
  <c r="AH572" i="17"/>
  <c r="AI572" i="17" s="1"/>
  <c r="AH14" i="17"/>
  <c r="AI14" i="17" s="1"/>
  <c r="AH100" i="17"/>
  <c r="AI100" i="17" s="1"/>
  <c r="AH245" i="17"/>
  <c r="AI245" i="17" s="1"/>
  <c r="AH76" i="17"/>
  <c r="AI76" i="17" s="1"/>
  <c r="AH463" i="17"/>
  <c r="AI463" i="17" s="1"/>
  <c r="AH531" i="17"/>
  <c r="AI531" i="17" s="1"/>
  <c r="AH194" i="17"/>
  <c r="AI194" i="17" s="1"/>
  <c r="AH79" i="17"/>
  <c r="AI79" i="17" s="1"/>
  <c r="AH242" i="17"/>
  <c r="AI242" i="17" s="1"/>
  <c r="AH332" i="17"/>
  <c r="AI332" i="17" s="1"/>
  <c r="AH550" i="17"/>
  <c r="AI550" i="17" s="1"/>
  <c r="AH89" i="17"/>
  <c r="AI89" i="17" s="1"/>
  <c r="AH330" i="17"/>
  <c r="AI330" i="17" s="1"/>
  <c r="AH36" i="17"/>
  <c r="AI36" i="17" s="1"/>
  <c r="AH571" i="17"/>
  <c r="AI571" i="17" s="1"/>
  <c r="AH587" i="17"/>
  <c r="AI587" i="17" s="1"/>
  <c r="AH301" i="17"/>
  <c r="AI301" i="17" s="1"/>
  <c r="AH305" i="17"/>
  <c r="AI305" i="17" s="1"/>
  <c r="AH231" i="17"/>
  <c r="AI231" i="17" s="1"/>
  <c r="AH525" i="17"/>
  <c r="AI525" i="17" s="1"/>
  <c r="AH32" i="17"/>
  <c r="AI32" i="17" s="1"/>
  <c r="AH544" i="17"/>
  <c r="AI544" i="17" s="1"/>
  <c r="AH218" i="17"/>
  <c r="AI218" i="17" s="1"/>
  <c r="AH462" i="17"/>
  <c r="AI462" i="17" s="1"/>
  <c r="AH33" i="17"/>
  <c r="AI33" i="17" s="1"/>
  <c r="AH75" i="17"/>
  <c r="AI75" i="17" s="1"/>
  <c r="AH84" i="17"/>
  <c r="AI84" i="17" s="1"/>
  <c r="AH461" i="17"/>
  <c r="AI461" i="17" s="1"/>
  <c r="AH169" i="17"/>
  <c r="AI169" i="17" s="1"/>
  <c r="AH366" i="17"/>
  <c r="AI366" i="17" s="1"/>
  <c r="AH31" i="17"/>
  <c r="AI31" i="17" s="1"/>
  <c r="AH573" i="17"/>
  <c r="AI573" i="17" s="1"/>
  <c r="AH154" i="17"/>
  <c r="AI154" i="17" s="1"/>
  <c r="AH346" i="17"/>
  <c r="AI346" i="17" s="1"/>
  <c r="AH507" i="17"/>
  <c r="AI507" i="17" s="1"/>
  <c r="AH382" i="17"/>
  <c r="AI382" i="17" s="1"/>
  <c r="AH596" i="17"/>
  <c r="AI596" i="17" s="1"/>
  <c r="AH18" i="17"/>
  <c r="AI18" i="17" s="1"/>
  <c r="AH155" i="17"/>
  <c r="AI155" i="17" s="1"/>
  <c r="AH95" i="17"/>
  <c r="AI95" i="17" s="1"/>
  <c r="AH125" i="17"/>
  <c r="AI125" i="17" s="1"/>
  <c r="AH549" i="17"/>
  <c r="AI549" i="17" s="1"/>
  <c r="AH541" i="17"/>
  <c r="AI541" i="17" s="1"/>
  <c r="AH179" i="17"/>
  <c r="AI179" i="17" s="1"/>
  <c r="AH197" i="17"/>
  <c r="AI197" i="17" s="1"/>
  <c r="AH606" i="17"/>
  <c r="AI606" i="17" s="1"/>
  <c r="AH108" i="17"/>
  <c r="AI108" i="17" s="1"/>
  <c r="AH395" i="17"/>
  <c r="AI395" i="17" s="1"/>
  <c r="AH444" i="17"/>
  <c r="AI444" i="17" s="1"/>
  <c r="AH588" i="17"/>
  <c r="AI588" i="17" s="1"/>
  <c r="AH51" i="17"/>
  <c r="AI51" i="17" s="1"/>
  <c r="AH532" i="17"/>
  <c r="AI532" i="17" s="1"/>
  <c r="AH167" i="17"/>
  <c r="AI167" i="17" s="1"/>
  <c r="AH240" i="17"/>
  <c r="AI240" i="17" s="1"/>
  <c r="AH168" i="17"/>
  <c r="AI168" i="17" s="1"/>
  <c r="AH246" i="17"/>
  <c r="AI246" i="17" s="1"/>
  <c r="AH195" i="17"/>
  <c r="AI195" i="17" s="1"/>
  <c r="AH170" i="17"/>
  <c r="AI170" i="17" s="1"/>
  <c r="AH551" i="17"/>
  <c r="AI551" i="17" s="1"/>
  <c r="AH488" i="17"/>
  <c r="AI488" i="17" s="1"/>
  <c r="AH114" i="17"/>
  <c r="AI114" i="17" s="1"/>
  <c r="AH85" i="17"/>
  <c r="AI85" i="17" s="1"/>
  <c r="AH374" i="17"/>
  <c r="AI374" i="17" s="1"/>
  <c r="AH409" i="17"/>
  <c r="AI409" i="17" s="1"/>
  <c r="AH601" i="17"/>
  <c r="AI601" i="17" s="1"/>
  <c r="AH262" i="17"/>
  <c r="AI262" i="17" s="1"/>
  <c r="AH222" i="17"/>
  <c r="AI222" i="17" s="1"/>
  <c r="AH248" i="17"/>
  <c r="AI248" i="17" s="1"/>
  <c r="AH157" i="17"/>
  <c r="AI157" i="17" s="1"/>
  <c r="AH273" i="17"/>
  <c r="AI273" i="17" s="1"/>
  <c r="AH408" i="17"/>
  <c r="AI408" i="17" s="1"/>
  <c r="AH559" i="17"/>
  <c r="AI559" i="17" s="1"/>
  <c r="AH105" i="17"/>
  <c r="AI105" i="17" s="1"/>
  <c r="AH511" i="17"/>
  <c r="AI511" i="17" s="1"/>
  <c r="AH223" i="17"/>
  <c r="AI223" i="17" s="1"/>
  <c r="AH181" i="17"/>
  <c r="AI181" i="17" s="1"/>
  <c r="AH455" i="17"/>
  <c r="AI455" i="17" s="1"/>
  <c r="AH29" i="17"/>
  <c r="AI29" i="17" s="1"/>
  <c r="AH244" i="17"/>
  <c r="AI244" i="17" s="1"/>
  <c r="AH611" i="17"/>
  <c r="AI611" i="17" s="1"/>
  <c r="AH473" i="17"/>
  <c r="AI473" i="17" s="1"/>
  <c r="AH83" i="17"/>
  <c r="AI83" i="17" s="1"/>
  <c r="AH227" i="17"/>
  <c r="AI227" i="17" s="1"/>
  <c r="AH510" i="17"/>
  <c r="AI510" i="17" s="1"/>
  <c r="AH272" i="17"/>
  <c r="AI272" i="17" s="1"/>
  <c r="AH479" i="17"/>
  <c r="AI479" i="17" s="1"/>
  <c r="AH353" i="17"/>
  <c r="AI353" i="17" s="1"/>
  <c r="AH226" i="17"/>
  <c r="AI226" i="17" s="1"/>
  <c r="AH474" i="17"/>
  <c r="AI474" i="17" s="1"/>
  <c r="AH243" i="17"/>
  <c r="AI243" i="17" s="1"/>
  <c r="AH456" i="17"/>
  <c r="AI456" i="17" s="1"/>
  <c r="AH180" i="17"/>
  <c r="AI180" i="17" s="1"/>
  <c r="AH352" i="17"/>
  <c r="AI352" i="17" s="1"/>
  <c r="AH261" i="17"/>
  <c r="AI261" i="17" s="1"/>
  <c r="AH542" i="17"/>
  <c r="AI542" i="17" s="1"/>
  <c r="AH478" i="17"/>
  <c r="AI478" i="17" s="1"/>
  <c r="AH543" i="17"/>
  <c r="AI543" i="17" s="1"/>
  <c r="AH285" i="17"/>
  <c r="AI285" i="17" s="1"/>
  <c r="AH249" i="17"/>
  <c r="AI249" i="17" s="1"/>
  <c r="AH605" i="17"/>
  <c r="AI605" i="17" s="1"/>
  <c r="AH247" i="17"/>
  <c r="AI247" i="17" s="1"/>
  <c r="AH221" i="17"/>
  <c r="AI221" i="17" s="1"/>
  <c r="AH602" i="17"/>
  <c r="AI602" i="17" s="1"/>
  <c r="AH80" i="17"/>
  <c r="AI80" i="17" s="1"/>
  <c r="AH331" i="17"/>
  <c r="AI331" i="17" s="1"/>
  <c r="AH201" i="17"/>
  <c r="AI201" i="17" s="1"/>
  <c r="AH268" i="17"/>
  <c r="AI268" i="17" s="1"/>
  <c r="AH521" i="17"/>
  <c r="AI521" i="17" s="1"/>
  <c r="AH87" i="17"/>
  <c r="AI87" i="17" s="1"/>
  <c r="AH522" i="17"/>
  <c r="AI522" i="17" s="1"/>
  <c r="AH480" i="17"/>
  <c r="AI480" i="17" s="1"/>
  <c r="AH557" i="17"/>
  <c r="AI557" i="17" s="1"/>
  <c r="AH447" i="17"/>
  <c r="AI447" i="17" s="1"/>
  <c r="AH141" i="17"/>
  <c r="AI141" i="17" s="1"/>
  <c r="AH425" i="17"/>
  <c r="AI425" i="17" s="1"/>
  <c r="AH30" i="17"/>
  <c r="AI30" i="17" s="1"/>
  <c r="AH430" i="17"/>
  <c r="AI430" i="17" s="1"/>
  <c r="AH142" i="17"/>
  <c r="AI142" i="17" s="1"/>
  <c r="AH103" i="17"/>
  <c r="AI103" i="17" s="1"/>
  <c r="AH177" i="17"/>
  <c r="AI177" i="17" s="1"/>
  <c r="AH608" i="17"/>
  <c r="AI608" i="17" s="1"/>
  <c r="AH518" i="17"/>
  <c r="AI518" i="17" s="1"/>
  <c r="AH524" i="17"/>
  <c r="AI524" i="17" s="1"/>
  <c r="AH96" i="17"/>
  <c r="AI96" i="17" s="1"/>
  <c r="AH264" i="17"/>
  <c r="AI264" i="17" s="1"/>
  <c r="AH191" i="17"/>
  <c r="AI191" i="17" s="1"/>
  <c r="AH581" i="17"/>
  <c r="AI581" i="17" s="1"/>
  <c r="AH339" i="17"/>
  <c r="AI339" i="17" s="1"/>
  <c r="AH547" i="17"/>
  <c r="AI547" i="17" s="1"/>
  <c r="AH371" i="17"/>
  <c r="AI371" i="17" s="1"/>
  <c r="AH347" i="17"/>
  <c r="AI347" i="17" s="1"/>
  <c r="AH372" i="17"/>
  <c r="AI372" i="17" s="1"/>
  <c r="AH16" i="17"/>
  <c r="AI16" i="17" s="1"/>
  <c r="AH47" i="17"/>
  <c r="AI47" i="17" s="1"/>
  <c r="AH445" i="17"/>
  <c r="AI445" i="17" s="1"/>
  <c r="Y117" i="17"/>
  <c r="AH580" i="17"/>
  <c r="AI580" i="17" s="1"/>
  <c r="AH202" i="17"/>
  <c r="AI202" i="17" s="1"/>
  <c r="AH558" i="17"/>
  <c r="AI558" i="17" s="1"/>
  <c r="AH210" i="17"/>
  <c r="AI210" i="17" s="1"/>
  <c r="AH523" i="17"/>
  <c r="AI523" i="17" s="1"/>
  <c r="AH504" i="17"/>
  <c r="AI504" i="17" s="1"/>
  <c r="AH452" i="17"/>
  <c r="AI452" i="17" s="1"/>
  <c r="AH160" i="17"/>
  <c r="AI160" i="17" s="1"/>
  <c r="AH398" i="17"/>
  <c r="AI398" i="17" s="1"/>
  <c r="AH88" i="17"/>
  <c r="AI88" i="17" s="1"/>
  <c r="AH164" i="17"/>
  <c r="AI164" i="17" s="1"/>
  <c r="AH159" i="17"/>
  <c r="AI159" i="17" s="1"/>
  <c r="AH165" i="17"/>
  <c r="AI165" i="17" s="1"/>
  <c r="AH486" i="17"/>
  <c r="AI486" i="17" s="1"/>
  <c r="AH467" i="17"/>
  <c r="AI467" i="17" s="1"/>
  <c r="AH546" i="17"/>
  <c r="AI546" i="17" s="1"/>
  <c r="AH335" i="17"/>
  <c r="AI335" i="17" s="1"/>
  <c r="AH192" i="17"/>
  <c r="AI192" i="17" s="1"/>
  <c r="AH118" i="17"/>
  <c r="AI118" i="17" s="1"/>
  <c r="AH178" i="17"/>
  <c r="AI178" i="17" s="1"/>
  <c r="AH45" i="17"/>
  <c r="AI45" i="17" s="1"/>
  <c r="AH595" i="17"/>
  <c r="AI595" i="17" s="1"/>
  <c r="AH443" i="17"/>
  <c r="AI443" i="17" s="1"/>
  <c r="AH399" i="17"/>
  <c r="AI399" i="17" s="1"/>
  <c r="AH586" i="17"/>
  <c r="AI586" i="17" s="1"/>
  <c r="AH143" i="17"/>
  <c r="AI143" i="17" s="1"/>
  <c r="AH263" i="17"/>
  <c r="AI263" i="17" s="1"/>
  <c r="AH327" i="17"/>
  <c r="AI327" i="17" s="1"/>
  <c r="AH403" i="17"/>
  <c r="AI403" i="17" s="1"/>
  <c r="AH176" i="17"/>
  <c r="AI176" i="17" s="1"/>
  <c r="AH44" i="17"/>
  <c r="AI44" i="17" s="1"/>
  <c r="AH378" i="17"/>
  <c r="AI378" i="17" s="1"/>
  <c r="AH28" i="17"/>
  <c r="AI28" i="17" s="1"/>
  <c r="AH256" i="17"/>
  <c r="AI256" i="17" s="1"/>
  <c r="AH257" i="17"/>
  <c r="AI257" i="17" s="1"/>
  <c r="AH485" i="17"/>
  <c r="AI485" i="17" s="1"/>
  <c r="AH328" i="17"/>
  <c r="AI328" i="17" s="1"/>
  <c r="AH451" i="17"/>
  <c r="AI451" i="17" s="1"/>
  <c r="AH556" i="17"/>
  <c r="AI556" i="17" s="1"/>
  <c r="AH295" i="17"/>
  <c r="AI295" i="17" s="1"/>
  <c r="AH450" i="17"/>
  <c r="AI450" i="17" s="1"/>
  <c r="AH313" i="17"/>
  <c r="AI313" i="17" s="1"/>
  <c r="AH43" i="17"/>
  <c r="AI43" i="17" s="1"/>
  <c r="AH209" i="17"/>
  <c r="AI209" i="17" s="1"/>
  <c r="AH377" i="17"/>
  <c r="AI377" i="17" s="1"/>
  <c r="AH476" i="17"/>
  <c r="AI476" i="17" s="1"/>
  <c r="AH131" i="17"/>
  <c r="AI131" i="17" s="1"/>
  <c r="AH60" i="17"/>
  <c r="AI60" i="17" s="1"/>
  <c r="AH64" i="17"/>
  <c r="AI64" i="17" s="1"/>
  <c r="AH216" i="17"/>
  <c r="AI216" i="17" s="1"/>
  <c r="AH119" i="17"/>
  <c r="AI119" i="17" s="1"/>
  <c r="AH424" i="17"/>
  <c r="AI424" i="17" s="1"/>
  <c r="AH215" i="17"/>
  <c r="AI215" i="17" s="1"/>
  <c r="AH117" i="17"/>
  <c r="AI117" i="17" s="1"/>
  <c r="AH65" i="17"/>
  <c r="AI65" i="17" s="1"/>
  <c r="AH509" i="17"/>
  <c r="AI509" i="17" s="1"/>
  <c r="AH53" i="17"/>
  <c r="AI53" i="17" s="1"/>
  <c r="AH519" i="17"/>
  <c r="AI519" i="17" s="1"/>
  <c r="AH365" i="17"/>
  <c r="AI365" i="17" s="1"/>
  <c r="AH336" i="17"/>
  <c r="AI336" i="17" s="1"/>
  <c r="AH364" i="17"/>
  <c r="AI364" i="17" s="1"/>
  <c r="AH126" i="17"/>
  <c r="AI126" i="17" s="1"/>
  <c r="AH312" i="17"/>
  <c r="AI312" i="17" s="1"/>
  <c r="AH104" i="17"/>
  <c r="AI104" i="17" s="1"/>
  <c r="AH106" i="17"/>
  <c r="AI106" i="17" s="1"/>
  <c r="AH127" i="17"/>
  <c r="AI127" i="17" s="1"/>
  <c r="AH376" i="17"/>
  <c r="AI376" i="17" s="1"/>
  <c r="AH503" i="17"/>
  <c r="AI503" i="17" s="1"/>
  <c r="AH296" i="17"/>
  <c r="AI296" i="17" s="1"/>
  <c r="AH140" i="17"/>
  <c r="AI140" i="17" s="1"/>
  <c r="AH475" i="17"/>
  <c r="AI475" i="17" s="1"/>
  <c r="AH276" i="17"/>
  <c r="AI276" i="17" s="1"/>
  <c r="AH466" i="17"/>
  <c r="AI466" i="17" s="1"/>
  <c r="AH27" i="17"/>
  <c r="AI27" i="17" s="1"/>
  <c r="AH342" i="17"/>
  <c r="AI342" i="17" s="1"/>
  <c r="AH341" i="17"/>
  <c r="AI341" i="17" s="1"/>
  <c r="AH449" i="17"/>
  <c r="AI449" i="17" s="1"/>
  <c r="AH269" i="17"/>
  <c r="AI269" i="17" s="1"/>
  <c r="AF625" i="17"/>
  <c r="AI13" i="27" l="1"/>
  <c r="AK13" i="27" s="1"/>
  <c r="M16" i="29"/>
  <c r="M17" i="29" s="1"/>
  <c r="G12" i="28"/>
  <c r="B304" i="2"/>
  <c r="AI9" i="17"/>
  <c r="A426" i="2" s="1"/>
  <c r="AI7" i="17"/>
  <c r="U4" i="17" s="1"/>
  <c r="A424" i="2" l="1"/>
  <c r="B424" i="2"/>
  <c r="U5" i="17"/>
  <c r="B425" i="2" s="1"/>
  <c r="AN13" i="27"/>
  <c r="AM13" i="27"/>
  <c r="G14" i="28"/>
  <c r="A639" i="17"/>
  <c r="A640" i="17"/>
  <c r="A617" i="17"/>
  <c r="D424" i="2"/>
  <c r="A425" i="2" l="1"/>
  <c r="F617" i="17"/>
  <c r="Q617" i="17"/>
  <c r="P617" i="17"/>
  <c r="O617" i="17"/>
  <c r="R617" i="17"/>
  <c r="G617" i="17"/>
  <c r="H617" i="17"/>
  <c r="K617" i="17"/>
  <c r="N617" i="17"/>
  <c r="T617" i="17"/>
  <c r="L617" i="17"/>
  <c r="M617" i="17"/>
  <c r="J617" i="17"/>
  <c r="E617" i="17"/>
  <c r="S617" i="17"/>
  <c r="D617" i="17"/>
  <c r="A618" i="17"/>
  <c r="A619" i="17" s="1"/>
  <c r="C617" i="17"/>
  <c r="I617" i="17"/>
  <c r="U617" i="17" l="1"/>
  <c r="V617" i="17"/>
  <c r="V620" i="17" s="1"/>
  <c r="AB617" i="17"/>
  <c r="AF617" i="17"/>
  <c r="AC617" i="17"/>
  <c r="AE617" i="17"/>
  <c r="W617" i="1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Timothy Hegarty</author>
    <author>Hegarty, Timothy</author>
    <author>BDATSC</author>
  </authors>
  <commentList>
    <comment ref="A3" authorId="0" shapeId="0" xr:uid="{00000000-0006-0000-0000-000001000000}">
      <text>
        <r>
          <rPr>
            <b/>
            <sz val="12"/>
            <color indexed="10"/>
            <rFont val="Tahoma"/>
            <family val="2"/>
          </rPr>
          <t>Welcome to the LM(2)5148/-Q1 Quickstart Design Tool</t>
        </r>
        <r>
          <rPr>
            <sz val="9"/>
            <color indexed="81"/>
            <rFont val="Tahoma"/>
            <family val="2"/>
          </rPr>
          <t xml:space="preserve">
This stand-alone tool facilitates and assists the power supply engineer with design of a DC/DC buck regulator based on the </t>
        </r>
        <r>
          <rPr>
            <b/>
            <sz val="9"/>
            <color indexed="81"/>
            <rFont val="Tahoma"/>
            <family val="2"/>
          </rPr>
          <t>LM5148/-Q1 and LM25148/-Q1 synchronous buck controller family</t>
        </r>
        <r>
          <rPr>
            <sz val="9"/>
            <color indexed="81"/>
            <rFont val="Tahoma"/>
            <family val="2"/>
          </rPr>
          <t xml:space="preserve">. As such, the user can expeditiously arrive at an optimized design by virtue of the following:
- Determine current sense resistance, buck inductances and input and output capacitances
- Select components to set switching frequency, soft-start, hiccup time and dither
- Optimize compensation values and pole/zero placement in terms of control loop stability using crossover frequency as a performance metric
- Inspect regulator efficiency and component power dissipations vs. line and load
- Analyze efficiency based on selected MOSFET parameters
- Review auto-generated schematic and BOM list
</t>
        </r>
        <r>
          <rPr>
            <b/>
            <sz val="9"/>
            <color indexed="81"/>
            <rFont val="Tahoma"/>
            <family val="2"/>
          </rPr>
          <t>IMPORTANT:</t>
        </r>
        <r>
          <rPr>
            <sz val="9"/>
            <color indexed="81"/>
            <rFont val="Tahoma"/>
            <family val="2"/>
          </rPr>
          <t xml:space="preserve"> You must enable macros if Microsoft EXCEL asks as the file is being opened.
U.S. English notationsense resistance,  is used throughout.
</t>
        </r>
        <r>
          <rPr>
            <u/>
            <sz val="9"/>
            <color indexed="12"/>
            <rFont val="Tahoma"/>
            <family val="2"/>
          </rPr>
          <t>http://www.ti.com/power</t>
        </r>
        <r>
          <rPr>
            <sz val="9"/>
            <color indexed="81"/>
            <rFont val="Tahoma"/>
            <family val="2"/>
          </rPr>
          <t xml:space="preserve">
</t>
        </r>
        <r>
          <rPr>
            <b/>
            <sz val="9"/>
            <color indexed="81"/>
            <rFont val="Tahoma"/>
            <family val="2"/>
          </rPr>
          <t xml:space="preserve">
Rev A4, Timothy Hegarty, Texas Instruments, Inc.</t>
        </r>
      </text>
    </comment>
    <comment ref="N3" authorId="0" shapeId="0" xr:uid="{00000000-0006-0000-0000-000002000000}">
      <text>
        <r>
          <rPr>
            <b/>
            <u/>
            <sz val="11"/>
            <color indexed="10"/>
            <rFont val="Tahoma"/>
            <family val="2"/>
          </rPr>
          <t>Texas Instruments</t>
        </r>
        <r>
          <rPr>
            <sz val="11"/>
            <color indexed="10"/>
            <rFont val="Tahoma"/>
            <family val="2"/>
          </rPr>
          <t>:</t>
        </r>
        <r>
          <rPr>
            <sz val="9"/>
            <color indexed="81"/>
            <rFont val="Tahoma"/>
            <family val="2"/>
          </rPr>
          <t xml:space="preserve">
</t>
        </r>
        <r>
          <rPr>
            <b/>
            <sz val="9"/>
            <color indexed="81"/>
            <rFont val="Tahoma"/>
            <family val="2"/>
          </rPr>
          <t>Limited Use Policy</t>
        </r>
        <r>
          <rPr>
            <sz val="9"/>
            <color indexed="81"/>
            <rFont val="Tahoma"/>
            <family val="2"/>
          </rPr>
          <t xml:space="preserve">
You must treat this software and documentation like any other copyrighted material.
</t>
        </r>
        <r>
          <rPr>
            <b/>
            <sz val="9"/>
            <color indexed="81"/>
            <rFont val="Tahoma"/>
            <family val="2"/>
          </rPr>
          <t>You may not:</t>
        </r>
        <r>
          <rPr>
            <sz val="9"/>
            <color indexed="81"/>
            <rFont val="Tahoma"/>
            <family val="2"/>
          </rPr>
          <t xml:space="preserve">
- Copy documentation of the software
- Copy this software except to make archival or backup copies
- Reverse engineer, disassemble, decompile or make any attempt to discover the source code of the Software 
- Place the software onto a server so that it is accessible via a public network such as the internet 
- Sublicense, rent, lease or lend any portion of the software or documentation.
Texas Instruments is not responsible for the validity of any design created with this software and urges all designs to be fully tested and carefully verified. Refer to the LM(2)5148/-Q1 product datasheet and EVM user's guide for more details.
</t>
        </r>
        <r>
          <rPr>
            <b/>
            <sz val="9"/>
            <color indexed="81"/>
            <rFont val="Tahoma"/>
            <family val="2"/>
          </rPr>
          <t>Rev A4, Timothy Hegarty, Texas Instruments, Inc.</t>
        </r>
      </text>
    </comment>
    <comment ref="F6" authorId="0" shapeId="0" xr:uid="{00000000-0006-0000-0000-000003000000}">
      <text>
        <r>
          <rPr>
            <b/>
            <u/>
            <sz val="9"/>
            <color indexed="81"/>
            <rFont val="Tahoma"/>
            <family val="2"/>
          </rPr>
          <t>Minimum Input Voltage</t>
        </r>
        <r>
          <rPr>
            <b/>
            <sz val="9"/>
            <color indexed="81"/>
            <rFont val="Tahoma"/>
            <family val="2"/>
          </rPr>
          <t>:</t>
        </r>
        <r>
          <rPr>
            <sz val="9"/>
            <color indexed="81"/>
            <rFont val="Tahoma"/>
            <family val="2"/>
          </rPr>
          <t xml:space="preserve">
Enter the minimum operating input voltage.
The LM(2)5148/-Q1 input voltage operating range is 3.5V to 80V (42V).
</t>
        </r>
        <r>
          <rPr>
            <b/>
            <sz val="9"/>
            <color indexed="81"/>
            <rFont val="Tahoma"/>
            <family val="2"/>
          </rPr>
          <t>The text in the cell is flagged red if:</t>
        </r>
        <r>
          <rPr>
            <sz val="9"/>
            <color indexed="81"/>
            <rFont val="Tahoma"/>
            <family val="2"/>
          </rPr>
          <t xml:space="preserve">
-The input voltage is above </t>
        </r>
        <r>
          <rPr>
            <b/>
            <sz val="9"/>
            <color indexed="10"/>
            <rFont val="Tahoma"/>
            <family val="2"/>
          </rPr>
          <t>80V (42V)</t>
        </r>
        <r>
          <rPr>
            <sz val="9"/>
            <color indexed="81"/>
            <rFont val="Tahoma"/>
            <family val="2"/>
          </rPr>
          <t xml:space="preserve">
-The input voltage is below </t>
        </r>
        <r>
          <rPr>
            <b/>
            <sz val="9"/>
            <color indexed="10"/>
            <rFont val="Tahoma"/>
            <family val="2"/>
          </rPr>
          <t>3.5V</t>
        </r>
      </text>
    </comment>
    <comment ref="F7" authorId="0" shapeId="0" xr:uid="{00000000-0006-0000-0000-000004000000}">
      <text>
        <r>
          <rPr>
            <b/>
            <u/>
            <sz val="9"/>
            <color indexed="81"/>
            <rFont val="Tahoma"/>
            <family val="2"/>
          </rPr>
          <t>Nominal Input Voltage</t>
        </r>
        <r>
          <rPr>
            <b/>
            <sz val="9"/>
            <color indexed="81"/>
            <rFont val="Tahoma"/>
            <family val="2"/>
          </rPr>
          <t>:</t>
        </r>
        <r>
          <rPr>
            <sz val="9"/>
            <color indexed="81"/>
            <rFont val="Tahoma"/>
            <family val="2"/>
          </rPr>
          <t xml:space="preserve">
Enter the nominal operating input voltage.
The LM(2)5148-Q1 input voltage operating range is 3.5V to 80V (42V).
</t>
        </r>
        <r>
          <rPr>
            <b/>
            <sz val="9"/>
            <color indexed="81"/>
            <rFont val="Tahoma"/>
            <family val="2"/>
          </rPr>
          <t>The text in the cell is flagged red if:</t>
        </r>
        <r>
          <rPr>
            <sz val="9"/>
            <color indexed="81"/>
            <rFont val="Tahoma"/>
            <family val="2"/>
          </rPr>
          <t xml:space="preserve">
-The input voltage is above </t>
        </r>
        <r>
          <rPr>
            <b/>
            <sz val="9"/>
            <color indexed="10"/>
            <rFont val="Tahoma"/>
            <family val="2"/>
          </rPr>
          <t>V</t>
        </r>
        <r>
          <rPr>
            <b/>
            <vertAlign val="subscript"/>
            <sz val="9"/>
            <color indexed="10"/>
            <rFont val="Tahoma"/>
            <family val="2"/>
          </rPr>
          <t>IN(max)</t>
        </r>
        <r>
          <rPr>
            <sz val="9"/>
            <color indexed="81"/>
            <rFont val="Tahoma"/>
            <family val="2"/>
          </rPr>
          <t xml:space="preserve">
-The input voltage is below </t>
        </r>
        <r>
          <rPr>
            <b/>
            <sz val="9"/>
            <color indexed="10"/>
            <rFont val="Tahoma"/>
            <family val="2"/>
          </rPr>
          <t>V</t>
        </r>
        <r>
          <rPr>
            <b/>
            <vertAlign val="subscript"/>
            <sz val="9"/>
            <color indexed="10"/>
            <rFont val="Tahoma"/>
            <family val="2"/>
          </rPr>
          <t>IN(min)</t>
        </r>
      </text>
    </comment>
    <comment ref="F8" authorId="0" shapeId="0" xr:uid="{00000000-0006-0000-0000-000005000000}">
      <text>
        <r>
          <rPr>
            <b/>
            <u/>
            <sz val="9"/>
            <color indexed="81"/>
            <rFont val="Tahoma"/>
            <family val="2"/>
          </rPr>
          <t>Maximum Input Voltage</t>
        </r>
        <r>
          <rPr>
            <b/>
            <sz val="9"/>
            <color indexed="81"/>
            <rFont val="Tahoma"/>
            <family val="2"/>
          </rPr>
          <t>:</t>
        </r>
        <r>
          <rPr>
            <sz val="9"/>
            <color indexed="81"/>
            <rFont val="Tahoma"/>
            <family val="2"/>
          </rPr>
          <t xml:space="preserve">
Enter the maximum operating input voltage.
The LM(2)5148-Q1 input voltage operating range is 3.5V to 80V (42V).
</t>
        </r>
        <r>
          <rPr>
            <b/>
            <sz val="9"/>
            <color indexed="81"/>
            <rFont val="Tahoma"/>
            <family val="2"/>
          </rPr>
          <t>The text in the cell is flagged red if:</t>
        </r>
        <r>
          <rPr>
            <sz val="9"/>
            <color indexed="81"/>
            <rFont val="Tahoma"/>
            <family val="2"/>
          </rPr>
          <t xml:space="preserve">
-The input voltage is above </t>
        </r>
        <r>
          <rPr>
            <b/>
            <sz val="9"/>
            <color indexed="10"/>
            <rFont val="Tahoma"/>
            <family val="2"/>
          </rPr>
          <t>80V (42V)</t>
        </r>
        <r>
          <rPr>
            <sz val="9"/>
            <color indexed="81"/>
            <rFont val="Tahoma"/>
            <family val="2"/>
          </rPr>
          <t xml:space="preserve">
-The input voltage is below </t>
        </r>
        <r>
          <rPr>
            <b/>
            <sz val="9"/>
            <color indexed="10"/>
            <rFont val="Tahoma"/>
            <family val="2"/>
          </rPr>
          <t>3.5V</t>
        </r>
      </text>
    </comment>
    <comment ref="F9" authorId="0" shapeId="0" xr:uid="{00000000-0006-0000-0000-000006000000}">
      <text>
        <r>
          <rPr>
            <b/>
            <u/>
            <sz val="9"/>
            <color indexed="81"/>
            <rFont val="Tahoma"/>
            <family val="2"/>
          </rPr>
          <t>Output Voltage</t>
        </r>
        <r>
          <rPr>
            <b/>
            <sz val="9"/>
            <color indexed="81"/>
            <rFont val="Tahoma"/>
            <family val="2"/>
          </rPr>
          <t xml:space="preserve">:
</t>
        </r>
        <r>
          <rPr>
            <sz val="9"/>
            <color indexed="81"/>
            <rFont val="Tahoma"/>
            <family val="2"/>
          </rPr>
          <t>Enter the desired output voltage.</t>
        </r>
        <r>
          <rPr>
            <b/>
            <sz val="9"/>
            <color indexed="81"/>
            <rFont val="Tahoma"/>
            <family val="2"/>
          </rPr>
          <t xml:space="preserve">
The text in the cell is flagged red if:
</t>
        </r>
        <r>
          <rPr>
            <b/>
            <sz val="9"/>
            <color indexed="10"/>
            <rFont val="Tahoma"/>
            <family val="2"/>
          </rPr>
          <t>-The output voltage is above 55V 
-The output voltage is below 0.8V</t>
        </r>
      </text>
    </comment>
    <comment ref="F11" authorId="0" shapeId="0" xr:uid="{00000000-0006-0000-0000-000007000000}">
      <text>
        <r>
          <rPr>
            <b/>
            <u/>
            <sz val="9"/>
            <color indexed="81"/>
            <rFont val="Tahoma"/>
            <family val="2"/>
          </rPr>
          <t>Switching Frequency</t>
        </r>
        <r>
          <rPr>
            <b/>
            <sz val="9"/>
            <color indexed="81"/>
            <rFont val="Tahoma"/>
            <family val="2"/>
          </rPr>
          <t xml:space="preserve"> (set by R</t>
        </r>
        <r>
          <rPr>
            <b/>
            <vertAlign val="subscript"/>
            <sz val="9"/>
            <color indexed="81"/>
            <rFont val="Tahoma"/>
            <family val="2"/>
          </rPr>
          <t>T</t>
        </r>
        <r>
          <rPr>
            <b/>
            <sz val="9"/>
            <color indexed="81"/>
            <rFont val="Tahoma"/>
            <family val="2"/>
          </rPr>
          <t>):</t>
        </r>
        <r>
          <rPr>
            <sz val="9"/>
            <color indexed="81"/>
            <rFont val="Tahoma"/>
            <family val="2"/>
          </rPr>
          <t xml:space="preserve">
This cell defines the switching frequency set by the R</t>
        </r>
        <r>
          <rPr>
            <vertAlign val="subscript"/>
            <sz val="9"/>
            <color indexed="81"/>
            <rFont val="Tahoma"/>
            <family val="2"/>
          </rPr>
          <t>T</t>
        </r>
        <r>
          <rPr>
            <sz val="9"/>
            <color indexed="81"/>
            <rFont val="Tahoma"/>
            <family val="2"/>
          </rPr>
          <t xml:space="preserve"> resistor, or by connecting an appropriate SYNC IN signal to the PFM/SYNC pin.
The frequency set by RT can be [100kHz - 2.2MHz] but can be synced ±20% of this freee-running frequency.
</t>
        </r>
        <r>
          <rPr>
            <b/>
            <sz val="9"/>
            <color indexed="81"/>
            <rFont val="Tahoma"/>
            <family val="2"/>
          </rPr>
          <t xml:space="preserve">The text in the cell is flagged red if:
</t>
        </r>
        <r>
          <rPr>
            <b/>
            <sz val="9"/>
            <color indexed="10"/>
            <rFont val="Tahoma"/>
            <family val="2"/>
          </rPr>
          <t xml:space="preserve">
- The frequency is below 100 kHz
- The frequency is above 2.2 MHz</t>
        </r>
        <r>
          <rPr>
            <sz val="11"/>
            <color indexed="81"/>
            <rFont val="Tahoma"/>
            <family val="2"/>
          </rPr>
          <t xml:space="preserve">
</t>
        </r>
      </text>
    </comment>
    <comment ref="F16" authorId="0" shapeId="0" xr:uid="{00000000-0006-0000-0000-000008000000}">
      <text>
        <r>
          <rPr>
            <b/>
            <u/>
            <sz val="9"/>
            <color indexed="81"/>
            <rFont val="Tahoma"/>
            <family val="2"/>
          </rPr>
          <t>OCP Setpoint</t>
        </r>
        <r>
          <rPr>
            <b/>
            <sz val="9"/>
            <color indexed="81"/>
            <rFont val="Tahoma"/>
            <family val="2"/>
          </rPr>
          <t xml:space="preserve">:
</t>
        </r>
        <r>
          <rPr>
            <sz val="9"/>
            <color indexed="81"/>
            <rFont val="Tahoma"/>
            <family val="2"/>
          </rPr>
          <t>Enter the required overcurrent protection (OCP) setpoint for output current. A typical level is 140% of full load current.</t>
        </r>
      </text>
    </comment>
    <comment ref="F17" authorId="0" shapeId="0" xr:uid="{00000000-0006-0000-0000-000009000000}">
      <text>
        <r>
          <rPr>
            <b/>
            <u/>
            <sz val="9"/>
            <color indexed="81"/>
            <rFont val="Tahoma"/>
            <family val="2"/>
          </rPr>
          <t>Sense Resistance</t>
        </r>
        <r>
          <rPr>
            <b/>
            <sz val="9"/>
            <color indexed="81"/>
            <rFont val="Tahoma"/>
            <family val="2"/>
          </rPr>
          <t>:</t>
        </r>
        <r>
          <rPr>
            <sz val="9"/>
            <color indexed="81"/>
            <rFont val="Tahoma"/>
            <family val="2"/>
          </rPr>
          <t xml:space="preserve">
Use this resistor to sense current and set the cycle-by-cycle overcurrent protection. As such, the calculation takes the required current limit setpoint and the inductor ripple current amplitude to calculate </t>
        </r>
        <r>
          <rPr>
            <b/>
            <sz val="9"/>
            <color indexed="81"/>
            <rFont val="Tahoma"/>
            <family val="2"/>
          </rPr>
          <t>R</t>
        </r>
        <r>
          <rPr>
            <b/>
            <vertAlign val="subscript"/>
            <sz val="9"/>
            <color indexed="81"/>
            <rFont val="Tahoma"/>
            <family val="2"/>
          </rPr>
          <t>S</t>
        </r>
        <r>
          <rPr>
            <sz val="9"/>
            <color indexed="81"/>
            <rFont val="Tahoma"/>
            <family val="2"/>
          </rPr>
          <t>.</t>
        </r>
      </text>
    </comment>
    <comment ref="F19" authorId="0" shapeId="0" xr:uid="{00000000-0006-0000-0000-00000A000000}">
      <text>
        <r>
          <rPr>
            <b/>
            <u/>
            <sz val="9"/>
            <color indexed="81"/>
            <rFont val="Tahoma"/>
            <family val="2"/>
          </rPr>
          <t>Minimum Inductor Saturation Current</t>
        </r>
        <r>
          <rPr>
            <b/>
            <sz val="9"/>
            <color indexed="81"/>
            <rFont val="Tahoma"/>
            <family val="2"/>
          </rPr>
          <t>:</t>
        </r>
        <r>
          <rPr>
            <sz val="9"/>
            <color indexed="81"/>
            <rFont val="Tahoma"/>
            <family val="2"/>
          </rPr>
          <t xml:space="preserve">
Maximum peak current in the inductor. The result corresponds to onset of current limit and is intended as a guide to inductor selection as it relates to saturation current level.</t>
        </r>
      </text>
    </comment>
    <comment ref="F20" authorId="0" shapeId="0" xr:uid="{00000000-0006-0000-0000-00000B000000}">
      <text>
        <r>
          <rPr>
            <b/>
            <u/>
            <sz val="9"/>
            <color indexed="81"/>
            <rFont val="Tahoma"/>
            <family val="2"/>
          </rPr>
          <t>Max Shunt Dissipation</t>
        </r>
        <r>
          <rPr>
            <b/>
            <sz val="9"/>
            <color indexed="81"/>
            <rFont val="Tahoma"/>
            <family val="2"/>
          </rPr>
          <t>:</t>
        </r>
        <r>
          <rPr>
            <sz val="9"/>
            <color indexed="81"/>
            <rFont val="Tahoma"/>
            <family val="2"/>
          </rPr>
          <t xml:space="preserve">
Maximum power loss in the shunt resistor occurs at V</t>
        </r>
        <r>
          <rPr>
            <vertAlign val="subscript"/>
            <sz val="9"/>
            <color indexed="81"/>
            <rFont val="Tahoma"/>
            <family val="2"/>
          </rPr>
          <t>IN(min)</t>
        </r>
        <r>
          <rPr>
            <sz val="9"/>
            <color indexed="81"/>
            <rFont val="Tahoma"/>
            <family val="2"/>
          </rPr>
          <t xml:space="preserve">. The result is provided at the load current corresponding to the onset of OCP.
</t>
        </r>
      </text>
    </comment>
    <comment ref="F21" authorId="0" shapeId="0" xr:uid="{00000000-0006-0000-0000-00000C000000}">
      <text>
        <r>
          <rPr>
            <b/>
            <u/>
            <sz val="9"/>
            <color indexed="81"/>
            <rFont val="Tahoma"/>
            <family val="2"/>
          </rPr>
          <t>Output Current at OCP Inception</t>
        </r>
        <r>
          <rPr>
            <b/>
            <sz val="9"/>
            <color indexed="81"/>
            <rFont val="Tahoma"/>
            <family val="2"/>
          </rPr>
          <t>:</t>
        </r>
        <r>
          <rPr>
            <sz val="9"/>
            <color indexed="81"/>
            <rFont val="Tahoma"/>
            <family val="2"/>
          </rPr>
          <t xml:space="preserve">
The result here corresponds to the output current near the onset of overcurrent protection while operating at </t>
        </r>
        <r>
          <rPr>
            <b/>
            <sz val="9"/>
            <color indexed="81"/>
            <rFont val="Tahoma"/>
            <family val="2"/>
          </rPr>
          <t>minimum input voltage</t>
        </r>
        <r>
          <rPr>
            <sz val="9"/>
            <color indexed="81"/>
            <rFont val="Tahoma"/>
            <family val="2"/>
          </rPr>
          <t>.</t>
        </r>
      </text>
    </comment>
    <comment ref="F22" authorId="0" shapeId="0" xr:uid="{00000000-0006-0000-0000-00000D000000}">
      <text>
        <r>
          <rPr>
            <b/>
            <u/>
            <sz val="9"/>
            <color indexed="81"/>
            <rFont val="Tahoma"/>
            <family val="2"/>
          </rPr>
          <t>Output Current at OCP Inception</t>
        </r>
        <r>
          <rPr>
            <b/>
            <sz val="9"/>
            <color indexed="81"/>
            <rFont val="Tahoma"/>
            <family val="2"/>
          </rPr>
          <t>:</t>
        </r>
        <r>
          <rPr>
            <sz val="9"/>
            <color indexed="81"/>
            <rFont val="Tahoma"/>
            <family val="2"/>
          </rPr>
          <t xml:space="preserve">
The result here corresponds to the output current near the onset of overcurrent protection while operating at </t>
        </r>
        <r>
          <rPr>
            <b/>
            <sz val="9"/>
            <color indexed="81"/>
            <rFont val="Tahoma"/>
            <family val="2"/>
          </rPr>
          <t>nominal input voltage</t>
        </r>
        <r>
          <rPr>
            <sz val="9"/>
            <color indexed="81"/>
            <rFont val="Tahoma"/>
            <family val="2"/>
          </rPr>
          <t>.</t>
        </r>
      </text>
    </comment>
    <comment ref="F23" authorId="0" shapeId="0" xr:uid="{00000000-0006-0000-0000-00000E000000}">
      <text>
        <r>
          <rPr>
            <b/>
            <u/>
            <sz val="9"/>
            <color indexed="81"/>
            <rFont val="Tahoma"/>
            <family val="2"/>
          </rPr>
          <t>Output Current at OCP Inception</t>
        </r>
        <r>
          <rPr>
            <b/>
            <sz val="9"/>
            <color indexed="81"/>
            <rFont val="Tahoma"/>
            <family val="2"/>
          </rPr>
          <t>:</t>
        </r>
        <r>
          <rPr>
            <sz val="9"/>
            <color indexed="81"/>
            <rFont val="Tahoma"/>
            <family val="2"/>
          </rPr>
          <t xml:space="preserve">
The result here corresponds to the output current near the onset of overcurrent protection while operating at </t>
        </r>
        <r>
          <rPr>
            <b/>
            <sz val="9"/>
            <color indexed="81"/>
            <rFont val="Tahoma"/>
            <family val="2"/>
          </rPr>
          <t>maximum input voltage</t>
        </r>
        <r>
          <rPr>
            <sz val="9"/>
            <color indexed="81"/>
            <rFont val="Tahoma"/>
            <family val="2"/>
          </rPr>
          <t>.</t>
        </r>
      </text>
    </comment>
    <comment ref="F26" authorId="1" shapeId="0" xr:uid="{00000000-0006-0000-0000-00000F000000}">
      <text>
        <r>
          <rPr>
            <b/>
            <sz val="9"/>
            <color indexed="81"/>
            <rFont val="Tahoma"/>
            <family val="2"/>
          </rPr>
          <t>Recommended inductance:</t>
        </r>
        <r>
          <rPr>
            <sz val="9"/>
            <color indexed="81"/>
            <rFont val="Tahoma"/>
            <family val="2"/>
          </rPr>
          <t xml:space="preserve">
This is the nominal inductance that sets the faliing inductor current di/dt equal to the slope compensation ramp contribution.</t>
        </r>
      </text>
    </comment>
    <comment ref="F27" authorId="0" shapeId="0" xr:uid="{00000000-0006-0000-0000-000010000000}">
      <text>
        <r>
          <rPr>
            <b/>
            <u/>
            <sz val="9"/>
            <color indexed="81"/>
            <rFont val="Tahoma"/>
            <family val="2"/>
          </rPr>
          <t>Buck Inductance</t>
        </r>
        <r>
          <rPr>
            <b/>
            <sz val="9"/>
            <color indexed="81"/>
            <rFont val="Tahoma"/>
            <family val="2"/>
          </rPr>
          <t xml:space="preserve">:
</t>
        </r>
        <r>
          <rPr>
            <sz val="9"/>
            <color indexed="81"/>
            <rFont val="Tahoma"/>
            <family val="2"/>
          </rPr>
          <t>Enter the buck inductance here.
Setting the inductance equal to the recommended value gives ideal (one times inductor current downlope) slope compensation. As 0.5 times inductor current downslope is the absolute minimum slope comp requirement, do not choose an inductance greater than twice the recommended.</t>
        </r>
      </text>
    </comment>
    <comment ref="F28" authorId="0" shapeId="0" xr:uid="{00000000-0006-0000-0000-000011000000}">
      <text>
        <r>
          <rPr>
            <b/>
            <u/>
            <sz val="9"/>
            <color indexed="81"/>
            <rFont val="Tahoma"/>
            <family val="2"/>
          </rPr>
          <t>Inductor DCR</t>
        </r>
        <r>
          <rPr>
            <b/>
            <sz val="9"/>
            <color indexed="81"/>
            <rFont val="Tahoma"/>
            <family val="2"/>
          </rPr>
          <t xml:space="preserve">:
</t>
        </r>
        <r>
          <rPr>
            <sz val="9"/>
            <color indexed="81"/>
            <rFont val="Tahoma"/>
            <family val="2"/>
          </rPr>
          <t>Enter the inductor DC resistance here. This is typically specified in the inductor datasheet at 25°C copper temperature.</t>
        </r>
      </text>
    </comment>
    <comment ref="F33" authorId="0" shapeId="0" xr:uid="{00000000-0006-0000-0000-000012000000}">
      <text>
        <r>
          <rPr>
            <b/>
            <u/>
            <sz val="9"/>
            <color indexed="81"/>
            <rFont val="Tahoma"/>
            <family val="2"/>
          </rPr>
          <t>Output Voltage Ripple</t>
        </r>
        <r>
          <rPr>
            <b/>
            <sz val="9"/>
            <color indexed="81"/>
            <rFont val="Tahoma"/>
            <family val="2"/>
          </rPr>
          <t xml:space="preserve">:
</t>
        </r>
        <r>
          <rPr>
            <sz val="9"/>
            <color indexed="81"/>
            <rFont val="Tahoma"/>
            <family val="2"/>
          </rPr>
          <t xml:space="preserve">Enter the desired maximum peak-to-peak output voltage ripple here. This will set the ideal output capacitance value.
</t>
        </r>
        <r>
          <rPr>
            <b/>
            <sz val="9"/>
            <color indexed="81"/>
            <rFont val="Tahoma"/>
            <family val="2"/>
          </rPr>
          <t xml:space="preserve">
The text in the cell is flagged red if:
</t>
        </r>
        <r>
          <rPr>
            <b/>
            <sz val="9"/>
            <color indexed="10"/>
            <rFont val="Tahoma"/>
            <family val="2"/>
          </rPr>
          <t>-The output voltage ripple is zero.</t>
        </r>
      </text>
    </comment>
    <comment ref="F35" authorId="0" shapeId="0" xr:uid="{00000000-0006-0000-0000-000013000000}">
      <text>
        <r>
          <rPr>
            <b/>
            <u/>
            <sz val="9"/>
            <color indexed="81"/>
            <rFont val="Tahoma"/>
            <family val="2"/>
          </rPr>
          <t>Output Capacitance</t>
        </r>
        <r>
          <rPr>
            <b/>
            <sz val="9"/>
            <color indexed="81"/>
            <rFont val="Tahoma"/>
            <family val="2"/>
          </rPr>
          <t>:</t>
        </r>
        <r>
          <rPr>
            <sz val="9"/>
            <color indexed="81"/>
            <rFont val="Tahoma"/>
            <family val="2"/>
          </rPr>
          <t xml:space="preserve">
Enter the output capacitance here based on the minimum calculated result. Make sure that the nominal capacitance is appropriately derated for applied voltage, particularly with </t>
        </r>
        <r>
          <rPr>
            <sz val="9"/>
            <color indexed="39"/>
            <rFont val="Tahoma"/>
            <family val="2"/>
          </rPr>
          <t>ceramics</t>
        </r>
        <r>
          <rPr>
            <sz val="9"/>
            <color indexed="81"/>
            <rFont val="Tahoma"/>
            <family val="2"/>
          </rPr>
          <t xml:space="preserve">.
</t>
        </r>
        <r>
          <rPr>
            <b/>
            <sz val="9"/>
            <color indexed="81"/>
            <rFont val="Tahoma"/>
            <family val="2"/>
          </rPr>
          <t>The text in the cell is flagged red if:</t>
        </r>
        <r>
          <rPr>
            <sz val="9"/>
            <color indexed="81"/>
            <rFont val="Tahoma"/>
            <family val="2"/>
          </rPr>
          <t xml:space="preserve">
</t>
        </r>
        <r>
          <rPr>
            <b/>
            <sz val="9"/>
            <color indexed="10"/>
            <rFont val="Tahoma"/>
            <family val="2"/>
          </rPr>
          <t>-The chosen output capacitor is smaller than the minimum ideal capacitance.</t>
        </r>
      </text>
    </comment>
    <comment ref="F37" authorId="0" shapeId="0" xr:uid="{00000000-0006-0000-0000-000014000000}">
      <text>
        <r>
          <rPr>
            <b/>
            <u/>
            <sz val="9"/>
            <color indexed="81"/>
            <rFont val="Tahoma"/>
            <family val="2"/>
          </rPr>
          <t>Output Capacitor ESR</t>
        </r>
        <r>
          <rPr>
            <b/>
            <sz val="9"/>
            <color indexed="81"/>
            <rFont val="Tahoma"/>
            <family val="2"/>
          </rPr>
          <t xml:space="preserve">:
</t>
        </r>
        <r>
          <rPr>
            <sz val="9"/>
            <color indexed="81"/>
            <rFont val="Tahoma"/>
            <family val="2"/>
          </rPr>
          <t>Enter the output capacitor ESR here based on the maximum allowed output capacitor ESR to meet the voltage ripple specification.</t>
        </r>
        <r>
          <rPr>
            <b/>
            <sz val="9"/>
            <color indexed="81"/>
            <rFont val="Tahoma"/>
            <family val="2"/>
          </rPr>
          <t xml:space="preserve">
The text in the cell is flagged </t>
        </r>
        <r>
          <rPr>
            <b/>
            <sz val="9"/>
            <color indexed="10"/>
            <rFont val="Tahoma"/>
            <family val="2"/>
          </rPr>
          <t>red</t>
        </r>
        <r>
          <rPr>
            <b/>
            <sz val="9"/>
            <color indexed="81"/>
            <rFont val="Tahoma"/>
            <family val="2"/>
          </rPr>
          <t xml:space="preserve"> if:
</t>
        </r>
        <r>
          <rPr>
            <b/>
            <sz val="9"/>
            <color indexed="10"/>
            <rFont val="Tahoma"/>
            <family val="2"/>
          </rPr>
          <t>-ESR is zero, or
-ESR exceeds maximum allowable ESR to meet the voltage ripple specification.</t>
        </r>
      </text>
    </comment>
    <comment ref="F42" authorId="0" shapeId="0" xr:uid="{00000000-0006-0000-0000-000015000000}">
      <text>
        <r>
          <rPr>
            <b/>
            <u/>
            <sz val="9"/>
            <color indexed="81"/>
            <rFont val="Tahoma"/>
            <family val="2"/>
          </rPr>
          <t>Input Voltage Ripple</t>
        </r>
        <r>
          <rPr>
            <b/>
            <sz val="9"/>
            <color indexed="81"/>
            <rFont val="Tahoma"/>
            <family val="2"/>
          </rPr>
          <t xml:space="preserve">:
</t>
        </r>
        <r>
          <rPr>
            <sz val="9"/>
            <color indexed="81"/>
            <rFont val="Tahoma"/>
            <family val="2"/>
          </rPr>
          <t>Enter the desired maximum peak-to-peak input voltage ripple here. This will set the ideal input capacitance requirement.</t>
        </r>
        <r>
          <rPr>
            <b/>
            <sz val="9"/>
            <color indexed="81"/>
            <rFont val="Tahoma"/>
            <family val="2"/>
          </rPr>
          <t xml:space="preserve">
The text in thiecell is </t>
        </r>
        <r>
          <rPr>
            <b/>
            <sz val="9"/>
            <color indexed="10"/>
            <rFont val="Tahoma"/>
            <family val="2"/>
          </rPr>
          <t>red</t>
        </r>
        <r>
          <rPr>
            <b/>
            <sz val="9"/>
            <color indexed="81"/>
            <rFont val="Tahoma"/>
            <family val="2"/>
          </rPr>
          <t xml:space="preserve"> if:
</t>
        </r>
        <r>
          <rPr>
            <b/>
            <sz val="9"/>
            <color indexed="10"/>
            <rFont val="Tahoma"/>
            <family val="2"/>
          </rPr>
          <t>-The input voltage ripple is zero.</t>
        </r>
      </text>
    </comment>
    <comment ref="F44" authorId="0" shapeId="0" xr:uid="{00000000-0006-0000-0000-000016000000}">
      <text>
        <r>
          <rPr>
            <b/>
            <u/>
            <sz val="9"/>
            <color indexed="81"/>
            <rFont val="Tahoma"/>
            <family val="2"/>
          </rPr>
          <t>Input Capacitance</t>
        </r>
        <r>
          <rPr>
            <b/>
            <sz val="9"/>
            <color indexed="81"/>
            <rFont val="Tahoma"/>
            <family val="2"/>
          </rPr>
          <t xml:space="preserve">:
</t>
        </r>
        <r>
          <rPr>
            <sz val="9"/>
            <color indexed="81"/>
            <rFont val="Tahoma"/>
            <family val="2"/>
          </rPr>
          <t xml:space="preserve">Enter the input capacitance here based on the minimum calculated result. Make sure that the nominal capacitance is appropriately derated for applied voltage.
</t>
        </r>
        <r>
          <rPr>
            <b/>
            <sz val="9"/>
            <color indexed="81"/>
            <rFont val="Tahoma"/>
            <family val="2"/>
          </rPr>
          <t xml:space="preserve">The text in the cell is flagged </t>
        </r>
        <r>
          <rPr>
            <b/>
            <sz val="9"/>
            <color indexed="10"/>
            <rFont val="Tahoma"/>
            <family val="2"/>
          </rPr>
          <t>red</t>
        </r>
        <r>
          <rPr>
            <b/>
            <sz val="9"/>
            <color indexed="81"/>
            <rFont val="Tahoma"/>
            <family val="2"/>
          </rPr>
          <t xml:space="preserve"> if:
</t>
        </r>
        <r>
          <rPr>
            <b/>
            <sz val="9"/>
            <color indexed="10"/>
            <rFont val="Tahoma"/>
            <family val="2"/>
          </rPr>
          <t>-The chosen input capacitor is smaller than the minimum ideal capacitance.</t>
        </r>
      </text>
    </comment>
    <comment ref="F46" authorId="0" shapeId="0" xr:uid="{00000000-0006-0000-0000-000017000000}">
      <text>
        <r>
          <rPr>
            <b/>
            <u/>
            <sz val="9"/>
            <color indexed="81"/>
            <rFont val="Tahoma"/>
            <family val="2"/>
          </rPr>
          <t>Input Capacitor ESR</t>
        </r>
        <r>
          <rPr>
            <b/>
            <sz val="9"/>
            <color indexed="81"/>
            <rFont val="Tahoma"/>
            <family val="2"/>
          </rPr>
          <t xml:space="preserve">:
</t>
        </r>
        <r>
          <rPr>
            <sz val="9"/>
            <color indexed="81"/>
            <rFont val="Tahoma"/>
            <family val="2"/>
          </rPr>
          <t>Enter the input capacitor ESR here based on the maximum allowed input capacitor ESR to meet the ripple voltage specification.</t>
        </r>
        <r>
          <rPr>
            <b/>
            <sz val="9"/>
            <color indexed="81"/>
            <rFont val="Tahoma"/>
            <family val="2"/>
          </rPr>
          <t xml:space="preserve">
The text in the cell is flagged </t>
        </r>
        <r>
          <rPr>
            <b/>
            <sz val="9"/>
            <color indexed="10"/>
            <rFont val="Tahoma"/>
            <family val="2"/>
          </rPr>
          <t>red</t>
        </r>
        <r>
          <rPr>
            <b/>
            <sz val="9"/>
            <color indexed="81"/>
            <rFont val="Tahoma"/>
            <family val="2"/>
          </rPr>
          <t xml:space="preserve"> if:
</t>
        </r>
        <r>
          <rPr>
            <b/>
            <sz val="9"/>
            <color indexed="10"/>
            <rFont val="Tahoma"/>
            <family val="2"/>
          </rPr>
          <t>-ESR is zero, or
-ESR exceeds maximum allowable ESR to meet the voltage ripple specification.</t>
        </r>
        <r>
          <rPr>
            <sz val="11"/>
            <color indexed="81"/>
            <rFont val="Tahoma"/>
            <family val="2"/>
          </rPr>
          <t xml:space="preserve">
</t>
        </r>
      </text>
    </comment>
    <comment ref="F63" authorId="0" shapeId="0" xr:uid="{00000000-0006-0000-0000-000019000000}">
      <text>
        <r>
          <rPr>
            <b/>
            <u/>
            <sz val="9"/>
            <color indexed="81"/>
            <rFont val="Tahoma"/>
            <family val="2"/>
          </rPr>
          <t>Crossover Frequency</t>
        </r>
        <r>
          <rPr>
            <b/>
            <sz val="9"/>
            <color indexed="81"/>
            <rFont val="Tahoma"/>
            <family val="2"/>
          </rPr>
          <t>:</t>
        </r>
        <r>
          <rPr>
            <sz val="9"/>
            <color indexed="81"/>
            <rFont val="Tahoma"/>
            <family val="2"/>
          </rPr>
          <t xml:space="preserve">
Enter the desired crossover frequency (usually between 10% and 15% of switching frequency, up to a max of ~100kHz). This feedback compensation components are determined based on this target performance metric.</t>
        </r>
      </text>
    </comment>
    <comment ref="F65" authorId="0" shapeId="0" xr:uid="{00000000-0006-0000-0000-00001A000000}">
      <text>
        <r>
          <rPr>
            <b/>
            <sz val="9"/>
            <color indexed="81"/>
            <rFont val="Tahoma"/>
            <family val="2"/>
          </rPr>
          <t>Upper Feedback Resistor, R</t>
        </r>
        <r>
          <rPr>
            <b/>
            <vertAlign val="subscript"/>
            <sz val="9"/>
            <color indexed="81"/>
            <rFont val="Tahoma"/>
            <family val="2"/>
          </rPr>
          <t>FB1</t>
        </r>
        <r>
          <rPr>
            <b/>
            <sz val="9"/>
            <color indexed="81"/>
            <rFont val="Tahoma"/>
            <family val="2"/>
          </rPr>
          <t>:</t>
        </r>
        <r>
          <rPr>
            <sz val="9"/>
            <color indexed="81"/>
            <rFont val="Tahoma"/>
            <family val="2"/>
          </rPr>
          <t xml:space="preserve">
This is the upper feedback resistor that sets the output voltage. A recommended starting value of </t>
        </r>
        <r>
          <rPr>
            <b/>
            <sz val="9"/>
            <color indexed="81"/>
            <rFont val="Tahoma"/>
            <family val="2"/>
          </rPr>
          <t>R</t>
        </r>
        <r>
          <rPr>
            <b/>
            <vertAlign val="subscript"/>
            <sz val="9"/>
            <color indexed="81"/>
            <rFont val="Tahoma"/>
            <family val="2"/>
          </rPr>
          <t>FB1</t>
        </r>
        <r>
          <rPr>
            <sz val="9"/>
            <color indexed="81"/>
            <rFont val="Tahoma"/>
            <family val="2"/>
          </rPr>
          <t xml:space="preserve"> is 100kΩ.</t>
        </r>
      </text>
    </comment>
    <comment ref="E70" authorId="0" shapeId="0" xr:uid="{00000000-0006-0000-0000-00001B000000}">
      <text>
        <r>
          <rPr>
            <b/>
            <u/>
            <sz val="9"/>
            <color indexed="81"/>
            <rFont val="Tahoma"/>
            <family val="2"/>
          </rPr>
          <t>Selected Compensation Components</t>
        </r>
        <r>
          <rPr>
            <b/>
            <sz val="9"/>
            <color indexed="81"/>
            <rFont val="Tahoma"/>
            <family val="2"/>
          </rPr>
          <t>:</t>
        </r>
        <r>
          <rPr>
            <sz val="9"/>
            <color indexed="81"/>
            <rFont val="Tahoma"/>
            <family val="2"/>
          </rPr>
          <t xml:space="preserve">
</t>
        </r>
        <r>
          <rPr>
            <b/>
            <sz val="9"/>
            <color indexed="14"/>
            <rFont val="Tahoma"/>
            <family val="2"/>
          </rPr>
          <t>Note:</t>
        </r>
        <r>
          <rPr>
            <sz val="9"/>
            <color indexed="81"/>
            <rFont val="Tahoma"/>
            <family val="2"/>
          </rPr>
          <t xml:space="preserve">
</t>
        </r>
        <r>
          <rPr>
            <b/>
            <sz val="9"/>
            <color indexed="81"/>
            <rFont val="Tahoma"/>
            <family val="2"/>
          </rPr>
          <t>Compensation components are calculated based on the desired crossover frequency from Step 7.</t>
        </r>
        <r>
          <rPr>
            <sz val="9"/>
            <color indexed="81"/>
            <rFont val="Tahoma"/>
            <family val="2"/>
          </rPr>
          <t xml:space="preserve">
</t>
        </r>
        <r>
          <rPr>
            <b/>
            <sz val="9"/>
            <color indexed="14"/>
            <rFont val="Tahoma"/>
            <family val="2"/>
          </rPr>
          <t>Important:</t>
        </r>
        <r>
          <rPr>
            <sz val="9"/>
            <color indexed="81"/>
            <rFont val="Tahoma"/>
            <family val="2"/>
          </rPr>
          <t xml:space="preserve">
</t>
        </r>
        <r>
          <rPr>
            <b/>
            <sz val="9"/>
            <color indexed="39"/>
            <rFont val="Tahoma"/>
            <family val="2"/>
          </rPr>
          <t>1. Fix the compensation values by clicking the FIX VALUES button.</t>
        </r>
        <r>
          <rPr>
            <b/>
            <sz val="9"/>
            <color indexed="10"/>
            <rFont val="Tahoma"/>
            <family val="2"/>
          </rPr>
          <t xml:space="preserve">
</t>
        </r>
        <r>
          <rPr>
            <b/>
            <sz val="9"/>
            <color indexed="39"/>
            <rFont val="Tahoma"/>
            <family val="2"/>
          </rPr>
          <t>2. Click on RESET VALUES such that thee compensation values update with change of components or crossover frequency.</t>
        </r>
      </text>
    </comment>
    <comment ref="E82" authorId="2" shapeId="0" xr:uid="{00000000-0006-0000-0000-00001C000000}">
      <text>
        <r>
          <rPr>
            <b/>
            <sz val="10"/>
            <color indexed="81"/>
            <rFont val="Tahoma"/>
            <family val="2"/>
          </rPr>
          <t>On-State Resistance (R</t>
        </r>
        <r>
          <rPr>
            <b/>
            <vertAlign val="subscript"/>
            <sz val="10"/>
            <color indexed="81"/>
            <rFont val="Tahoma"/>
            <family val="2"/>
          </rPr>
          <t>DS(on)</t>
        </r>
        <r>
          <rPr>
            <b/>
            <sz val="10"/>
            <color indexed="81"/>
            <rFont val="Tahoma"/>
            <family val="2"/>
          </rPr>
          <t xml:space="preserve">):
</t>
        </r>
        <r>
          <rPr>
            <sz val="10"/>
            <color indexed="81"/>
            <rFont val="Tahoma"/>
            <family val="2"/>
          </rPr>
          <t xml:space="preserve">Enter the </t>
        </r>
        <r>
          <rPr>
            <b/>
            <sz val="10"/>
            <color indexed="81"/>
            <rFont val="Tahoma"/>
            <family val="2"/>
          </rPr>
          <t>R</t>
        </r>
        <r>
          <rPr>
            <b/>
            <vertAlign val="subscript"/>
            <sz val="10"/>
            <color indexed="81"/>
            <rFont val="Tahoma"/>
            <family val="2"/>
          </rPr>
          <t>DS(on)</t>
        </r>
        <r>
          <rPr>
            <sz val="10"/>
            <color indexed="81"/>
            <rFont val="Tahoma"/>
            <family val="2"/>
          </rPr>
          <t xml:space="preserve"> of the high-side MOSFET here (at the appropriate gate drive level, typically 5V). High current designs (&gt;5A) can incur large conduction losses and, as such, demand MOSFETs with low </t>
        </r>
        <r>
          <rPr>
            <b/>
            <sz val="10"/>
            <color indexed="81"/>
            <rFont val="Tahoma"/>
            <family val="2"/>
          </rPr>
          <t>R</t>
        </r>
        <r>
          <rPr>
            <b/>
            <vertAlign val="subscript"/>
            <sz val="10"/>
            <color indexed="81"/>
            <rFont val="Tahoma"/>
            <family val="2"/>
          </rPr>
          <t>DS(on)</t>
        </r>
        <r>
          <rPr>
            <sz val="10"/>
            <color indexed="81"/>
            <rFont val="Tahoma"/>
            <family val="2"/>
          </rPr>
          <t xml:space="preserve"> usually at the expense of larger Q</t>
        </r>
        <r>
          <rPr>
            <vertAlign val="subscript"/>
            <sz val="10"/>
            <color indexed="81"/>
            <rFont val="Tahoma"/>
            <family val="2"/>
          </rPr>
          <t>G</t>
        </r>
        <r>
          <rPr>
            <sz val="10"/>
            <color indexed="81"/>
            <rFont val="Tahoma"/>
            <family val="2"/>
          </rPr>
          <t xml:space="preserve">.
MOSFET </t>
        </r>
        <r>
          <rPr>
            <b/>
            <sz val="10"/>
            <color indexed="81"/>
            <rFont val="Tahoma"/>
            <family val="2"/>
          </rPr>
          <t>R</t>
        </r>
        <r>
          <rPr>
            <b/>
            <vertAlign val="subscript"/>
            <sz val="10"/>
            <color indexed="81"/>
            <rFont val="Tahoma"/>
            <family val="2"/>
          </rPr>
          <t>DS(ON)</t>
        </r>
        <r>
          <rPr>
            <sz val="10"/>
            <color indexed="81"/>
            <rFont val="Tahoma"/>
            <family val="2"/>
          </rPr>
          <t xml:space="preserve"> has a positive temperature coefficient (resistance increases with increasing temperature). This temperature coefficient is accounted for in the efficiency and power dissipation calculations.</t>
        </r>
      </text>
    </comment>
    <comment ref="F82" authorId="2" shapeId="0" xr:uid="{C182675C-ABAA-40F1-99D5-DF03B9AAB4E3}">
      <text>
        <r>
          <rPr>
            <b/>
            <sz val="10"/>
            <color indexed="81"/>
            <rFont val="Tahoma"/>
            <family val="2"/>
          </rPr>
          <t>Output Charge (C</t>
        </r>
        <r>
          <rPr>
            <b/>
            <vertAlign val="subscript"/>
            <sz val="10"/>
            <color indexed="81"/>
            <rFont val="Tahoma"/>
            <family val="2"/>
          </rPr>
          <t>OSS</t>
        </r>
        <r>
          <rPr>
            <b/>
            <sz val="10"/>
            <color indexed="81"/>
            <rFont val="Tahoma"/>
            <family val="2"/>
          </rPr>
          <t xml:space="preserve">):
</t>
        </r>
        <r>
          <rPr>
            <sz val="10"/>
            <color indexed="81"/>
            <rFont val="Tahoma"/>
            <family val="2"/>
          </rPr>
          <t xml:space="preserve">Enter the high-side MOSFET output capacitance at nominal VIN here. </t>
        </r>
      </text>
    </comment>
    <comment ref="E83" authorId="2" shapeId="0" xr:uid="{00000000-0006-0000-0000-00001E000000}">
      <text>
        <r>
          <rPr>
            <b/>
            <sz val="10"/>
            <color indexed="81"/>
            <rFont val="Tahoma"/>
            <family val="2"/>
          </rPr>
          <t>Total Gate Charge (Q</t>
        </r>
        <r>
          <rPr>
            <b/>
            <vertAlign val="subscript"/>
            <sz val="10"/>
            <color indexed="81"/>
            <rFont val="Tahoma"/>
            <family val="2"/>
          </rPr>
          <t>g</t>
        </r>
        <r>
          <rPr>
            <b/>
            <sz val="10"/>
            <color indexed="81"/>
            <rFont val="Tahoma"/>
            <family val="2"/>
          </rPr>
          <t>):</t>
        </r>
        <r>
          <rPr>
            <sz val="10"/>
            <color indexed="81"/>
            <rFont val="Tahoma"/>
            <family val="2"/>
          </rPr>
          <t xml:space="preserve">
Enter the total gate charge of the high-side MOSFET here (at the appropriate gate drive voltage level, typically 5V).</t>
        </r>
      </text>
    </comment>
    <comment ref="F83" authorId="2" shapeId="0" xr:uid="{B6E26810-6EF6-4DBF-BD19-DEA2AA833064}">
      <text>
        <r>
          <rPr>
            <b/>
            <sz val="10"/>
            <color indexed="81"/>
            <rFont val="Tahoma"/>
            <family val="2"/>
          </rPr>
          <t>Gate Resistance (R</t>
        </r>
        <r>
          <rPr>
            <b/>
            <vertAlign val="subscript"/>
            <sz val="10"/>
            <color indexed="81"/>
            <rFont val="Tahoma"/>
            <family val="2"/>
          </rPr>
          <t>G</t>
        </r>
        <r>
          <rPr>
            <b/>
            <sz val="10"/>
            <color indexed="81"/>
            <rFont val="Tahoma"/>
            <family val="2"/>
          </rPr>
          <t>):</t>
        </r>
        <r>
          <rPr>
            <sz val="10"/>
            <color indexed="81"/>
            <rFont val="Tahoma"/>
            <family val="2"/>
          </rPr>
          <t xml:space="preserve">
Enter the high-side MOSFET gate resistance here. </t>
        </r>
      </text>
    </comment>
    <comment ref="E84" authorId="2" shapeId="0" xr:uid="{00000000-0006-0000-0000-000020000000}">
      <text>
        <r>
          <rPr>
            <b/>
            <sz val="10"/>
            <color indexed="81"/>
            <rFont val="Tahoma"/>
            <family val="2"/>
          </rPr>
          <t>Gate-Drain Charge (Q</t>
        </r>
        <r>
          <rPr>
            <b/>
            <vertAlign val="subscript"/>
            <sz val="10"/>
            <color indexed="81"/>
            <rFont val="Tahoma"/>
            <family val="2"/>
          </rPr>
          <t>GD</t>
        </r>
        <r>
          <rPr>
            <b/>
            <sz val="10"/>
            <color indexed="81"/>
            <rFont val="Tahoma"/>
            <family val="2"/>
          </rPr>
          <t xml:space="preserve">):
</t>
        </r>
        <r>
          <rPr>
            <sz val="10"/>
            <color indexed="81"/>
            <rFont val="Tahoma"/>
            <family val="2"/>
          </rPr>
          <t>Enter the Q</t>
        </r>
        <r>
          <rPr>
            <vertAlign val="subscript"/>
            <sz val="10"/>
            <color indexed="81"/>
            <rFont val="Tahoma"/>
            <family val="2"/>
          </rPr>
          <t>GD</t>
        </r>
        <r>
          <rPr>
            <sz val="10"/>
            <color indexed="81"/>
            <rFont val="Tahoma"/>
            <family val="2"/>
          </rPr>
          <t xml:space="preserve"> of the high-side MOSFET here.
MOSFET Q</t>
        </r>
        <r>
          <rPr>
            <vertAlign val="subscript"/>
            <sz val="10"/>
            <color indexed="81"/>
            <rFont val="Tahoma"/>
            <family val="2"/>
          </rPr>
          <t>GD</t>
        </r>
        <r>
          <rPr>
            <sz val="10"/>
            <color indexed="81"/>
            <rFont val="Tahoma"/>
            <family val="2"/>
          </rPr>
          <t xml:space="preserve"> affects the turn-on and-off transition times. Slow transition times result in a decrease in efficiency, especially at higher input voltages.</t>
        </r>
      </text>
    </comment>
    <comment ref="F84" authorId="2" shapeId="0" xr:uid="{04662617-41D7-4C12-ABFA-264758775BB5}">
      <text>
        <r>
          <rPr>
            <b/>
            <sz val="10"/>
            <color indexed="81"/>
            <rFont val="Tahoma"/>
            <family val="2"/>
          </rPr>
          <t>Forward Transconductance (g</t>
        </r>
        <r>
          <rPr>
            <b/>
            <vertAlign val="subscript"/>
            <sz val="10"/>
            <color indexed="81"/>
            <rFont val="Tahoma"/>
            <family val="2"/>
          </rPr>
          <t>FS</t>
        </r>
        <r>
          <rPr>
            <b/>
            <sz val="10"/>
            <color indexed="81"/>
            <rFont val="Tahoma"/>
            <family val="2"/>
          </rPr>
          <t xml:space="preserve">):
</t>
        </r>
        <r>
          <rPr>
            <sz val="10"/>
            <color indexed="81"/>
            <rFont val="Tahoma"/>
            <family val="2"/>
          </rPr>
          <t>Enter the forward transconductance rating of the high-side MOSFET here.</t>
        </r>
      </text>
    </comment>
    <comment ref="E85" authorId="2" shapeId="0" xr:uid="{00000000-0006-0000-0000-000022000000}">
      <text>
        <r>
          <rPr>
            <b/>
            <sz val="10"/>
            <color indexed="81"/>
            <rFont val="Tahoma"/>
            <family val="2"/>
          </rPr>
          <t>Gate-Source Charge (Q</t>
        </r>
        <r>
          <rPr>
            <b/>
            <vertAlign val="subscript"/>
            <sz val="10"/>
            <color indexed="81"/>
            <rFont val="Tahoma"/>
            <family val="2"/>
          </rPr>
          <t>GS</t>
        </r>
        <r>
          <rPr>
            <b/>
            <sz val="10"/>
            <color indexed="81"/>
            <rFont val="Tahoma"/>
            <family val="2"/>
          </rPr>
          <t xml:space="preserve">):
</t>
        </r>
        <r>
          <rPr>
            <sz val="10"/>
            <color indexed="81"/>
            <rFont val="Tahoma"/>
            <family val="2"/>
          </rPr>
          <t xml:space="preserve">Enter the high-side MOSFET gate-source charge here. </t>
        </r>
      </text>
    </comment>
    <comment ref="F85" authorId="2" shapeId="0" xr:uid="{1C760FFD-2819-47D2-900D-818CBB129C26}">
      <text>
        <r>
          <rPr>
            <b/>
            <sz val="10"/>
            <color indexed="81"/>
            <rFont val="Tahoma"/>
            <family val="2"/>
          </rPr>
          <t>Gate to Source Threshold Voltage (V</t>
        </r>
        <r>
          <rPr>
            <b/>
            <vertAlign val="subscript"/>
            <sz val="10"/>
            <color indexed="81"/>
            <rFont val="Tahoma"/>
            <family val="2"/>
          </rPr>
          <t>GS(TH)</t>
        </r>
        <r>
          <rPr>
            <b/>
            <sz val="10"/>
            <color indexed="81"/>
            <rFont val="Tahoma"/>
            <family val="2"/>
          </rPr>
          <t xml:space="preserve">):
</t>
        </r>
        <r>
          <rPr>
            <sz val="10"/>
            <color indexed="81"/>
            <rFont val="Tahoma"/>
            <family val="2"/>
          </rPr>
          <t>Enter the MOSFET gate-source threshold voltage at rated current here. This can be taken as the plateau voltage in the V</t>
        </r>
        <r>
          <rPr>
            <vertAlign val="subscript"/>
            <sz val="10"/>
            <color indexed="81"/>
            <rFont val="Tahoma"/>
            <family val="2"/>
          </rPr>
          <t>GS</t>
        </r>
        <r>
          <rPr>
            <sz val="10"/>
            <color indexed="81"/>
            <rFont val="Tahoma"/>
            <family val="2"/>
          </rPr>
          <t>-Q</t>
        </r>
        <r>
          <rPr>
            <vertAlign val="subscript"/>
            <sz val="10"/>
            <color indexed="81"/>
            <rFont val="Tahoma"/>
            <family val="2"/>
          </rPr>
          <t>G</t>
        </r>
        <r>
          <rPr>
            <sz val="10"/>
            <color indexed="81"/>
            <rFont val="Tahoma"/>
            <family val="2"/>
          </rPr>
          <t xml:space="preserve"> curve in the MOSFET datasheet.
</t>
        </r>
      </text>
    </comment>
    <comment ref="F86" authorId="2" shapeId="0" xr:uid="{B8F3C8E2-E019-4295-81F8-334052B0F657}">
      <text>
        <r>
          <rPr>
            <b/>
            <sz val="10"/>
            <color indexed="81"/>
            <rFont val="Tahoma"/>
            <family val="2"/>
          </rPr>
          <t>Body Diode Forward Voltage (V</t>
        </r>
        <r>
          <rPr>
            <b/>
            <vertAlign val="subscript"/>
            <sz val="10"/>
            <color indexed="81"/>
            <rFont val="Tahoma"/>
            <family val="2"/>
          </rPr>
          <t>bd1</t>
        </r>
        <r>
          <rPr>
            <b/>
            <sz val="10"/>
            <color indexed="81"/>
            <rFont val="Tahoma"/>
            <family val="2"/>
          </rPr>
          <t xml:space="preserve">):
</t>
        </r>
        <r>
          <rPr>
            <sz val="10"/>
            <color indexed="81"/>
            <rFont val="Tahoma"/>
            <family val="2"/>
          </rPr>
          <t>A MOSFET has an inherent reverse body diode, and the voltage drop usually is specified at a rated current. The high-side MOSFET body diode contributes power loss during negative current events.</t>
        </r>
      </text>
    </comment>
    <comment ref="E87" authorId="2" shapeId="0" xr:uid="{00000000-0006-0000-0000-000025000000}">
      <text>
        <r>
          <rPr>
            <b/>
            <sz val="10"/>
            <color indexed="81"/>
            <rFont val="Tahoma"/>
            <family val="2"/>
          </rPr>
          <t>Output Charge (C</t>
        </r>
        <r>
          <rPr>
            <b/>
            <vertAlign val="subscript"/>
            <sz val="10"/>
            <color indexed="81"/>
            <rFont val="Tahoma"/>
            <family val="2"/>
          </rPr>
          <t>OSS</t>
        </r>
        <r>
          <rPr>
            <b/>
            <sz val="10"/>
            <color indexed="81"/>
            <rFont val="Tahoma"/>
            <family val="2"/>
          </rPr>
          <t xml:space="preserve">):
</t>
        </r>
        <r>
          <rPr>
            <sz val="10"/>
            <color indexed="81"/>
            <rFont val="Tahoma"/>
            <family val="2"/>
          </rPr>
          <t xml:space="preserve">Enter the high-side MOSFET output capacitance at nominal VIN here. </t>
        </r>
      </text>
    </comment>
    <comment ref="F87" authorId="2" shapeId="0" xr:uid="{00000000-0006-0000-0000-000026000000}">
      <text>
        <r>
          <rPr>
            <b/>
            <sz val="10"/>
            <color indexed="81"/>
            <rFont val="Tahoma"/>
            <family val="2"/>
          </rPr>
          <t>Drain-Source Capacitance (C</t>
        </r>
        <r>
          <rPr>
            <b/>
            <vertAlign val="subscript"/>
            <sz val="10"/>
            <color indexed="81"/>
            <rFont val="Tahoma"/>
            <family val="2"/>
          </rPr>
          <t>OSS</t>
        </r>
        <r>
          <rPr>
            <b/>
            <sz val="10"/>
            <color indexed="81"/>
            <rFont val="Tahoma"/>
            <family val="2"/>
          </rPr>
          <t xml:space="preserve">):
</t>
        </r>
        <r>
          <rPr>
            <sz val="10"/>
            <color indexed="81"/>
            <rFont val="Tahoma"/>
            <family val="2"/>
          </rPr>
          <t xml:space="preserve">Enter the low-side MOSFET output capacitance at nominal VIN here. </t>
        </r>
      </text>
    </comment>
    <comment ref="E88" authorId="2" shapeId="0" xr:uid="{00000000-0006-0000-0000-000027000000}">
      <text>
        <r>
          <rPr>
            <b/>
            <sz val="10"/>
            <color indexed="81"/>
            <rFont val="Tahoma"/>
            <family val="2"/>
          </rPr>
          <t>Gate Resistance (R</t>
        </r>
        <r>
          <rPr>
            <b/>
            <vertAlign val="subscript"/>
            <sz val="10"/>
            <color indexed="81"/>
            <rFont val="Tahoma"/>
            <family val="2"/>
          </rPr>
          <t>G</t>
        </r>
        <r>
          <rPr>
            <b/>
            <sz val="10"/>
            <color indexed="81"/>
            <rFont val="Tahoma"/>
            <family val="2"/>
          </rPr>
          <t>):</t>
        </r>
        <r>
          <rPr>
            <sz val="10"/>
            <color indexed="81"/>
            <rFont val="Tahoma"/>
            <family val="2"/>
          </rPr>
          <t xml:space="preserve">
Enter the high-side MOSFET gate resistance here. </t>
        </r>
      </text>
    </comment>
    <comment ref="F88" authorId="2" shapeId="0" xr:uid="{00000000-0006-0000-0000-000028000000}">
      <text>
        <r>
          <rPr>
            <b/>
            <sz val="10"/>
            <color indexed="81"/>
            <rFont val="Tahoma"/>
            <family val="2"/>
          </rPr>
          <t>Gate Resistance (R</t>
        </r>
        <r>
          <rPr>
            <b/>
            <vertAlign val="subscript"/>
            <sz val="10"/>
            <color indexed="81"/>
            <rFont val="Tahoma"/>
            <family val="2"/>
          </rPr>
          <t>G</t>
        </r>
        <r>
          <rPr>
            <b/>
            <sz val="10"/>
            <color indexed="81"/>
            <rFont val="Tahoma"/>
            <family val="2"/>
          </rPr>
          <t>):</t>
        </r>
        <r>
          <rPr>
            <sz val="10"/>
            <color indexed="81"/>
            <rFont val="Tahoma"/>
            <family val="2"/>
          </rPr>
          <t xml:space="preserve">
Enter the low-side MOSFET gate resistance here. </t>
        </r>
      </text>
    </comment>
    <comment ref="E89" authorId="2" shapeId="0" xr:uid="{00000000-0006-0000-0000-000029000000}">
      <text>
        <r>
          <rPr>
            <b/>
            <sz val="10"/>
            <color indexed="81"/>
            <rFont val="Tahoma"/>
            <family val="2"/>
          </rPr>
          <t>Forward Transconductance (g</t>
        </r>
        <r>
          <rPr>
            <b/>
            <vertAlign val="subscript"/>
            <sz val="10"/>
            <color indexed="81"/>
            <rFont val="Tahoma"/>
            <family val="2"/>
          </rPr>
          <t>FS</t>
        </r>
        <r>
          <rPr>
            <b/>
            <sz val="10"/>
            <color indexed="81"/>
            <rFont val="Tahoma"/>
            <family val="2"/>
          </rPr>
          <t xml:space="preserve">):
</t>
        </r>
        <r>
          <rPr>
            <sz val="10"/>
            <color indexed="81"/>
            <rFont val="Tahoma"/>
            <family val="2"/>
          </rPr>
          <t>Enter the forward transconductance rating of the high-side MOSFET here.</t>
        </r>
      </text>
    </comment>
    <comment ref="F89" authorId="2" shapeId="0" xr:uid="{00000000-0006-0000-0000-00002A000000}">
      <text>
        <r>
          <rPr>
            <b/>
            <sz val="10"/>
            <color indexed="81"/>
            <rFont val="Tahoma"/>
            <family val="2"/>
          </rPr>
          <t>Forward Transconductance (g</t>
        </r>
        <r>
          <rPr>
            <b/>
            <vertAlign val="subscript"/>
            <sz val="10"/>
            <color indexed="81"/>
            <rFont val="Tahoma"/>
            <family val="2"/>
          </rPr>
          <t>FS</t>
        </r>
        <r>
          <rPr>
            <b/>
            <sz val="10"/>
            <color indexed="81"/>
            <rFont val="Tahoma"/>
            <family val="2"/>
          </rPr>
          <t xml:space="preserve">):
</t>
        </r>
        <r>
          <rPr>
            <sz val="10"/>
            <color indexed="81"/>
            <rFont val="Tahoma"/>
            <family val="2"/>
          </rPr>
          <t>Enter the forward transconductance rating of the low-side MOSFET here.</t>
        </r>
      </text>
    </comment>
    <comment ref="E90" authorId="2" shapeId="0" xr:uid="{00000000-0006-0000-0000-00002B000000}">
      <text>
        <r>
          <rPr>
            <b/>
            <sz val="10"/>
            <color indexed="81"/>
            <rFont val="Tahoma"/>
            <family val="2"/>
          </rPr>
          <t>Gate to Source Threshold Voltage (V</t>
        </r>
        <r>
          <rPr>
            <b/>
            <vertAlign val="subscript"/>
            <sz val="10"/>
            <color indexed="81"/>
            <rFont val="Tahoma"/>
            <family val="2"/>
          </rPr>
          <t>GS(TH)</t>
        </r>
        <r>
          <rPr>
            <b/>
            <sz val="10"/>
            <color indexed="81"/>
            <rFont val="Tahoma"/>
            <family val="2"/>
          </rPr>
          <t xml:space="preserve">):
</t>
        </r>
        <r>
          <rPr>
            <sz val="10"/>
            <color indexed="81"/>
            <rFont val="Tahoma"/>
            <family val="2"/>
          </rPr>
          <t>Enter the MOSFET gate-source threshold voltage at rated current here. This can be taken as the plateau voltage in the V</t>
        </r>
        <r>
          <rPr>
            <vertAlign val="subscript"/>
            <sz val="10"/>
            <color indexed="81"/>
            <rFont val="Tahoma"/>
            <family val="2"/>
          </rPr>
          <t>GS</t>
        </r>
        <r>
          <rPr>
            <sz val="10"/>
            <color indexed="81"/>
            <rFont val="Tahoma"/>
            <family val="2"/>
          </rPr>
          <t>-Q</t>
        </r>
        <r>
          <rPr>
            <vertAlign val="subscript"/>
            <sz val="10"/>
            <color indexed="81"/>
            <rFont val="Tahoma"/>
            <family val="2"/>
          </rPr>
          <t>G</t>
        </r>
        <r>
          <rPr>
            <sz val="10"/>
            <color indexed="81"/>
            <rFont val="Tahoma"/>
            <family val="2"/>
          </rPr>
          <t xml:space="preserve"> curve in the MOSFET datasheet.
</t>
        </r>
      </text>
    </comment>
    <comment ref="F90" authorId="2" shapeId="0" xr:uid="{00000000-0006-0000-0000-00002C000000}">
      <text>
        <r>
          <rPr>
            <b/>
            <sz val="10"/>
            <color indexed="81"/>
            <rFont val="Tahoma"/>
            <family val="2"/>
          </rPr>
          <t>Gate to Source Threshold Voltage (V</t>
        </r>
        <r>
          <rPr>
            <b/>
            <vertAlign val="subscript"/>
            <sz val="10"/>
            <color indexed="81"/>
            <rFont val="Tahoma"/>
            <family val="2"/>
          </rPr>
          <t>GS(TH)</t>
        </r>
        <r>
          <rPr>
            <b/>
            <sz val="10"/>
            <color indexed="81"/>
            <rFont val="Tahoma"/>
            <family val="2"/>
          </rPr>
          <t xml:space="preserve">):
</t>
        </r>
        <r>
          <rPr>
            <sz val="10"/>
            <color indexed="81"/>
            <rFont val="Tahoma"/>
            <family val="2"/>
          </rPr>
          <t>Enter the MOSFET gate-source threshold voltage at rated current here. This can be taken as the plateau voltage in the V</t>
        </r>
        <r>
          <rPr>
            <vertAlign val="subscript"/>
            <sz val="10"/>
            <color indexed="81"/>
            <rFont val="Tahoma"/>
            <family val="2"/>
          </rPr>
          <t>GS</t>
        </r>
        <r>
          <rPr>
            <sz val="10"/>
            <color indexed="81"/>
            <rFont val="Tahoma"/>
            <family val="2"/>
          </rPr>
          <t>-Q</t>
        </r>
        <r>
          <rPr>
            <vertAlign val="subscript"/>
            <sz val="10"/>
            <color indexed="81"/>
            <rFont val="Tahoma"/>
            <family val="2"/>
          </rPr>
          <t>G</t>
        </r>
        <r>
          <rPr>
            <sz val="10"/>
            <color indexed="81"/>
            <rFont val="Tahoma"/>
            <family val="2"/>
          </rPr>
          <t xml:space="preserve"> curve in the MOSFET datasheet.
</t>
        </r>
      </text>
    </comment>
    <comment ref="E91" authorId="2" shapeId="0" xr:uid="{00000000-0006-0000-0000-00002D000000}">
      <text>
        <r>
          <rPr>
            <b/>
            <sz val="10"/>
            <color indexed="81"/>
            <rFont val="Tahoma"/>
            <family val="2"/>
          </rPr>
          <t>Body Diode Forward Voltage (V</t>
        </r>
        <r>
          <rPr>
            <b/>
            <vertAlign val="subscript"/>
            <sz val="10"/>
            <color indexed="81"/>
            <rFont val="Tahoma"/>
            <family val="2"/>
          </rPr>
          <t>bd1</t>
        </r>
        <r>
          <rPr>
            <b/>
            <sz val="10"/>
            <color indexed="81"/>
            <rFont val="Tahoma"/>
            <family val="2"/>
          </rPr>
          <t xml:space="preserve">):
</t>
        </r>
        <r>
          <rPr>
            <sz val="10"/>
            <color indexed="81"/>
            <rFont val="Tahoma"/>
            <family val="2"/>
          </rPr>
          <t>A MOSFET has an inherent reverse body diode, and the voltage drop usually is specified at a rated current. The high-side MOSFET body diode contributes power loss during negative current events.</t>
        </r>
      </text>
    </comment>
    <comment ref="F91" authorId="2" shapeId="0" xr:uid="{00000000-0006-0000-0000-00002E000000}">
      <text>
        <r>
          <rPr>
            <b/>
            <sz val="10"/>
            <color indexed="81"/>
            <rFont val="Tahoma"/>
            <family val="2"/>
          </rPr>
          <t>Body Diode Forward Voltage (V</t>
        </r>
        <r>
          <rPr>
            <b/>
            <vertAlign val="subscript"/>
            <sz val="10"/>
            <color indexed="81"/>
            <rFont val="Tahoma"/>
            <family val="2"/>
          </rPr>
          <t>bd1</t>
        </r>
        <r>
          <rPr>
            <b/>
            <sz val="10"/>
            <color indexed="81"/>
            <rFont val="Tahoma"/>
            <family val="2"/>
          </rPr>
          <t xml:space="preserve">):
</t>
        </r>
        <r>
          <rPr>
            <sz val="10"/>
            <color indexed="81"/>
            <rFont val="Tahoma"/>
            <family val="2"/>
          </rPr>
          <t>A MOSFET has an inherent reverse body diode, and the voltage drop usually is specified at a rated current. The low-side MOSFET body diode contributes power loss related to both conduction and reverse recovery losses.</t>
        </r>
      </text>
    </comment>
    <comment ref="F92" authorId="2" shapeId="0" xr:uid="{00000000-0006-0000-0000-00002F000000}">
      <text>
        <r>
          <rPr>
            <b/>
            <sz val="10"/>
            <color indexed="81"/>
            <rFont val="Tahoma"/>
            <family val="2"/>
          </rPr>
          <t>Body Diode Recovery Charge (Q</t>
        </r>
        <r>
          <rPr>
            <b/>
            <vertAlign val="subscript"/>
            <sz val="10"/>
            <color indexed="81"/>
            <rFont val="Tahoma"/>
            <family val="2"/>
          </rPr>
          <t>RR</t>
        </r>
        <r>
          <rPr>
            <b/>
            <sz val="10"/>
            <color indexed="81"/>
            <rFont val="Tahoma"/>
            <family val="2"/>
          </rPr>
          <t xml:space="preserve">):
</t>
        </r>
        <r>
          <rPr>
            <sz val="10"/>
            <color indexed="81"/>
            <rFont val="Tahoma"/>
            <family val="2"/>
          </rPr>
          <t xml:space="preserve">Enter the reverse recovery charge of the low-side MOSFET body diode here. </t>
        </r>
      </text>
    </comment>
    <comment ref="E93" authorId="2" shapeId="0" xr:uid="{00000000-0006-0000-0000-000030000000}">
      <text>
        <r>
          <rPr>
            <b/>
            <sz val="10"/>
            <color indexed="81"/>
            <rFont val="Tahoma"/>
            <family val="2"/>
          </rPr>
          <t>θ</t>
        </r>
        <r>
          <rPr>
            <b/>
            <vertAlign val="subscript"/>
            <sz val="10"/>
            <color indexed="81"/>
            <rFont val="Tahoma"/>
            <family val="2"/>
          </rPr>
          <t>JA</t>
        </r>
        <r>
          <rPr>
            <b/>
            <sz val="10"/>
            <color indexed="81"/>
            <rFont val="Tahoma"/>
            <family val="2"/>
          </rPr>
          <t xml:space="preserve">:
</t>
        </r>
        <r>
          <rPr>
            <sz val="10"/>
            <color indexed="81"/>
            <rFont val="Tahoma"/>
            <family val="2"/>
          </rPr>
          <t>θ</t>
        </r>
        <r>
          <rPr>
            <vertAlign val="subscript"/>
            <sz val="10"/>
            <color indexed="81"/>
            <rFont val="Tahoma"/>
            <family val="2"/>
          </rPr>
          <t>JA</t>
        </r>
        <r>
          <rPr>
            <sz val="10"/>
            <color indexed="81"/>
            <rFont val="Tahoma"/>
            <family val="2"/>
          </rPr>
          <t xml:space="preserve"> is the junction-to-ambient thermal resistance of the MOSFET. Higher θ</t>
        </r>
        <r>
          <rPr>
            <vertAlign val="subscript"/>
            <sz val="10"/>
            <color indexed="81"/>
            <rFont val="Tahoma"/>
            <family val="2"/>
          </rPr>
          <t>JA</t>
        </r>
        <r>
          <rPr>
            <sz val="10"/>
            <color indexed="81"/>
            <rFont val="Tahoma"/>
            <family val="2"/>
          </rPr>
          <t xml:space="preserve"> will lead to higher power loss and reduced efficiency. High current designs demand low θ</t>
        </r>
        <r>
          <rPr>
            <vertAlign val="subscript"/>
            <sz val="10"/>
            <color indexed="81"/>
            <rFont val="Tahoma"/>
            <family val="2"/>
          </rPr>
          <t>JA</t>
        </r>
        <r>
          <rPr>
            <sz val="10"/>
            <color indexed="81"/>
            <rFont val="Tahoma"/>
            <family val="2"/>
          </rPr>
          <t xml:space="preserve"> rating to help maintain low MOSFET operating junction temperature. What's imperative here is consciencious PCB design and layout to maximize heat removal from the MOSFET.</t>
        </r>
      </text>
    </comment>
    <comment ref="F93" authorId="2" shapeId="0" xr:uid="{00000000-0006-0000-0000-000031000000}">
      <text>
        <r>
          <rPr>
            <b/>
            <sz val="10"/>
            <color indexed="81"/>
            <rFont val="Tahoma"/>
            <family val="2"/>
          </rPr>
          <t>θ</t>
        </r>
        <r>
          <rPr>
            <b/>
            <vertAlign val="subscript"/>
            <sz val="10"/>
            <color indexed="81"/>
            <rFont val="Tahoma"/>
            <family val="2"/>
          </rPr>
          <t>JA</t>
        </r>
        <r>
          <rPr>
            <b/>
            <sz val="10"/>
            <color indexed="81"/>
            <rFont val="Tahoma"/>
            <family val="2"/>
          </rPr>
          <t xml:space="preserve">:
</t>
        </r>
        <r>
          <rPr>
            <sz val="10"/>
            <color indexed="81"/>
            <rFont val="Tahoma"/>
            <family val="2"/>
          </rPr>
          <t>θ</t>
        </r>
        <r>
          <rPr>
            <vertAlign val="subscript"/>
            <sz val="10"/>
            <color indexed="81"/>
            <rFont val="Tahoma"/>
            <family val="2"/>
          </rPr>
          <t>JA</t>
        </r>
        <r>
          <rPr>
            <sz val="10"/>
            <color indexed="81"/>
            <rFont val="Tahoma"/>
            <family val="2"/>
          </rPr>
          <t xml:space="preserve"> is the junction-to-ambient thermal resistance of the MOSFET. Higher θ</t>
        </r>
        <r>
          <rPr>
            <vertAlign val="subscript"/>
            <sz val="10"/>
            <color indexed="81"/>
            <rFont val="Tahoma"/>
            <family val="2"/>
          </rPr>
          <t>JA</t>
        </r>
        <r>
          <rPr>
            <sz val="10"/>
            <color indexed="81"/>
            <rFont val="Tahoma"/>
            <family val="2"/>
          </rPr>
          <t xml:space="preserve"> will lead to higher power loss and reduced efficiency. High current designs demand low θ</t>
        </r>
        <r>
          <rPr>
            <vertAlign val="subscript"/>
            <sz val="10"/>
            <color indexed="81"/>
            <rFont val="Tahoma"/>
            <family val="2"/>
          </rPr>
          <t>JA</t>
        </r>
        <r>
          <rPr>
            <sz val="10"/>
            <color indexed="81"/>
            <rFont val="Tahoma"/>
            <family val="2"/>
          </rPr>
          <t xml:space="preserve"> rating to help maintain low MOSFET operating junction temperature. What's imperative here is consciencious PCB design and layout to maximize heat removal from the MOSFET.</t>
        </r>
      </text>
    </comment>
    <comment ref="G96" authorId="1" shapeId="0" xr:uid="{00000000-0006-0000-0000-000032000000}">
      <text>
        <r>
          <rPr>
            <b/>
            <sz val="9"/>
            <color indexed="81"/>
            <rFont val="Tahoma"/>
            <family val="2"/>
          </rPr>
          <t xml:space="preserve">Schottky Diode Forward Voltage:
</t>
        </r>
        <r>
          <rPr>
            <sz val="9"/>
            <color indexed="81"/>
            <rFont val="Tahoma"/>
            <family val="2"/>
          </rPr>
          <t xml:space="preserve">If an antiparallel Schottky diode is used across the low-side FET, enter the forward voltage at the rated current here. If a Schottky diode is not used, enter "0" into this cell.
</t>
        </r>
      </text>
    </comment>
    <comment ref="G97" authorId="1" shapeId="0" xr:uid="{00000000-0006-0000-0000-000033000000}">
      <text>
        <r>
          <rPr>
            <b/>
            <sz val="9"/>
            <color indexed="81"/>
            <rFont val="Tahoma"/>
            <family val="2"/>
          </rPr>
          <t>Schottky Diode Reverse Recovery Charge:</t>
        </r>
        <r>
          <rPr>
            <sz val="9"/>
            <color indexed="81"/>
            <rFont val="Tahoma"/>
            <family val="2"/>
          </rPr>
          <t xml:space="preserve">
Enter the diode reverse recovery charge here.
If a Schottky diode is not used, enter "0" into this cell.</t>
        </r>
      </text>
    </comment>
    <comment ref="F102" authorId="1" shapeId="0" xr:uid="{00000000-0006-0000-0000-000034000000}">
      <text>
        <r>
          <rPr>
            <b/>
            <sz val="9"/>
            <color indexed="81"/>
            <rFont val="Tahoma"/>
            <family val="2"/>
          </rPr>
          <t>IC Power Loss:</t>
        </r>
        <r>
          <rPr>
            <sz val="9"/>
            <color indexed="81"/>
            <rFont val="Tahoma"/>
            <family val="2"/>
          </rPr>
          <t xml:space="preserve">
IC power loss estimate based on nominal input voltage and MOSFET gate drive requirements.</t>
        </r>
      </text>
    </comment>
    <comment ref="F103" authorId="1" shapeId="0" xr:uid="{00000000-0006-0000-0000-000035000000}">
      <text>
        <r>
          <rPr>
            <b/>
            <sz val="9"/>
            <color indexed="81"/>
            <rFont val="Tahoma"/>
            <family val="2"/>
          </rPr>
          <t>IC Junction Temperature:</t>
        </r>
        <r>
          <rPr>
            <sz val="9"/>
            <color indexed="81"/>
            <rFont val="Tahoma"/>
            <family val="2"/>
          </rPr>
          <t xml:space="preserve">
IC junction temperature based on specified ambient temperature and power loss estimate.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Timothy Hegarty</author>
    <author>Hegarty, Timothy</author>
  </authors>
  <commentList>
    <comment ref="A3" authorId="0" shapeId="0" xr:uid="{00000000-0006-0000-0100-000001000000}">
      <text>
        <r>
          <rPr>
            <b/>
            <sz val="12"/>
            <color indexed="10"/>
            <rFont val="Tahoma"/>
            <family val="2"/>
          </rPr>
          <t>Welcome to the LM5141-Q1 Quickstart Design Tool</t>
        </r>
        <r>
          <rPr>
            <sz val="9"/>
            <color indexed="81"/>
            <rFont val="Tahoma"/>
            <family val="2"/>
          </rPr>
          <t xml:space="preserve">
This stand-alone tool facilitates and assists the power supply engineer with design of a DC/DC buck regulator based on the </t>
        </r>
        <r>
          <rPr>
            <b/>
            <sz val="9"/>
            <color indexed="81"/>
            <rFont val="Tahoma"/>
            <family val="2"/>
          </rPr>
          <t>LM5141-Q1 synchronous buck controller</t>
        </r>
        <r>
          <rPr>
            <sz val="9"/>
            <color indexed="81"/>
            <rFont val="Tahoma"/>
            <family val="2"/>
          </rPr>
          <t xml:space="preserve">. As such, the user can expeditiously arrive at an optimized design by virtue of the following:
- Determine current sense resistance, buck inductances and input and output capacitances
- Select components to set switching frequency, soft-start, hiccup time and dither
- Optimize compensation values and pole/zero placement in terms of control loop stability using crossover frequency as a performance metric
- Inspect regulator efficiency and component power dissipations vs. line and load
- Analyze efficiency based on selected MOSFET parameters
- Review auto-generated schematic and BOM list
</t>
        </r>
        <r>
          <rPr>
            <b/>
            <sz val="9"/>
            <color indexed="81"/>
            <rFont val="Tahoma"/>
            <family val="2"/>
          </rPr>
          <t>IMPORTANT:</t>
        </r>
        <r>
          <rPr>
            <sz val="9"/>
            <color indexed="81"/>
            <rFont val="Tahoma"/>
            <family val="2"/>
          </rPr>
          <t xml:space="preserve"> You must enable macros if Microsoft EXCEL asks as the file is being opened.
U.S. English notationsense resistance,  is used throughout.
</t>
        </r>
        <r>
          <rPr>
            <u/>
            <sz val="9"/>
            <color indexed="12"/>
            <rFont val="Tahoma"/>
            <family val="2"/>
          </rPr>
          <t>http://www.ti.com/widevin/</t>
        </r>
        <r>
          <rPr>
            <sz val="9"/>
            <color indexed="81"/>
            <rFont val="Tahoma"/>
            <family val="2"/>
          </rPr>
          <t xml:space="preserve">
</t>
        </r>
        <r>
          <rPr>
            <b/>
            <sz val="9"/>
            <color indexed="81"/>
            <rFont val="Tahoma"/>
            <family val="2"/>
          </rPr>
          <t xml:space="preserve">
Rev A2, Timothy Hegarty, Texas Instruments, Inc.</t>
        </r>
      </text>
    </comment>
    <comment ref="O3" authorId="0" shapeId="0" xr:uid="{00000000-0006-0000-0100-000002000000}">
      <text>
        <r>
          <rPr>
            <b/>
            <u/>
            <sz val="11"/>
            <color indexed="10"/>
            <rFont val="Tahoma"/>
            <family val="2"/>
          </rPr>
          <t>Texas Instruments</t>
        </r>
        <r>
          <rPr>
            <sz val="11"/>
            <color indexed="10"/>
            <rFont val="Tahoma"/>
            <family val="2"/>
          </rPr>
          <t>:</t>
        </r>
        <r>
          <rPr>
            <sz val="9"/>
            <color indexed="81"/>
            <rFont val="Tahoma"/>
            <family val="2"/>
          </rPr>
          <t xml:space="preserve">
</t>
        </r>
        <r>
          <rPr>
            <b/>
            <sz val="9"/>
            <color indexed="81"/>
            <rFont val="Tahoma"/>
            <family val="2"/>
          </rPr>
          <t>Limited Use Policy</t>
        </r>
        <r>
          <rPr>
            <sz val="9"/>
            <color indexed="81"/>
            <rFont val="Tahoma"/>
            <family val="2"/>
          </rPr>
          <t xml:space="preserve">
You must treat this software and documentation like any other copyrighted material.
</t>
        </r>
        <r>
          <rPr>
            <b/>
            <sz val="9"/>
            <color indexed="81"/>
            <rFont val="Tahoma"/>
            <family val="2"/>
          </rPr>
          <t>You may not:</t>
        </r>
        <r>
          <rPr>
            <sz val="9"/>
            <color indexed="81"/>
            <rFont val="Tahoma"/>
            <family val="2"/>
          </rPr>
          <t xml:space="preserve">
- Copy documentation of the software
- Copy this software except to make archival or backup copies
- Reverse engineer, disassemble, decompile or make any attempt to discover the source code of the Software 
- Place the software onto a server so that it is accessible via a public network such as the internet 
- Sublicense, rent, lease or lend any portion of the software or documentation.
Texas Instruments is not responsible for the validity of any design created with this software and urges all designs to be fully tested and carefully verified. Refer to the LM5141-Q1 product datasheet and EVM user's guide for more details.
</t>
        </r>
        <r>
          <rPr>
            <b/>
            <sz val="9"/>
            <color indexed="81"/>
            <rFont val="Tahoma"/>
            <family val="2"/>
          </rPr>
          <t>Rev A2, Timothy Hegarty, Texas Instruments, Inc.</t>
        </r>
      </text>
    </comment>
    <comment ref="D9" authorId="1" shapeId="0" xr:uid="{00000000-0006-0000-0100-000003000000}">
      <text>
        <r>
          <rPr>
            <b/>
            <sz val="9"/>
            <color indexed="81"/>
            <rFont val="Tahoma"/>
            <family val="2"/>
          </rPr>
          <t>Recommended inductance:</t>
        </r>
        <r>
          <rPr>
            <sz val="9"/>
            <color indexed="81"/>
            <rFont val="Tahoma"/>
            <family val="2"/>
          </rPr>
          <t xml:space="preserve">
This is the nominal inductance that sets the faliing inductor current di/dt equal to the slope compensation contribution.</t>
        </r>
      </text>
    </comment>
    <comment ref="P9" authorId="1" shapeId="0" xr:uid="{00000000-0006-0000-0100-000004000000}">
      <text>
        <r>
          <rPr>
            <b/>
            <sz val="9"/>
            <color indexed="81"/>
            <rFont val="Tahoma"/>
            <family val="2"/>
          </rPr>
          <t>Recommended inductance:</t>
        </r>
        <r>
          <rPr>
            <sz val="9"/>
            <color indexed="81"/>
            <rFont val="Tahoma"/>
            <family val="2"/>
          </rPr>
          <t xml:space="preserve">
This is the nominal inductance that sets the faliing inductor current di/dt equal to the slope compensation contribution.</t>
        </r>
      </text>
    </comment>
    <comment ref="Q9" authorId="1" shapeId="0" xr:uid="{00000000-0006-0000-0100-000005000000}">
      <text>
        <r>
          <rPr>
            <b/>
            <sz val="9"/>
            <color indexed="81"/>
            <rFont val="Tahoma"/>
            <family val="2"/>
          </rPr>
          <t>Recommended inductance:</t>
        </r>
        <r>
          <rPr>
            <sz val="9"/>
            <color indexed="81"/>
            <rFont val="Tahoma"/>
            <family val="2"/>
          </rPr>
          <t xml:space="preserve">
This is the nominal inductance that sets the faliing inductor current di/dt equal to the slope compensation contribution.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Timothy Hegarty</author>
    <author>Hegarty, Timothy</author>
  </authors>
  <commentList>
    <comment ref="A3" authorId="0" shapeId="0" xr:uid="{00000000-0006-0000-0200-000001000000}">
      <text>
        <r>
          <rPr>
            <b/>
            <sz val="12"/>
            <color indexed="10"/>
            <rFont val="Tahoma"/>
            <family val="2"/>
          </rPr>
          <t>Welcome to the LM5141-Q1 Quickstart Design Tool</t>
        </r>
        <r>
          <rPr>
            <sz val="9"/>
            <color indexed="81"/>
            <rFont val="Tahoma"/>
            <family val="2"/>
          </rPr>
          <t xml:space="preserve">
This stand-alone tool facilitates and assists the power supply engineer with design of a DC/DC buck regulator based on the </t>
        </r>
        <r>
          <rPr>
            <b/>
            <sz val="9"/>
            <color indexed="81"/>
            <rFont val="Tahoma"/>
            <family val="2"/>
          </rPr>
          <t>LM5141-Q1 synchronous buck controller</t>
        </r>
        <r>
          <rPr>
            <sz val="9"/>
            <color indexed="81"/>
            <rFont val="Tahoma"/>
            <family val="2"/>
          </rPr>
          <t xml:space="preserve">. As such, the user can expeditiously arrive at an optimized design by virtue of the following:
- Determine current sense resistance, buck inductances and input and output capacitances
- Select components to set switching frequency, soft-start, hiccup time and dither
- Optimize compensation values and pole/zero placement in terms of control loop stability using crossover frequency as a performance metric
- Inspect regulator efficiency and component power dissipations vs. line and load
- Analyze efficiency based on selected MOSFET parameters
- Review auto-generated schematic and BOM list
</t>
        </r>
        <r>
          <rPr>
            <b/>
            <sz val="9"/>
            <color indexed="81"/>
            <rFont val="Tahoma"/>
            <family val="2"/>
          </rPr>
          <t>IMPORTANT:</t>
        </r>
        <r>
          <rPr>
            <sz val="9"/>
            <color indexed="81"/>
            <rFont val="Tahoma"/>
            <family val="2"/>
          </rPr>
          <t xml:space="preserve"> You must enable macros if Microsoft EXCEL asks as the file is being opened.
U.S. English notationsense resistance,  is used throughout.
</t>
        </r>
        <r>
          <rPr>
            <u/>
            <sz val="9"/>
            <color indexed="12"/>
            <rFont val="Tahoma"/>
            <family val="2"/>
          </rPr>
          <t>http://www.ti.com/widevin/</t>
        </r>
        <r>
          <rPr>
            <sz val="9"/>
            <color indexed="81"/>
            <rFont val="Tahoma"/>
            <family val="2"/>
          </rPr>
          <t xml:space="preserve">
</t>
        </r>
        <r>
          <rPr>
            <b/>
            <sz val="9"/>
            <color indexed="81"/>
            <rFont val="Tahoma"/>
            <family val="2"/>
          </rPr>
          <t xml:space="preserve">
Rev A2, Timothy Hegarty, Texas Instruments, Inc.</t>
        </r>
      </text>
    </comment>
    <comment ref="O3" authorId="0" shapeId="0" xr:uid="{00000000-0006-0000-0200-000002000000}">
      <text>
        <r>
          <rPr>
            <b/>
            <u/>
            <sz val="11"/>
            <color indexed="10"/>
            <rFont val="Tahoma"/>
            <family val="2"/>
          </rPr>
          <t>Texas Instruments</t>
        </r>
        <r>
          <rPr>
            <sz val="11"/>
            <color indexed="10"/>
            <rFont val="Tahoma"/>
            <family val="2"/>
          </rPr>
          <t>:</t>
        </r>
        <r>
          <rPr>
            <sz val="9"/>
            <color indexed="81"/>
            <rFont val="Tahoma"/>
            <family val="2"/>
          </rPr>
          <t xml:space="preserve">
</t>
        </r>
        <r>
          <rPr>
            <b/>
            <sz val="9"/>
            <color indexed="81"/>
            <rFont val="Tahoma"/>
            <family val="2"/>
          </rPr>
          <t>Limited Use Policy</t>
        </r>
        <r>
          <rPr>
            <sz val="9"/>
            <color indexed="81"/>
            <rFont val="Tahoma"/>
            <family val="2"/>
          </rPr>
          <t xml:space="preserve">
You must treat this software and documentation like any other copyrighted material.
</t>
        </r>
        <r>
          <rPr>
            <b/>
            <sz val="9"/>
            <color indexed="81"/>
            <rFont val="Tahoma"/>
            <family val="2"/>
          </rPr>
          <t>You may not:</t>
        </r>
        <r>
          <rPr>
            <sz val="9"/>
            <color indexed="81"/>
            <rFont val="Tahoma"/>
            <family val="2"/>
          </rPr>
          <t xml:space="preserve">
- Copy documentation of the software
- Copy this software except to make archival or backup copies
- Reverse engineer, disassemble, decompile or make any attempt to discover the source code of the Software 
- Place the software onto a server so that it is accessible via a public network such as the internet 
- Sublicense, rent, lease or lend any portion of the software or documentation.
Texas Instruments is not responsible for the validity of any design created with this software and urges all designs to be fully tested and carefully verified. Refer to the LM5141-Q1 product datasheet and EVM user's guide for more details.
</t>
        </r>
        <r>
          <rPr>
            <b/>
            <sz val="9"/>
            <color indexed="81"/>
            <rFont val="Tahoma"/>
            <family val="2"/>
          </rPr>
          <t>Rev A2, Timothy Hegarty, Texas Instruments, Inc.</t>
        </r>
      </text>
    </comment>
    <comment ref="D8" authorId="1" shapeId="0" xr:uid="{00000000-0006-0000-0200-000003000000}">
      <text>
        <r>
          <rPr>
            <b/>
            <sz val="9"/>
            <color indexed="81"/>
            <rFont val="Tahoma"/>
            <family val="2"/>
          </rPr>
          <t>Recommended inductance:</t>
        </r>
        <r>
          <rPr>
            <sz val="9"/>
            <color indexed="81"/>
            <rFont val="Tahoma"/>
            <family val="2"/>
          </rPr>
          <t xml:space="preserve">
This is the nominal inductance that sets the faliing inductor current di/dt equal to the slope compensation contribution.</t>
        </r>
      </text>
    </comment>
    <comment ref="H8" authorId="1" shapeId="0" xr:uid="{00000000-0006-0000-0200-000004000000}">
      <text>
        <r>
          <rPr>
            <b/>
            <sz val="9"/>
            <color indexed="81"/>
            <rFont val="Tahoma"/>
            <family val="2"/>
          </rPr>
          <t>Recommended inductance:</t>
        </r>
        <r>
          <rPr>
            <sz val="9"/>
            <color indexed="81"/>
            <rFont val="Tahoma"/>
            <family val="2"/>
          </rPr>
          <t xml:space="preserve">
This is the nominal inductance that sets the faliing inductor current di/dt equal to the slope compensation contribution.</t>
        </r>
      </text>
    </comment>
  </commentList>
</comments>
</file>

<file path=xl/sharedStrings.xml><?xml version="1.0" encoding="utf-8"?>
<sst xmlns="http://schemas.openxmlformats.org/spreadsheetml/2006/main" count="1594" uniqueCount="953">
  <si>
    <t>V</t>
  </si>
  <si>
    <t>A</t>
  </si>
  <si>
    <t>kHz</t>
  </si>
  <si>
    <t>Vin</t>
  </si>
  <si>
    <t>Vout</t>
  </si>
  <si>
    <t>Iout</t>
  </si>
  <si>
    <t>Fsw</t>
  </si>
  <si>
    <t>Value</t>
  </si>
  <si>
    <t>STD Units</t>
  </si>
  <si>
    <t>Hz</t>
  </si>
  <si>
    <t>uH</t>
  </si>
  <si>
    <t>Rdcr</t>
  </si>
  <si>
    <t>Notes</t>
  </si>
  <si>
    <t>Nominal input voltage</t>
  </si>
  <si>
    <t>Don1</t>
  </si>
  <si>
    <t>Doff1</t>
  </si>
  <si>
    <t>Don2</t>
  </si>
  <si>
    <t>Doff2</t>
  </si>
  <si>
    <t>index</t>
  </si>
  <si>
    <t>H</t>
  </si>
  <si>
    <t>Ohms</t>
  </si>
  <si>
    <t>Vripple1</t>
  </si>
  <si>
    <t>Coutmin</t>
  </si>
  <si>
    <t>uF</t>
  </si>
  <si>
    <t>F</t>
  </si>
  <si>
    <t>Cout</t>
  </si>
  <si>
    <t>Fesr</t>
  </si>
  <si>
    <t>Q</t>
  </si>
  <si>
    <t>V/V</t>
  </si>
  <si>
    <t>Rfb1</t>
  </si>
  <si>
    <t>pF</t>
  </si>
  <si>
    <t>Cc1ea</t>
  </si>
  <si>
    <t>Cc2ea</t>
  </si>
  <si>
    <t>Rcea1</t>
  </si>
  <si>
    <t>Rcea1_u</t>
  </si>
  <si>
    <t>Cc1ea_u</t>
  </si>
  <si>
    <t>Cc2ea_u</t>
  </si>
  <si>
    <t>Fz1</t>
  </si>
  <si>
    <t>Pi</t>
  </si>
  <si>
    <t>Vp-p</t>
  </si>
  <si>
    <t>Rfb2</t>
  </si>
  <si>
    <t>Vref</t>
  </si>
  <si>
    <t>Ro</t>
  </si>
  <si>
    <t>xover</t>
  </si>
  <si>
    <t>phase margin</t>
  </si>
  <si>
    <t>Total</t>
  </si>
  <si>
    <t>XOVER SEARCH</t>
  </si>
  <si>
    <t>Variable Name</t>
  </si>
  <si>
    <t>Resrmax</t>
  </si>
  <si>
    <t>mΩ</t>
  </si>
  <si>
    <t>kΩ</t>
  </si>
  <si>
    <t>TERMS OF USE</t>
  </si>
  <si>
    <t>IQ</t>
  </si>
  <si>
    <t>Step</t>
  </si>
  <si>
    <t>Total Loss</t>
  </si>
  <si>
    <t>Design</t>
  </si>
  <si>
    <t>L</t>
  </si>
  <si>
    <t>Cin</t>
  </si>
  <si>
    <t>Components</t>
  </si>
  <si>
    <t>Top FET</t>
  </si>
  <si>
    <t>RdsonDRB</t>
  </si>
  <si>
    <t>RdsonDRT</t>
  </si>
  <si>
    <t>Deadtime</t>
  </si>
  <si>
    <t>mOhms</t>
  </si>
  <si>
    <t>mA</t>
  </si>
  <si>
    <t>nC</t>
  </si>
  <si>
    <t>S</t>
  </si>
  <si>
    <t>QgBot</t>
  </si>
  <si>
    <t>RdsonBot</t>
  </si>
  <si>
    <t>GfsTop</t>
  </si>
  <si>
    <t>QgTop</t>
  </si>
  <si>
    <t>RdsonTop</t>
  </si>
  <si>
    <t>VsdBot</t>
  </si>
  <si>
    <t>QrrBot</t>
  </si>
  <si>
    <t>TrrBot</t>
  </si>
  <si>
    <t>ns</t>
  </si>
  <si>
    <t>Units</t>
  </si>
  <si>
    <t>Outputs</t>
  </si>
  <si>
    <t>Dprime</t>
  </si>
  <si>
    <t>RdsonTopTc</t>
  </si>
  <si>
    <t>RdsonBotTc</t>
  </si>
  <si>
    <t>ppm</t>
  </si>
  <si>
    <t>LTc</t>
  </si>
  <si>
    <t>Ta</t>
  </si>
  <si>
    <t>Irms</t>
  </si>
  <si>
    <t>RCoutEsr</t>
  </si>
  <si>
    <t>RCinEsr</t>
  </si>
  <si>
    <t>DCR    Loss</t>
  </si>
  <si>
    <t>Tr</t>
  </si>
  <si>
    <t>Tf</t>
  </si>
  <si>
    <t>RGateTop</t>
  </si>
  <si>
    <t>RGateBot</t>
  </si>
  <si>
    <t>VthTop</t>
  </si>
  <si>
    <t>Reverse Recovery Loss</t>
  </si>
  <si>
    <t>Switching Frequency</t>
  </si>
  <si>
    <t>Max Output Current</t>
  </si>
  <si>
    <t>Ambient Temperature</t>
  </si>
  <si>
    <t>Inductor Series Resistance Temp Co</t>
  </si>
  <si>
    <t>Total Deadtime</t>
  </si>
  <si>
    <t>Gate Charge Of Top FET</t>
  </si>
  <si>
    <t>Gate Resistance</t>
  </si>
  <si>
    <t>Transconductance of Top FET</t>
  </si>
  <si>
    <t>Threshold Voltage of Top FET</t>
  </si>
  <si>
    <t>Junction to Ambient Resistance</t>
  </si>
  <si>
    <t>Drain To Source Resitance Temp Co</t>
  </si>
  <si>
    <t>Diode Forward Voltage of Bottom FET Body Diode</t>
  </si>
  <si>
    <t>Reverse Recovery Time of Body Diode</t>
  </si>
  <si>
    <t>Description</t>
  </si>
  <si>
    <t>Input Parameters</t>
  </si>
  <si>
    <t>Drain to Source Resistance Temp Co</t>
  </si>
  <si>
    <t>Reverse Recovery Charge of Body Diode</t>
  </si>
  <si>
    <t>Input Value</t>
  </si>
  <si>
    <t>Top Driver</t>
  </si>
  <si>
    <t>Bottom Driver</t>
  </si>
  <si>
    <t>Part Power</t>
  </si>
  <si>
    <t>Power Dis</t>
  </si>
  <si>
    <t>W</t>
  </si>
  <si>
    <t>Controller</t>
  </si>
  <si>
    <t>Theta Ja</t>
  </si>
  <si>
    <t>Temp rise</t>
  </si>
  <si>
    <t>QgdTop</t>
  </si>
  <si>
    <t>Gate to Drain Charge</t>
  </si>
  <si>
    <t>Qg</t>
  </si>
  <si>
    <t>VspTop</t>
  </si>
  <si>
    <t>QgsTop</t>
  </si>
  <si>
    <t>RdsonDRB2</t>
  </si>
  <si>
    <t>RdsonDRT2</t>
  </si>
  <si>
    <t>Efficiency</t>
  </si>
  <si>
    <t xml:space="preserve">IQ </t>
  </si>
  <si>
    <t>ThetaCa</t>
  </si>
  <si>
    <t>Core to Ambient Thermal Resistance</t>
  </si>
  <si>
    <t>Quiescent Current Of Controller (Not Switching!)</t>
  </si>
  <si>
    <t>This pole cancels the zero from the Output Cap ESR</t>
  </si>
  <si>
    <t>s</t>
  </si>
  <si>
    <t>C</t>
  </si>
  <si>
    <t>Switching Current Loss</t>
  </si>
  <si>
    <t>Rfb2_u</t>
  </si>
  <si>
    <t>CoutEsr</t>
  </si>
  <si>
    <t>Ω</t>
  </si>
  <si>
    <t>Step 4: Output Capacitor</t>
  </si>
  <si>
    <t>Step 5: Input Capacitor</t>
  </si>
  <si>
    <t>nF</t>
  </si>
  <si>
    <t>R1</t>
  </si>
  <si>
    <t>R2</t>
  </si>
  <si>
    <t>VIN</t>
  </si>
  <si>
    <t>= Input Box</t>
  </si>
  <si>
    <t>Input capacitance</t>
  </si>
  <si>
    <t>Step 1: Operational Specs</t>
  </si>
  <si>
    <t>Tss</t>
  </si>
  <si>
    <t>Iss</t>
  </si>
  <si>
    <t>Css</t>
  </si>
  <si>
    <t>C1</t>
  </si>
  <si>
    <t>C2</t>
  </si>
  <si>
    <t>%</t>
  </si>
  <si>
    <t xml:space="preserve">I1 </t>
  </si>
  <si>
    <t xml:space="preserve">I2 </t>
  </si>
  <si>
    <t>Part Number</t>
  </si>
  <si>
    <t>Capacitors</t>
  </si>
  <si>
    <t>(pF)</t>
  </si>
  <si>
    <t>Standard Result</t>
  </si>
  <si>
    <t>Inputs</t>
  </si>
  <si>
    <t>Css_u</t>
  </si>
  <si>
    <t>Resistors</t>
  </si>
  <si>
    <t>inputs</t>
  </si>
  <si>
    <t>Rs</t>
  </si>
  <si>
    <t xml:space="preserve">                </t>
  </si>
  <si>
    <t>Cc1</t>
  </si>
  <si>
    <t>Cc2</t>
  </si>
  <si>
    <t>Rc1</t>
  </si>
  <si>
    <t>Other Input Variables</t>
  </si>
  <si>
    <t>Rfets</t>
  </si>
  <si>
    <t>cap loss eq res</t>
  </si>
  <si>
    <t>Fet loss eq res</t>
  </si>
  <si>
    <t>Diode loss eq res</t>
  </si>
  <si>
    <t>Sw cap</t>
  </si>
  <si>
    <t xml:space="preserve"> </t>
  </si>
  <si>
    <t>Rc1ea</t>
  </si>
  <si>
    <t>Frequency of Ringing</t>
  </si>
  <si>
    <t>MHz</t>
  </si>
  <si>
    <t>STD UNITS</t>
  </si>
  <si>
    <t>UNITS</t>
  </si>
  <si>
    <t>SW capacitance</t>
  </si>
  <si>
    <t>Csnub</t>
  </si>
  <si>
    <t>Lpar</t>
  </si>
  <si>
    <t>nH</t>
  </si>
  <si>
    <t>Rsnub</t>
  </si>
  <si>
    <t>Rset</t>
  </si>
  <si>
    <t>Blank out</t>
  </si>
  <si>
    <t>Input from user =</t>
  </si>
  <si>
    <t>Constant</t>
  </si>
  <si>
    <t>Step 8: Efficiency</t>
  </si>
  <si>
    <t>Vripple</t>
  </si>
  <si>
    <t>VfdSky</t>
  </si>
  <si>
    <t>QrrSky</t>
  </si>
  <si>
    <t>Ireverse</t>
  </si>
  <si>
    <t>Diode Forward Voltage</t>
  </si>
  <si>
    <t>Diode Reverse Recovery Charge</t>
  </si>
  <si>
    <t>Reverse Leakage Current</t>
  </si>
  <si>
    <t>External Diode</t>
  </si>
  <si>
    <t xml:space="preserve">Dead Time Loss </t>
  </si>
  <si>
    <t>VsdTop</t>
  </si>
  <si>
    <t>Switching Current Diss</t>
  </si>
  <si>
    <t>°C/W</t>
  </si>
  <si>
    <t>SCHEMATIC LABELS</t>
  </si>
  <si>
    <t>OUTPUT CURRENT</t>
  </si>
  <si>
    <t>Dmax</t>
  </si>
  <si>
    <t>Ipp</t>
  </si>
  <si>
    <t>Current (switching)</t>
  </si>
  <si>
    <t>Qrr Current</t>
  </si>
  <si>
    <t>Diode Current</t>
  </si>
  <si>
    <t>Std Units</t>
  </si>
  <si>
    <t>Total Application Switching IQ</t>
  </si>
  <si>
    <t>CIN</t>
  </si>
  <si>
    <t>DCR at hot</t>
  </si>
  <si>
    <t>µH</t>
  </si>
  <si>
    <t>µF</t>
  </si>
  <si>
    <t>Cinmin</t>
  </si>
  <si>
    <t>Vinripple1</t>
  </si>
  <si>
    <t>CinEsrMax</t>
  </si>
  <si>
    <t>Vinripple2</t>
  </si>
  <si>
    <t>Output =</t>
  </si>
  <si>
    <t>Bottom Schottky</t>
  </si>
  <si>
    <t>Step 1: Operating Specifications</t>
  </si>
  <si>
    <t>°C</t>
  </si>
  <si>
    <t>Std Values</t>
  </si>
  <si>
    <t>Compensation Components</t>
  </si>
  <si>
    <t>Actual P/Z Frequencies</t>
  </si>
  <si>
    <r>
      <t>C</t>
    </r>
    <r>
      <rPr>
        <b/>
        <vertAlign val="subscript"/>
        <sz val="10"/>
        <rFont val="Arial"/>
        <family val="2"/>
      </rPr>
      <t>C1</t>
    </r>
  </si>
  <si>
    <r>
      <t>C</t>
    </r>
    <r>
      <rPr>
        <b/>
        <vertAlign val="subscript"/>
        <sz val="10"/>
        <rFont val="Arial"/>
        <family val="2"/>
      </rPr>
      <t>C2</t>
    </r>
  </si>
  <si>
    <t>Efficiency / Power Loss Analyzer</t>
  </si>
  <si>
    <t>Step 7: Compensation Design</t>
  </si>
  <si>
    <t>Calculated /</t>
  </si>
  <si>
    <t>About</t>
  </si>
  <si>
    <t>xx</t>
  </si>
  <si>
    <t>Max ESR before ripple exceeds Vripple1</t>
  </si>
  <si>
    <t>Chosen ESR</t>
  </si>
  <si>
    <t>Input capacitance series resistance (ESR)</t>
  </si>
  <si>
    <t>kΩ</t>
  </si>
  <si>
    <t>Size</t>
  </si>
  <si>
    <t>MFR</t>
  </si>
  <si>
    <t>Std</t>
  </si>
  <si>
    <t>See description</t>
  </si>
  <si>
    <t>TI</t>
  </si>
  <si>
    <t>0603</t>
  </si>
  <si>
    <r>
      <t>C</t>
    </r>
    <r>
      <rPr>
        <vertAlign val="subscript"/>
        <sz val="10"/>
        <rFont val="Arial"/>
        <family val="2"/>
      </rPr>
      <t>IN</t>
    </r>
  </si>
  <si>
    <r>
      <t>C</t>
    </r>
    <r>
      <rPr>
        <vertAlign val="subscript"/>
        <sz val="10"/>
        <rFont val="Arial"/>
        <family val="2"/>
      </rPr>
      <t>OUT</t>
    </r>
  </si>
  <si>
    <t>Ref Des</t>
  </si>
  <si>
    <t>Count</t>
  </si>
  <si>
    <t>Various</t>
  </si>
  <si>
    <t>-</t>
  </si>
  <si>
    <r>
      <t>R</t>
    </r>
    <r>
      <rPr>
        <vertAlign val="subscript"/>
        <sz val="10"/>
        <rFont val="Arial"/>
        <family val="2"/>
      </rPr>
      <t>VIN</t>
    </r>
  </si>
  <si>
    <r>
      <t>R</t>
    </r>
    <r>
      <rPr>
        <vertAlign val="subscript"/>
        <sz val="10"/>
        <rFont val="Arial"/>
        <family val="2"/>
      </rPr>
      <t>FB1</t>
    </r>
  </si>
  <si>
    <r>
      <t>R</t>
    </r>
    <r>
      <rPr>
        <vertAlign val="subscript"/>
        <sz val="10"/>
        <rFont val="Arial"/>
        <family val="2"/>
      </rPr>
      <t>FB2</t>
    </r>
  </si>
  <si>
    <r>
      <t>U</t>
    </r>
    <r>
      <rPr>
        <b/>
        <vertAlign val="subscript"/>
        <sz val="10"/>
        <rFont val="Arial"/>
        <family val="2"/>
      </rPr>
      <t>1</t>
    </r>
  </si>
  <si>
    <t>Rpgood</t>
  </si>
  <si>
    <t>20kΩ</t>
  </si>
  <si>
    <t># of input caps</t>
  </si>
  <si>
    <t>Capacitance per component (Cin)</t>
  </si>
  <si>
    <t>Capacitance per component (Cout)</t>
  </si>
  <si>
    <t># of output caps</t>
  </si>
  <si>
    <t>Ω</t>
  </si>
  <si>
    <r>
      <rPr>
        <b/>
        <u/>
        <sz val="10"/>
        <rFont val="Arial"/>
        <family val="2"/>
      </rPr>
      <t>NOTES</t>
    </r>
    <r>
      <rPr>
        <b/>
        <sz val="10"/>
        <rFont val="Arial"/>
        <family val="2"/>
      </rPr>
      <t>:</t>
    </r>
  </si>
  <si>
    <t>Series resistance due to FETs</t>
  </si>
  <si>
    <t>Output Resistance</t>
  </si>
  <si>
    <r>
      <t>On-State Resistance, R</t>
    </r>
    <r>
      <rPr>
        <b/>
        <vertAlign val="subscript"/>
        <sz val="10"/>
        <rFont val="Arial"/>
        <family val="2"/>
      </rPr>
      <t>DS(on)</t>
    </r>
    <r>
      <rPr>
        <b/>
        <sz val="10"/>
        <rFont val="Arial"/>
        <family val="2"/>
      </rPr>
      <t xml:space="preserve"> </t>
    </r>
  </si>
  <si>
    <r>
      <t>Total Gate Charge, Q</t>
    </r>
    <r>
      <rPr>
        <b/>
        <vertAlign val="subscript"/>
        <sz val="10"/>
        <rFont val="Arial"/>
        <family val="2"/>
      </rPr>
      <t>G</t>
    </r>
    <r>
      <rPr>
        <b/>
        <sz val="10"/>
        <rFont val="Arial"/>
        <family val="2"/>
      </rPr>
      <t xml:space="preserve"> </t>
    </r>
  </si>
  <si>
    <r>
      <t>Gate-Drain Charge, Q</t>
    </r>
    <r>
      <rPr>
        <b/>
        <vertAlign val="subscript"/>
        <sz val="10"/>
        <rFont val="Arial"/>
        <family val="2"/>
      </rPr>
      <t>GD</t>
    </r>
    <r>
      <rPr>
        <b/>
        <sz val="10"/>
        <rFont val="Arial"/>
        <family val="2"/>
      </rPr>
      <t xml:space="preserve"> </t>
    </r>
  </si>
  <si>
    <r>
      <t>Gate-Source Charge, Q</t>
    </r>
    <r>
      <rPr>
        <b/>
        <vertAlign val="subscript"/>
        <sz val="10"/>
        <rFont val="Arial"/>
        <family val="2"/>
      </rPr>
      <t>GS</t>
    </r>
    <r>
      <rPr>
        <b/>
        <sz val="10"/>
        <rFont val="Arial"/>
        <family val="2"/>
      </rPr>
      <t xml:space="preserve"> </t>
    </r>
  </si>
  <si>
    <r>
      <t>Gate Resistance, R</t>
    </r>
    <r>
      <rPr>
        <b/>
        <vertAlign val="subscript"/>
        <sz val="10"/>
        <rFont val="Arial"/>
        <family val="2"/>
      </rPr>
      <t>G</t>
    </r>
    <r>
      <rPr>
        <b/>
        <sz val="10"/>
        <rFont val="Arial"/>
        <family val="2"/>
      </rPr>
      <t xml:space="preserve"> </t>
    </r>
  </si>
  <si>
    <r>
      <t>Transconductance, g</t>
    </r>
    <r>
      <rPr>
        <b/>
        <vertAlign val="subscript"/>
        <sz val="10"/>
        <rFont val="Arial"/>
        <family val="2"/>
      </rPr>
      <t>FS</t>
    </r>
    <r>
      <rPr>
        <b/>
        <sz val="10"/>
        <rFont val="Arial"/>
        <family val="2"/>
      </rPr>
      <t xml:space="preserve"> </t>
    </r>
  </si>
  <si>
    <r>
      <t>Thermal Resistance, θ</t>
    </r>
    <r>
      <rPr>
        <b/>
        <vertAlign val="subscript"/>
        <sz val="10"/>
        <rFont val="Arial"/>
        <family val="2"/>
      </rPr>
      <t>JA</t>
    </r>
    <r>
      <rPr>
        <b/>
        <sz val="10"/>
        <rFont val="Arial"/>
        <family val="2"/>
      </rPr>
      <t xml:space="preserve"> </t>
    </r>
  </si>
  <si>
    <t>%/°C</t>
  </si>
  <si>
    <t>Rt</t>
  </si>
  <si>
    <r>
      <t>Frequency Set Resistor, R</t>
    </r>
    <r>
      <rPr>
        <vertAlign val="subscript"/>
        <sz val="10"/>
        <rFont val="Arial"/>
        <family val="2"/>
      </rPr>
      <t>T</t>
    </r>
    <r>
      <rPr>
        <sz val="10"/>
        <rFont val="Arial"/>
        <family val="2"/>
      </rPr>
      <t xml:space="preserve"> </t>
    </r>
  </si>
  <si>
    <r>
      <t>V</t>
    </r>
    <r>
      <rPr>
        <vertAlign val="subscript"/>
        <sz val="10"/>
        <color theme="1"/>
        <rFont val="Arial"/>
        <family val="2"/>
      </rPr>
      <t>IN(min)</t>
    </r>
  </si>
  <si>
    <r>
      <t>V</t>
    </r>
    <r>
      <rPr>
        <vertAlign val="subscript"/>
        <sz val="10"/>
        <color theme="1"/>
        <rFont val="Arial"/>
        <family val="2"/>
      </rPr>
      <t>IN(nom)</t>
    </r>
  </si>
  <si>
    <r>
      <t>V</t>
    </r>
    <r>
      <rPr>
        <vertAlign val="subscript"/>
        <sz val="10"/>
        <color theme="1"/>
        <rFont val="Arial"/>
        <family val="2"/>
      </rPr>
      <t>IN(max)</t>
    </r>
  </si>
  <si>
    <t>VIN_max</t>
  </si>
  <si>
    <t>VIN_min</t>
  </si>
  <si>
    <t>Minimum input voltage</t>
  </si>
  <si>
    <t>Maximum input voltage</t>
  </si>
  <si>
    <t>mV</t>
  </si>
  <si>
    <t>Ideal Duty Cycle at VIN(nom)</t>
  </si>
  <si>
    <t>Ideal 1- Duty Cycle at VIN(nom)</t>
  </si>
  <si>
    <t>Pout</t>
  </si>
  <si>
    <t>Iin_Vinmin</t>
  </si>
  <si>
    <t>Iin_Vinnom</t>
  </si>
  <si>
    <t>Iin_Vinmax</t>
  </si>
  <si>
    <t>Pin</t>
  </si>
  <si>
    <t>Iripple_Vinmin</t>
  </si>
  <si>
    <t>Iripple_Vinnom</t>
  </si>
  <si>
    <t>Iripple_Vinmax</t>
  </si>
  <si>
    <t>L_Vinnom</t>
  </si>
  <si>
    <t>Lopt</t>
  </si>
  <si>
    <t>Iin</t>
  </si>
  <si>
    <r>
      <rPr>
        <sz val="10"/>
        <rFont val="Symbol"/>
        <family val="1"/>
        <charset val="2"/>
      </rPr>
      <t>D</t>
    </r>
    <r>
      <rPr>
        <sz val="10"/>
        <rFont val="Arial"/>
        <family val="2"/>
      </rPr>
      <t>I</t>
    </r>
    <r>
      <rPr>
        <vertAlign val="subscript"/>
        <sz val="10"/>
        <rFont val="Arial"/>
        <family val="2"/>
      </rPr>
      <t>L</t>
    </r>
    <r>
      <rPr>
        <sz val="10"/>
        <rFont val="Arial"/>
        <family val="2"/>
      </rPr>
      <t xml:space="preserve"> as a %</t>
    </r>
    <r>
      <rPr>
        <sz val="10"/>
        <rFont val="Arial"/>
        <family val="2"/>
      </rPr>
      <t xml:space="preserve"> at V</t>
    </r>
    <r>
      <rPr>
        <vertAlign val="subscript"/>
        <sz val="10"/>
        <rFont val="Arial"/>
        <family val="2"/>
      </rPr>
      <t>IN(nom)</t>
    </r>
  </si>
  <si>
    <t>Ilimit_DC</t>
  </si>
  <si>
    <t>Max inductor ripple current</t>
  </si>
  <si>
    <t>Output power</t>
  </si>
  <si>
    <t>Input currents at min, nom, max Vin</t>
  </si>
  <si>
    <t>Rs_ideal</t>
  </si>
  <si>
    <t>Ilimit_inductor_Vinmin</t>
  </si>
  <si>
    <t>Ilimit_inductor_Vinmax</t>
  </si>
  <si>
    <t>Ilimit_inductor_Vinnom</t>
  </si>
  <si>
    <t>Selected (starndard value) current limit sense resistor</t>
  </si>
  <si>
    <t>mΩ</t>
  </si>
  <si>
    <t>Output Cap RMS current</t>
  </si>
  <si>
    <t>Icoutrms_VINmin</t>
  </si>
  <si>
    <t>Icoutrms_VINnom</t>
  </si>
  <si>
    <t>Icoutrms_VINmax</t>
  </si>
  <si>
    <t>Cdither</t>
  </si>
  <si>
    <t>Cdither_calculated</t>
  </si>
  <si>
    <t>Cdither_stdvalue</t>
  </si>
  <si>
    <t>Rout</t>
  </si>
  <si>
    <r>
      <t xml:space="preserve">Chosen Compensation Components from the </t>
    </r>
    <r>
      <rPr>
        <b/>
        <u/>
        <sz val="10"/>
        <color indexed="10"/>
        <rFont val="Arial"/>
        <family val="2"/>
      </rPr>
      <t>standard value sheet</t>
    </r>
  </si>
  <si>
    <t>Modulator</t>
  </si>
  <si>
    <t>Total System</t>
  </si>
  <si>
    <t>Afb1</t>
  </si>
  <si>
    <t>Acs</t>
  </si>
  <si>
    <t>z1</t>
  </si>
  <si>
    <t>p3</t>
  </si>
  <si>
    <t>Adc</t>
  </si>
  <si>
    <t>z2</t>
  </si>
  <si>
    <t>Am</t>
  </si>
  <si>
    <t>p1</t>
  </si>
  <si>
    <t>pterm1</t>
  </si>
  <si>
    <t>Crossover</t>
  </si>
  <si>
    <t>p2</t>
  </si>
  <si>
    <t>pterm2</t>
  </si>
  <si>
    <t>Phase Margin</t>
  </si>
  <si>
    <t>Aea</t>
  </si>
  <si>
    <t>radconv</t>
  </si>
  <si>
    <t>p4</t>
  </si>
  <si>
    <t>k</t>
  </si>
  <si>
    <t>gm</t>
  </si>
  <si>
    <t>Power Stage</t>
  </si>
  <si>
    <t>Error Amplifier</t>
  </si>
  <si>
    <t>Sampling Double Pole</t>
  </si>
  <si>
    <t>System Response</t>
  </si>
  <si>
    <t>ERROR AMP Response</t>
  </si>
  <si>
    <t>PLANT Response</t>
  </si>
  <si>
    <t>Gain(V/V)</t>
  </si>
  <si>
    <t>Phase(rad)</t>
  </si>
  <si>
    <t>Gain (dB)</t>
  </si>
  <si>
    <t>Phase Margin (°)</t>
  </si>
  <si>
    <t>Phase (°)</t>
  </si>
  <si>
    <t>Fsquare</t>
  </si>
  <si>
    <t>Gain(dB)</t>
  </si>
  <si>
    <t>Phase(Deg)</t>
  </si>
  <si>
    <t>Pole/Zero Locations for Chart</t>
  </si>
  <si>
    <t>crossover</t>
  </si>
  <si>
    <t>System</t>
  </si>
  <si>
    <t>Plant</t>
  </si>
  <si>
    <t>Ri</t>
  </si>
  <si>
    <t>Error Amp Transconductance</t>
  </si>
  <si>
    <t>A/s</t>
  </si>
  <si>
    <t>Sn</t>
  </si>
  <si>
    <t>On-time Slope</t>
  </si>
  <si>
    <t>mc</t>
  </si>
  <si>
    <t>GBW</t>
  </si>
  <si>
    <t>Cbw</t>
  </si>
  <si>
    <t>RoEA</t>
  </si>
  <si>
    <t>AEA</t>
  </si>
  <si>
    <t>Afb</t>
  </si>
  <si>
    <t>p</t>
  </si>
  <si>
    <t>This component will largely determine the crossover frequency</t>
  </si>
  <si>
    <t>This along with Rcea1 places a pole at the output cap ESR zero</t>
  </si>
  <si>
    <t>1/(Pi*(k-0.5))</t>
  </si>
  <si>
    <t>Acs = 1/Ri</t>
  </si>
  <si>
    <t>Current Sense effective resistance = shunt resistor Rs * CS amp gain</t>
  </si>
  <si>
    <t>Fp_EA</t>
  </si>
  <si>
    <t>Fp_HF</t>
  </si>
  <si>
    <t>Off-time Slope</t>
  </si>
  <si>
    <t>Sf</t>
  </si>
  <si>
    <t>CS Amp Gain</t>
  </si>
  <si>
    <t>Slope Comp Slope - referred to inductor current</t>
  </si>
  <si>
    <t>Se_int</t>
  </si>
  <si>
    <t>Step 3: Sense Resistors, Slope Comp, Current Limit</t>
  </si>
  <si>
    <t>Q = 2/Pi = 0.636 gives ideal one-cycle damping</t>
  </si>
  <si>
    <t>Error Amp HF pole cancels zero related to Output Cap ESR</t>
  </si>
  <si>
    <t>EXCEL Variables Names/Calculations</t>
  </si>
  <si>
    <t>Resulting Pole/Zero Locations</t>
  </si>
  <si>
    <t>Sn_int</t>
  </si>
  <si>
    <t>Sf_int</t>
  </si>
  <si>
    <t>Slope Comp Slope - referred to IC</t>
  </si>
  <si>
    <t>etc</t>
  </si>
  <si>
    <t>°</t>
  </si>
  <si>
    <t>Std Value Lower Feedback Resistance</t>
  </si>
  <si>
    <t>Lower Feedback Resistance</t>
  </si>
  <si>
    <t>Upper Feedback Resistance - chosen by user</t>
  </si>
  <si>
    <t>Drain-Source Resistance of Pullup High-side FET Driver</t>
  </si>
  <si>
    <t>Drain-Source Resistance of Pulldown High-side FET Driver</t>
  </si>
  <si>
    <t>Drain-Source Resistance of Pullup Low-side FET Driver</t>
  </si>
  <si>
    <t>Drain-Source Resistance of Pulldown Low-side FET Driver</t>
  </si>
  <si>
    <t>Drain-Source Resistance Temp Co</t>
  </si>
  <si>
    <t>Desired Crossover Frequency</t>
  </si>
  <si>
    <t>Cout ESR zero frequency</t>
  </si>
  <si>
    <t>Error Amp LF pole -- related to amplifier ouptut resistance and comp cap</t>
  </si>
  <si>
    <t>Buck dominant pole frequency -- note slope comp influence</t>
  </si>
  <si>
    <t>Fp_load_buck</t>
  </si>
  <si>
    <t>IC Power Disipation</t>
  </si>
  <si>
    <t>Iteration</t>
  </si>
  <si>
    <t>Output Ripple Spec (pk-pk)</t>
  </si>
  <si>
    <t>F_mod</t>
  </si>
  <si>
    <t>Am_buck</t>
  </si>
  <si>
    <t>DC Gain is Adc = AEA*Afb*Am</t>
  </si>
  <si>
    <t>A/V</t>
  </si>
  <si>
    <t>Power Stage Poles/Zeros</t>
  </si>
  <si>
    <t>Complex Pole Pair</t>
  </si>
  <si>
    <t>Divider Network &amp; EA Poles/Zeros</t>
  </si>
  <si>
    <t>mc_buck</t>
  </si>
  <si>
    <t>k_buck</t>
  </si>
  <si>
    <t>mV/μs</t>
  </si>
  <si>
    <t>Error Amp (EA)</t>
  </si>
  <si>
    <t>Estimate of efficiency</t>
  </si>
  <si>
    <r>
      <t>need to include R</t>
    </r>
    <r>
      <rPr>
        <vertAlign val="subscript"/>
        <sz val="10"/>
        <color rgb="FFFF0000"/>
        <rFont val="Arial"/>
        <family val="2"/>
      </rPr>
      <t>DS(on)</t>
    </r>
    <r>
      <rPr>
        <sz val="10"/>
        <color rgb="FFFF0000"/>
        <rFont val="Arial"/>
        <family val="2"/>
      </rPr>
      <t xml:space="preserve"> later</t>
    </r>
  </si>
  <si>
    <t>Iout_OCP_Vinmin</t>
  </si>
  <si>
    <t>Iout_OCP_Vinmax</t>
  </si>
  <si>
    <r>
      <t>Current limit setpoints (i.e. I</t>
    </r>
    <r>
      <rPr>
        <vertAlign val="subscript"/>
        <sz val="10"/>
        <rFont val="Arial"/>
        <family val="2"/>
      </rPr>
      <t>OUT</t>
    </r>
    <r>
      <rPr>
        <sz val="10"/>
        <rFont val="Arial"/>
        <family val="2"/>
      </rPr>
      <t>) after standard components are selected</t>
    </r>
  </si>
  <si>
    <t>Output voltage ripple spec(pk-pk)</t>
  </si>
  <si>
    <t>Vout ripple spec at Vin(nom)</t>
  </si>
  <si>
    <t>Load cap current during soft start</t>
  </si>
  <si>
    <t>Soft-start time</t>
  </si>
  <si>
    <t>p-dom</t>
  </si>
  <si>
    <t>p_dom</t>
  </si>
  <si>
    <t>z_ESR</t>
  </si>
  <si>
    <t>z_RHP</t>
  </si>
  <si>
    <t>Low-side MOSFET/Diode</t>
  </si>
  <si>
    <t>EA pole, p2</t>
  </si>
  <si>
    <t>EA pole, p1</t>
  </si>
  <si>
    <t>EA zero, z1</t>
  </si>
  <si>
    <t>Fp_dominant</t>
  </si>
  <si>
    <t>p_sampling</t>
  </si>
  <si>
    <t>ESR zero</t>
  </si>
  <si>
    <t>EA pole</t>
  </si>
  <si>
    <t>EA zero</t>
  </si>
  <si>
    <t>This zero is set at or close to the dominant load pole</t>
  </si>
  <si>
    <t>Freq (Hz)</t>
  </si>
  <si>
    <t>Se_ext</t>
  </si>
  <si>
    <t>Feedback gain from Vout to FB</t>
  </si>
  <si>
    <t>EA DC gain = gm*RoEA</t>
  </si>
  <si>
    <t>EA output resistance</t>
  </si>
  <si>
    <t>EA effective bandwidth limiting capacitance = gm/(2*Pi*GBW)</t>
  </si>
  <si>
    <t>EA gain-bandwidth product</t>
  </si>
  <si>
    <t>2*Pi*Ri/gm -- scaling factor to calculate Rcomp given desired buck crossover frequency</t>
  </si>
  <si>
    <t>Diode/FET</t>
  </si>
  <si>
    <t>Iout_OCP_Vinnom</t>
  </si>
  <si>
    <r>
      <t>R</t>
    </r>
    <r>
      <rPr>
        <vertAlign val="subscript"/>
        <sz val="10"/>
        <rFont val="Arial"/>
        <family val="2"/>
      </rPr>
      <t>T</t>
    </r>
  </si>
  <si>
    <t>** Inductor saturation current should be higher than the peak inductor current at the OCP setpoint for all input voltages and operating temperatures **</t>
  </si>
  <si>
    <r>
      <rPr>
        <sz val="10"/>
        <rFont val="Symbol"/>
        <family val="1"/>
        <charset val="2"/>
      </rPr>
      <t>°</t>
    </r>
    <r>
      <rPr>
        <sz val="10"/>
        <rFont val="Arial"/>
        <family val="2"/>
      </rPr>
      <t>C</t>
    </r>
  </si>
  <si>
    <r>
      <t>m</t>
    </r>
    <r>
      <rPr>
        <sz val="10"/>
        <rFont val="Symbol"/>
        <family val="1"/>
        <charset val="2"/>
      </rPr>
      <t>W</t>
    </r>
  </si>
  <si>
    <t>μF</t>
  </si>
  <si>
    <t>Filter Inductance</t>
  </si>
  <si>
    <r>
      <t>Inductor DCR at 25</t>
    </r>
    <r>
      <rPr>
        <sz val="10"/>
        <rFont val="Symbol"/>
        <family val="1"/>
        <charset val="2"/>
      </rPr>
      <t>°</t>
    </r>
    <r>
      <rPr>
        <sz val="10"/>
        <rFont val="Arial"/>
        <family val="2"/>
      </rPr>
      <t>C</t>
    </r>
  </si>
  <si>
    <r>
      <rPr>
        <sz val="10"/>
        <rFont val="Calibri"/>
        <family val="2"/>
      </rPr>
      <t>θ</t>
    </r>
    <r>
      <rPr>
        <vertAlign val="subscript"/>
        <sz val="10"/>
        <rFont val="Arial"/>
        <family val="2"/>
      </rPr>
      <t>JA</t>
    </r>
  </si>
  <si>
    <r>
      <t>θ</t>
    </r>
    <r>
      <rPr>
        <vertAlign val="subscript"/>
        <sz val="10"/>
        <rFont val="Arial"/>
        <family val="2"/>
      </rPr>
      <t>JABot</t>
    </r>
  </si>
  <si>
    <r>
      <t>θ</t>
    </r>
    <r>
      <rPr>
        <vertAlign val="subscript"/>
        <sz val="10"/>
        <rFont val="Arial"/>
        <family val="2"/>
      </rPr>
      <t>JATop</t>
    </r>
  </si>
  <si>
    <t>θJACtrl</t>
  </si>
  <si>
    <r>
      <t>Enter the values of your design and MOSFET datasheet specifications below. Note that thermal resistance (</t>
    </r>
    <r>
      <rPr>
        <b/>
        <sz val="10"/>
        <rFont val="Calibri"/>
        <family val="2"/>
      </rPr>
      <t>θ</t>
    </r>
    <r>
      <rPr>
        <b/>
        <vertAlign val="subscript"/>
        <sz val="10"/>
        <rFont val="Arial"/>
        <family val="2"/>
      </rPr>
      <t>JA</t>
    </r>
    <r>
      <rPr>
        <b/>
        <sz val="10"/>
        <rFont val="Arial"/>
        <family val="2"/>
      </rPr>
      <t>) will change when components are placed on the PCB</t>
    </r>
  </si>
  <si>
    <t>Subregulated VCC Voltage</t>
  </si>
  <si>
    <t>Vcc</t>
  </si>
  <si>
    <t>Junction-to-ambient thermal resistance of controller</t>
  </si>
  <si>
    <r>
      <rPr>
        <sz val="10"/>
        <rFont val="Calibri"/>
        <family val="2"/>
      </rPr>
      <t>θ</t>
    </r>
    <r>
      <rPr>
        <vertAlign val="subscript"/>
        <sz val="10"/>
        <rFont val="Arial"/>
        <family val="2"/>
      </rPr>
      <t>CA</t>
    </r>
  </si>
  <si>
    <t>Inductor Core to Ambient Thermal Resistance</t>
  </si>
  <si>
    <t>Input Capacitor ESR</t>
  </si>
  <si>
    <t>Inductor DCR Temp Co</t>
  </si>
  <si>
    <t>Output Capacitor ESR</t>
  </si>
  <si>
    <t>Output Capcitance</t>
  </si>
  <si>
    <t>Input Capacitance</t>
  </si>
  <si>
    <t>Filter Inductor</t>
  </si>
  <si>
    <t>Ripple Current pk-pk</t>
  </si>
  <si>
    <t>Cout ESR Loss</t>
  </si>
  <si>
    <t>Irms Cout</t>
  </si>
  <si>
    <t>Irms Cin</t>
  </si>
  <si>
    <t>Cin ESR Loss</t>
  </si>
  <si>
    <r>
      <t>R</t>
    </r>
    <r>
      <rPr>
        <b/>
        <vertAlign val="subscript"/>
        <sz val="10"/>
        <rFont val="Arial"/>
        <family val="2"/>
      </rPr>
      <t>DS(on)</t>
    </r>
    <r>
      <rPr>
        <b/>
        <sz val="10"/>
        <rFont val="Arial"/>
        <family val="2"/>
      </rPr>
      <t xml:space="preserve"> Loss</t>
    </r>
  </si>
  <si>
    <t>Controller IC Losses</t>
  </si>
  <si>
    <t>Total IC Loss</t>
  </si>
  <si>
    <t>Deadtime Loss</t>
  </si>
  <si>
    <r>
      <t>I</t>
    </r>
    <r>
      <rPr>
        <b/>
        <vertAlign val="subscript"/>
        <sz val="10"/>
        <rFont val="Arial"/>
        <family val="2"/>
      </rPr>
      <t>Q</t>
    </r>
    <r>
      <rPr>
        <b/>
        <sz val="10"/>
        <rFont val="Arial"/>
        <family val="2"/>
      </rPr>
      <t xml:space="preserve"> Loss</t>
    </r>
  </si>
  <si>
    <t>h</t>
  </si>
  <si>
    <r>
      <t xml:space="preserve">EFF, </t>
    </r>
    <r>
      <rPr>
        <b/>
        <sz val="10"/>
        <rFont val="Symbol"/>
        <family val="1"/>
        <charset val="2"/>
      </rPr>
      <t>h</t>
    </r>
  </si>
  <si>
    <t>QrrTop</t>
  </si>
  <si>
    <t>TrrTop</t>
  </si>
  <si>
    <t>RESULTS</t>
  </si>
  <si>
    <t>Consolidated Buck/Boost Efficiency &amp; Losses</t>
  </si>
  <si>
    <t>Isense Shunt Loss</t>
  </si>
  <si>
    <t>Sense Rs</t>
  </si>
  <si>
    <t>Drain to Source Resistance of pulldown Bottom FET Driver</t>
  </si>
  <si>
    <t>Drain to Source Resistance of pullup Bottom FET Driver</t>
  </si>
  <si>
    <t>Drain to Source Resistance of pulldown Top FET Driver</t>
  </si>
  <si>
    <t>Drain to Source Resistance of pullup Top FET Driver</t>
  </si>
  <si>
    <t>Turn on of MOSFET -&gt; Rise time of current</t>
  </si>
  <si>
    <t>Turn off of MOSFET -&gt; Fall time of current</t>
  </si>
  <si>
    <t>External Schottky Diode (if applicable)</t>
  </si>
  <si>
    <r>
      <t>kHz (F</t>
    </r>
    <r>
      <rPr>
        <vertAlign val="subscript"/>
        <sz val="10"/>
        <rFont val="Arial"/>
        <family val="2"/>
      </rPr>
      <t>ZCOMP</t>
    </r>
    <r>
      <rPr>
        <sz val="10"/>
        <rFont val="Arial"/>
        <family val="2"/>
      </rPr>
      <t>)</t>
    </r>
  </si>
  <si>
    <r>
      <t>kHz (F</t>
    </r>
    <r>
      <rPr>
        <vertAlign val="subscript"/>
        <sz val="10"/>
        <rFont val="Arial"/>
        <family val="2"/>
      </rPr>
      <t>PCOMP</t>
    </r>
    <r>
      <rPr>
        <sz val="10"/>
        <rFont val="Arial"/>
        <family val="2"/>
      </rPr>
      <t>)</t>
    </r>
  </si>
  <si>
    <t>Reported Cinmin</t>
  </si>
  <si>
    <t>Reported Cout ESR max</t>
  </si>
  <si>
    <t>Reported Cin ESR max</t>
  </si>
  <si>
    <t>Chosen OCP level - based on output current</t>
  </si>
  <si>
    <r>
      <t>I</t>
    </r>
    <r>
      <rPr>
        <vertAlign val="subscript"/>
        <sz val="10"/>
        <rFont val="Arial"/>
        <family val="2"/>
      </rPr>
      <t>OUT(typ)</t>
    </r>
    <r>
      <rPr>
        <sz val="10"/>
        <rFont val="Arial"/>
        <family val="2"/>
      </rPr>
      <t xml:space="preserve"> at OCP Inception:</t>
    </r>
  </si>
  <si>
    <t>Total Cin Loss</t>
  </si>
  <si>
    <t>Inductor Cu &amp; Core Loss</t>
  </si>
  <si>
    <t>Total Cout Loss</t>
  </si>
  <si>
    <t>Total Inductor Loss</t>
  </si>
  <si>
    <t>Anti-parallel Schottky Diode (optional)</t>
  </si>
  <si>
    <r>
      <t>Q</t>
    </r>
    <r>
      <rPr>
        <vertAlign val="subscript"/>
        <sz val="10"/>
        <rFont val="Arial"/>
        <family val="2"/>
      </rPr>
      <t>1</t>
    </r>
    <r>
      <rPr>
        <sz val="10"/>
        <rFont val="Arial"/>
        <family val="2"/>
      </rPr>
      <t>, Q</t>
    </r>
    <r>
      <rPr>
        <vertAlign val="subscript"/>
        <sz val="10"/>
        <rFont val="Arial"/>
        <family val="2"/>
      </rPr>
      <t>2</t>
    </r>
  </si>
  <si>
    <t>High-side FET</t>
  </si>
  <si>
    <t>Low-side FET</t>
  </si>
  <si>
    <t>Drain-Source Resistance of Low-side FET</t>
  </si>
  <si>
    <t xml:space="preserve">Drain-Source Resistance of Top FET </t>
  </si>
  <si>
    <t>Q1: high-side</t>
  </si>
  <si>
    <t>Q2: low-side</t>
  </si>
  <si>
    <t>Rdson</t>
  </si>
  <si>
    <t>Qgd</t>
  </si>
  <si>
    <t>Qgs</t>
  </si>
  <si>
    <t>Rgate</t>
  </si>
  <si>
    <t>Gfs</t>
  </si>
  <si>
    <t>Vth</t>
  </si>
  <si>
    <t>Vsp</t>
  </si>
  <si>
    <t>Diode Forward Voltage of MOSFET Body diode</t>
  </si>
  <si>
    <t>Vsd - Buck</t>
  </si>
  <si>
    <r>
      <t>Body Diode Forward Voltage, V</t>
    </r>
    <r>
      <rPr>
        <b/>
        <vertAlign val="subscript"/>
        <sz val="10"/>
        <rFont val="Arial"/>
        <family val="2"/>
      </rPr>
      <t>BD</t>
    </r>
    <r>
      <rPr>
        <b/>
        <sz val="10"/>
        <rFont val="Arial"/>
        <family val="2"/>
      </rPr>
      <t xml:space="preserve"> </t>
    </r>
  </si>
  <si>
    <r>
      <t>Schottky Rev Recovery Charge, Q</t>
    </r>
    <r>
      <rPr>
        <b/>
        <vertAlign val="subscript"/>
        <sz val="10"/>
        <rFont val="Arial"/>
        <family val="2"/>
      </rPr>
      <t>RRsch</t>
    </r>
    <r>
      <rPr>
        <b/>
        <sz val="10"/>
        <rFont val="Arial"/>
        <family val="2"/>
      </rPr>
      <t xml:space="preserve"> </t>
    </r>
  </si>
  <si>
    <r>
      <t>Body Diode Rev Recovery Charge, Q</t>
    </r>
    <r>
      <rPr>
        <b/>
        <vertAlign val="subscript"/>
        <sz val="10"/>
        <rFont val="Arial"/>
        <family val="2"/>
      </rPr>
      <t>RR</t>
    </r>
    <r>
      <rPr>
        <b/>
        <sz val="10"/>
        <rFont val="Arial"/>
        <family val="2"/>
      </rPr>
      <t xml:space="preserve"> </t>
    </r>
  </si>
  <si>
    <r>
      <t>Gate-Source Threshold Voltage, V</t>
    </r>
    <r>
      <rPr>
        <b/>
        <vertAlign val="subscript"/>
        <sz val="10"/>
        <rFont val="Arial"/>
        <family val="2"/>
      </rPr>
      <t>TH</t>
    </r>
    <r>
      <rPr>
        <b/>
        <sz val="10"/>
        <rFont val="Arial"/>
        <family val="2"/>
      </rPr>
      <t xml:space="preserve"> </t>
    </r>
  </si>
  <si>
    <r>
      <t>Schottky Fwd Voltage, V</t>
    </r>
    <r>
      <rPr>
        <b/>
        <vertAlign val="subscript"/>
        <sz val="10"/>
        <rFont val="Arial"/>
        <family val="2"/>
      </rPr>
      <t>FWDsch</t>
    </r>
    <r>
      <rPr>
        <b/>
        <sz val="10"/>
        <rFont val="Arial"/>
        <family val="2"/>
      </rPr>
      <t xml:space="preserve"> </t>
    </r>
  </si>
  <si>
    <t xml:space="preserve">  Low-side</t>
  </si>
  <si>
    <t>Dither Modulation Frequency</t>
  </si>
  <si>
    <t>sec</t>
  </si>
  <si>
    <t>Chosen inductance</t>
  </si>
  <si>
    <t>Chosen inductor DCR</t>
  </si>
  <si>
    <t>Shunt required to get OCP at VIN(min)</t>
  </si>
  <si>
    <t>Shunt required to get OCP at VIN(nom)</t>
  </si>
  <si>
    <t>Shunt required to get OCP at VIN(max)</t>
  </si>
  <si>
    <t>Icinrms_VINmin</t>
  </si>
  <si>
    <t>Icinrms_VINnom</t>
  </si>
  <si>
    <t>Max Cout rms current</t>
  </si>
  <si>
    <t xml:space="preserve">Resulting Output Voltage Ripple (max) </t>
  </si>
  <si>
    <t xml:space="preserve">Output Capacitor RMS Current (max) </t>
  </si>
  <si>
    <t>Input Capacitor RMS Current (max)</t>
  </si>
  <si>
    <t>Max Cin rms current</t>
  </si>
  <si>
    <t>Input voltage ripple spec (pk-pk)</t>
  </si>
  <si>
    <t>Reported Coutmin</t>
  </si>
  <si>
    <t>Input Voltage Ripple Spec</t>
  </si>
  <si>
    <t>Minimum Input Capacitance</t>
  </si>
  <si>
    <t>Ishunt_rms_Vinmin</t>
  </si>
  <si>
    <t>Ishunt_rms_Vinnom</t>
  </si>
  <si>
    <t>Ishunt_rms_Vinmax</t>
  </si>
  <si>
    <t>Max shunt power loss at full load</t>
  </si>
  <si>
    <t>Shunt Loss</t>
  </si>
  <si>
    <t>Cinmin_Vinmax</t>
  </si>
  <si>
    <t>Buck 50% typically worst case</t>
  </si>
  <si>
    <t>CinEsrMax_Vinmax</t>
  </si>
  <si>
    <t>CinEsrMax_50%D</t>
  </si>
  <si>
    <t>Cinmin_50%D</t>
  </si>
  <si>
    <t>Vinripple2_Vinmax</t>
  </si>
  <si>
    <t>Vinripple2_50%D</t>
  </si>
  <si>
    <t>Calculate ripple at Vinmax and 50% duty cycle (Vin = 2*Vout)</t>
  </si>
  <si>
    <t>Calculate cap at Vinmax and 50% duty cycle (Vin = 2*Vout)</t>
  </si>
  <si>
    <t>Calculate ESR at Vinmax and 50% duty cycle (Vin = 2*Vout)</t>
  </si>
  <si>
    <t>Step 7: Compensation</t>
  </si>
  <si>
    <t>Step 6a: Soft Start</t>
  </si>
  <si>
    <t>…report highest of these</t>
  </si>
  <si>
    <t>…report this</t>
  </si>
  <si>
    <t>PLOT_TYPE</t>
  </si>
  <si>
    <t>Total Control MOSFET Loss</t>
  </si>
  <si>
    <t>Total Sync MOSFET Loss</t>
  </si>
  <si>
    <t>Core Loss</t>
  </si>
  <si>
    <t>Irms Lf</t>
  </si>
  <si>
    <t xml:space="preserve">High-side BUCK "Control" MOSFET Losses </t>
  </si>
  <si>
    <t xml:space="preserve">Low-side BUCK "Sync" MOSFET Losses </t>
  </si>
  <si>
    <t>Mode</t>
  </si>
  <si>
    <t>Operating Point Condtions</t>
  </si>
  <si>
    <t>Duty Cycle BUCK Leg</t>
  </si>
  <si>
    <t>Total MOSFET Loss</t>
  </si>
  <si>
    <t>Full-load/high line efficiency</t>
  </si>
  <si>
    <t>Half-load/mid-line efficiency</t>
  </si>
  <si>
    <t>θJA-MOSFET</t>
  </si>
  <si>
    <t>10% load</t>
  </si>
  <si>
    <t>100% load</t>
  </si>
  <si>
    <t>50% load</t>
  </si>
  <si>
    <t>VIN range</t>
  </si>
  <si>
    <t>1 = Yes, 2 = No</t>
  </si>
  <si>
    <t>http://www.ti.com/product/lm5175</t>
  </si>
  <si>
    <t>VAR</t>
  </si>
  <si>
    <t>Step 4: Output Capacitors</t>
  </si>
  <si>
    <t>Shunt or inductor DCR current sensing</t>
  </si>
  <si>
    <t>FPWM or DEM (DEMB)</t>
  </si>
  <si>
    <t>Single or dual output (MODE)</t>
  </si>
  <si>
    <t>With/without dither (DITH)</t>
  </si>
  <si>
    <t>3.3V or 5V fixed (FB1/2)</t>
  </si>
  <si>
    <t xml:space="preserve">Tie to VDDA or AGND for FPWM/DEM, respectively. </t>
  </si>
  <si>
    <t>VIN_nom</t>
  </si>
  <si>
    <t>Load resistance - Channel 1</t>
  </si>
  <si>
    <t>Calculate input power assuming finite efficiency</t>
  </si>
  <si>
    <t>Single/Dual Yes/No</t>
  </si>
  <si>
    <t>Output voltage - channel 1</t>
  </si>
  <si>
    <t>Output current - channel 1</t>
  </si>
  <si>
    <t>Switching period</t>
  </si>
  <si>
    <t>Reference voltage</t>
  </si>
  <si>
    <t>Frequency set resistor</t>
  </si>
  <si>
    <t>Nominal switching frequency - determines RT resistor (SYNCIN must be 80-120% of this)</t>
  </si>
  <si>
    <t>L_slopecomp</t>
  </si>
  <si>
    <t>Inductor copper temerature</t>
  </si>
  <si>
    <t>Channel 1</t>
  </si>
  <si>
    <t>Calculated inductance for 35% ripple at VIN(nom)</t>
  </si>
  <si>
    <t>Duty cycles adjusted for DCR/shunt voltage drops</t>
  </si>
  <si>
    <r>
      <t>Required I</t>
    </r>
    <r>
      <rPr>
        <b/>
        <vertAlign val="subscript"/>
        <sz val="10"/>
        <color theme="1"/>
        <rFont val="Arial"/>
        <family val="2"/>
      </rPr>
      <t>OCP</t>
    </r>
    <r>
      <rPr>
        <b/>
        <sz val="10"/>
        <color theme="1"/>
        <rFont val="Arial"/>
        <family val="2"/>
      </rPr>
      <t xml:space="preserve"> Setpoint at V</t>
    </r>
    <r>
      <rPr>
        <b/>
        <vertAlign val="subscript"/>
        <sz val="10"/>
        <color theme="1"/>
        <rFont val="Arial"/>
        <family val="2"/>
      </rPr>
      <t>IN(nom)</t>
    </r>
  </si>
  <si>
    <r>
      <rPr>
        <b/>
        <sz val="10"/>
        <rFont val="Arial"/>
        <family val="2"/>
      </rPr>
      <t>Peak</t>
    </r>
    <r>
      <rPr>
        <sz val="10"/>
        <rFont val="Arial"/>
        <family val="2"/>
      </rPr>
      <t xml:space="preserve"> inductor current at current limit inception</t>
    </r>
  </si>
  <si>
    <t>CS threshold</t>
  </si>
  <si>
    <t>CS threshold_min</t>
  </si>
  <si>
    <t>CS threshold_max</t>
  </si>
  <si>
    <t>Ideal Rs for the required OCP -- based on 73mV CL threshold</t>
  </si>
  <si>
    <t>Current limit - peak</t>
  </si>
  <si>
    <r>
      <rPr>
        <b/>
        <sz val="10"/>
        <rFont val="Arial"/>
        <family val="2"/>
      </rPr>
      <t>Peak</t>
    </r>
    <r>
      <rPr>
        <sz val="10"/>
        <rFont val="Arial"/>
        <family val="2"/>
      </rPr>
      <t xml:space="preserve"> inductor current limit = min sat current</t>
    </r>
  </si>
  <si>
    <t>Pshunt_Vinmin</t>
  </si>
  <si>
    <t>Pshunt_Vinnom</t>
  </si>
  <si>
    <t>Pshunt_Vinmax</t>
  </si>
  <si>
    <t>Irms_OCP_Vinmin</t>
  </si>
  <si>
    <t>Irms_OCP_Vinnom</t>
  </si>
  <si>
    <t>Irms_OCP_Vinmax</t>
  </si>
  <si>
    <t>Max power dissipations in shunt</t>
  </si>
  <si>
    <t>Lo</t>
  </si>
  <si>
    <t>Note this is power loss at full load - not loss near OCP!</t>
  </si>
  <si>
    <t>Ripple current at Vin(max)</t>
  </si>
  <si>
    <t>FPWM</t>
  </si>
  <si>
    <t>Step 6b: Other Components - Dither, Hiccup, DEMB, MODE</t>
  </si>
  <si>
    <t>Tres</t>
  </si>
  <si>
    <t>Cres</t>
  </si>
  <si>
    <t>Cres_u</t>
  </si>
  <si>
    <r>
      <t>R</t>
    </r>
    <r>
      <rPr>
        <vertAlign val="subscript"/>
        <sz val="10"/>
        <rFont val="Arial"/>
        <family val="2"/>
      </rPr>
      <t>PG1/2</t>
    </r>
  </si>
  <si>
    <t>Hiccup time</t>
  </si>
  <si>
    <t>R_DEMB</t>
  </si>
  <si>
    <t>R_MODE</t>
  </si>
  <si>
    <t xml:space="preserve">Tie to VDDA or AGND for Single/Dual operation, respectively. </t>
  </si>
  <si>
    <r>
      <t>R</t>
    </r>
    <r>
      <rPr>
        <vertAlign val="subscript"/>
        <sz val="10"/>
        <rFont val="Arial"/>
        <family val="2"/>
      </rPr>
      <t>FB1/2</t>
    </r>
  </si>
  <si>
    <t xml:space="preserve">Tie to VDDA or AGND for 3.3V/5V output, respectively. </t>
  </si>
  <si>
    <r>
      <t>Min Inductor Sat Current, I</t>
    </r>
    <r>
      <rPr>
        <vertAlign val="subscript"/>
        <sz val="10"/>
        <color theme="1"/>
        <rFont val="Arial"/>
        <family val="2"/>
      </rPr>
      <t>LO(SAT)</t>
    </r>
  </si>
  <si>
    <t>VCC</t>
  </si>
  <si>
    <t>mc*(1-d)</t>
  </si>
  <si>
    <t>This along with Rcea1 will set a zero at Fcrossover/5 to optimize phase margin</t>
  </si>
  <si>
    <r>
      <t>R</t>
    </r>
    <r>
      <rPr>
        <b/>
        <vertAlign val="subscript"/>
        <sz val="10"/>
        <rFont val="Arial"/>
        <family val="2"/>
      </rPr>
      <t>C1</t>
    </r>
  </si>
  <si>
    <t>3.3V</t>
  </si>
  <si>
    <t>5V</t>
  </si>
  <si>
    <t>Adjustable</t>
  </si>
  <si>
    <r>
      <t>Hz   (F</t>
    </r>
    <r>
      <rPr>
        <vertAlign val="subscript"/>
        <sz val="10"/>
        <rFont val="Arial"/>
        <family val="2"/>
      </rPr>
      <t>PEA</t>
    </r>
    <r>
      <rPr>
        <sz val="10"/>
        <rFont val="Arial"/>
        <family val="2"/>
      </rPr>
      <t>)</t>
    </r>
  </si>
  <si>
    <t>Step 2: Buck Inductor</t>
  </si>
  <si>
    <t>Calculated inductance based on one times inductor downslope</t>
  </si>
  <si>
    <t>D_Vinmin</t>
  </si>
  <si>
    <t>D_Vinnom</t>
  </si>
  <si>
    <t>D_Vinmax</t>
  </si>
  <si>
    <t>D_Vinmin_2</t>
  </si>
  <si>
    <t>D_Vinnom_2</t>
  </si>
  <si>
    <t>D_Vinmax_2</t>
  </si>
  <si>
    <t>Cc1ea, Cc3ea</t>
  </si>
  <si>
    <t>Cc2ea, Cc4ea</t>
  </si>
  <si>
    <t>Rc2</t>
  </si>
  <si>
    <t>Cc3</t>
  </si>
  <si>
    <t>Cc4</t>
  </si>
  <si>
    <t>Cc3ea</t>
  </si>
  <si>
    <t>Cc4ea</t>
  </si>
  <si>
    <t>High- &amp; low-side MOSFETs - Ch1</t>
  </si>
  <si>
    <t>with 170mA current limit</t>
  </si>
  <si>
    <t>Quiescent Current of LM5143-Q1 Controller (One channel disabled)</t>
  </si>
  <si>
    <t>Controller Characteristics</t>
  </si>
  <si>
    <t>Gate Charge at VCC = 5V</t>
  </si>
  <si>
    <t>Drain-Source Resistances of Channel 1 FETs</t>
  </si>
  <si>
    <t>Junction-to-Ambient Resistance</t>
  </si>
  <si>
    <t>Transconductance</t>
  </si>
  <si>
    <t>Threshold Voltage</t>
  </si>
  <si>
    <t>Switch Point Voltage of FETs</t>
  </si>
  <si>
    <t>Control MOSFET Loss</t>
  </si>
  <si>
    <t>SYNC MOSFET Loss</t>
  </si>
  <si>
    <t>BUCK CONTROLLER POWER DESIGN TOOL</t>
  </si>
  <si>
    <t>High-side</t>
  </si>
  <si>
    <t>0508</t>
  </si>
  <si>
    <r>
      <t>C</t>
    </r>
    <r>
      <rPr>
        <vertAlign val="subscript"/>
        <sz val="10"/>
        <rFont val="Arial"/>
        <family val="2"/>
      </rPr>
      <t>VDDA</t>
    </r>
  </si>
  <si>
    <t>Iout/ phase</t>
  </si>
  <si>
    <t>% ripple current</t>
  </si>
  <si>
    <t>Zero-order sample-and-hold effects of current-mode control modeled as pole at Fsw/2</t>
  </si>
  <si>
    <t>With/without VOUT connected to VCCX</t>
  </si>
  <si>
    <r>
      <t>(Q</t>
    </r>
    <r>
      <rPr>
        <b/>
        <vertAlign val="subscript"/>
        <sz val="10"/>
        <color rgb="FF0000FF"/>
        <rFont val="Arial"/>
        <family val="2"/>
      </rPr>
      <t>1</t>
    </r>
    <r>
      <rPr>
        <b/>
        <sz val="10"/>
        <color rgb="FF0000FF"/>
        <rFont val="Arial"/>
        <family val="2"/>
      </rPr>
      <t>, Q</t>
    </r>
    <r>
      <rPr>
        <b/>
        <vertAlign val="subscript"/>
        <sz val="10"/>
        <color rgb="FF0000FF"/>
        <rFont val="Arial"/>
        <family val="2"/>
      </rPr>
      <t>2</t>
    </r>
    <r>
      <rPr>
        <b/>
        <sz val="10"/>
        <color rgb="FF0000FF"/>
        <rFont val="Arial"/>
        <family val="2"/>
      </rPr>
      <t xml:space="preserve">) </t>
    </r>
  </si>
  <si>
    <t>Dual  Outputs</t>
  </si>
  <si>
    <t>Single Output – 2  Phases</t>
  </si>
  <si>
    <t>Single Output – 3  Phases</t>
  </si>
  <si>
    <t>Single Output – 4  Phases</t>
  </si>
  <si>
    <t>BODE_PLOT_TYPE</t>
  </si>
  <si>
    <r>
      <t>Ambient Temperature, T</t>
    </r>
    <r>
      <rPr>
        <b/>
        <vertAlign val="subscript"/>
        <sz val="10"/>
        <rFont val="Arial"/>
        <family val="2"/>
      </rPr>
      <t>A</t>
    </r>
  </si>
  <si>
    <r>
      <t>Input Voltage – Min, V</t>
    </r>
    <r>
      <rPr>
        <b/>
        <vertAlign val="subscript"/>
        <sz val="10"/>
        <color theme="1"/>
        <rFont val="Arial"/>
        <family val="2"/>
      </rPr>
      <t>IN(min)</t>
    </r>
    <r>
      <rPr>
        <b/>
        <sz val="10"/>
        <color theme="1"/>
        <rFont val="Arial"/>
        <family val="2"/>
      </rPr>
      <t xml:space="preserve"> </t>
    </r>
  </si>
  <si>
    <r>
      <t>Input Voltage – Nom, V</t>
    </r>
    <r>
      <rPr>
        <b/>
        <vertAlign val="subscript"/>
        <sz val="10"/>
        <color theme="1"/>
        <rFont val="Arial"/>
        <family val="2"/>
      </rPr>
      <t>IN(nom)</t>
    </r>
  </si>
  <si>
    <r>
      <t>Input Voltage – Max, V</t>
    </r>
    <r>
      <rPr>
        <b/>
        <vertAlign val="subscript"/>
        <sz val="10"/>
        <color theme="1"/>
        <rFont val="Arial"/>
        <family val="2"/>
      </rPr>
      <t>IN(max)</t>
    </r>
  </si>
  <si>
    <r>
      <t>Switching Frequency, F</t>
    </r>
    <r>
      <rPr>
        <b/>
        <vertAlign val="subscript"/>
        <sz val="10"/>
        <color theme="1"/>
        <rFont val="Arial"/>
        <family val="2"/>
      </rPr>
      <t>SW</t>
    </r>
  </si>
  <si>
    <t>Number of Phases</t>
  </si>
  <si>
    <t>SINGLE OUTPUT (1 = YES)</t>
  </si>
  <si>
    <t>MODE (Single/Dual), DUAL = 1, SINGLE = 2</t>
  </si>
  <si>
    <t>Buck modulator gain</t>
  </si>
  <si>
    <t>Scaling factor to calculate Rcomp - buck</t>
  </si>
  <si>
    <r>
      <t>Output Voltage, V</t>
    </r>
    <r>
      <rPr>
        <b/>
        <vertAlign val="subscript"/>
        <sz val="10"/>
        <color theme="1"/>
        <rFont val="Arial"/>
        <family val="2"/>
      </rPr>
      <t>OUT</t>
    </r>
    <r>
      <rPr>
        <b/>
        <sz val="10"/>
        <color theme="1"/>
        <rFont val="Arial"/>
        <family val="2"/>
      </rPr>
      <t xml:space="preserve"> </t>
    </r>
  </si>
  <si>
    <r>
      <t>Full Load Output Current, I</t>
    </r>
    <r>
      <rPr>
        <b/>
        <vertAlign val="subscript"/>
        <sz val="10"/>
        <color theme="1"/>
        <rFont val="Arial"/>
        <family val="2"/>
      </rPr>
      <t xml:space="preserve">OUT </t>
    </r>
  </si>
  <si>
    <t>Step 9: IC Power Loss</t>
  </si>
  <si>
    <t>IC Junction Temperature (estimate)</t>
  </si>
  <si>
    <t>Junction temperature</t>
  </si>
  <si>
    <t>VCCX Connected</t>
  </si>
  <si>
    <t>No External VCC</t>
  </si>
  <si>
    <t>Ext_VCC</t>
  </si>
  <si>
    <t>Fp2</t>
  </si>
  <si>
    <t>Chosen output capacitance</t>
  </si>
  <si>
    <t>Minimum output capacitnace</t>
  </si>
  <si>
    <t>I_VCC</t>
  </si>
  <si>
    <t>LDO Loss Saved from Gate Drive Current (ext VCC)</t>
  </si>
  <si>
    <t>IC Power Dissipation</t>
  </si>
  <si>
    <r>
      <t>Output Capacitance, C</t>
    </r>
    <r>
      <rPr>
        <b/>
        <vertAlign val="subscript"/>
        <sz val="10"/>
        <rFont val="Arial"/>
        <family val="2"/>
      </rPr>
      <t>OSS</t>
    </r>
    <r>
      <rPr>
        <b/>
        <sz val="10"/>
        <rFont val="Arial"/>
        <family val="2"/>
      </rPr>
      <t xml:space="preserve"> </t>
    </r>
  </si>
  <si>
    <r>
      <t>Output Charge, Q</t>
    </r>
    <r>
      <rPr>
        <b/>
        <vertAlign val="subscript"/>
        <sz val="10"/>
        <rFont val="Arial"/>
        <family val="2"/>
      </rPr>
      <t>OSS</t>
    </r>
    <r>
      <rPr>
        <b/>
        <sz val="10"/>
        <rFont val="Arial"/>
        <family val="2"/>
      </rPr>
      <t xml:space="preserve"> </t>
    </r>
  </si>
  <si>
    <t>Qoss</t>
  </si>
  <si>
    <t>Coss</t>
  </si>
  <si>
    <t>Output Charge</t>
  </si>
  <si>
    <t>Output Capacitance</t>
  </si>
  <si>
    <t>Gate to Source Charge</t>
  </si>
  <si>
    <t>Tsw</t>
  </si>
  <si>
    <t>Transition Loss (not including capacitive loss)</t>
  </si>
  <si>
    <t>MOSFET Output Capacitance Loss</t>
  </si>
  <si>
    <t>Peak Inductor Current</t>
  </si>
  <si>
    <t>Valley Inductor Current</t>
  </si>
  <si>
    <t>SW node voltage at Q1 turn-on</t>
  </si>
  <si>
    <t>Maximum Permitted ESR</t>
  </si>
  <si>
    <t>Resulting Input Voltage Ripple (max)</t>
  </si>
  <si>
    <t>Icinrms_VINmax</t>
  </si>
  <si>
    <t>Two channels operating at full load</t>
  </si>
  <si>
    <t>Calculate input cap rms current with one output unloaded</t>
  </si>
  <si>
    <t>N*D</t>
  </si>
  <si>
    <t>floor(N*D)</t>
  </si>
  <si>
    <t>Icinrms - multiphase</t>
  </si>
  <si>
    <t>Final result</t>
  </si>
  <si>
    <t>Icinrms - multiphase - max</t>
  </si>
  <si>
    <t>14ns for LM513-Q1</t>
  </si>
  <si>
    <t>Power MOSFETs</t>
  </si>
  <si>
    <t>Load Pole Frequency</t>
  </si>
  <si>
    <t>ESR Zero Frequency</t>
  </si>
  <si>
    <t xml:space="preserve">Inductor DCR </t>
  </si>
  <si>
    <t>Output Voltage Ripple Spec</t>
  </si>
  <si>
    <t>Minimum Output Capacitance</t>
  </si>
  <si>
    <r>
      <t>C</t>
    </r>
    <r>
      <rPr>
        <vertAlign val="subscript"/>
        <sz val="10"/>
        <rFont val="Arial"/>
        <family val="2"/>
      </rPr>
      <t>BOOT</t>
    </r>
  </si>
  <si>
    <r>
      <t>C</t>
    </r>
    <r>
      <rPr>
        <vertAlign val="subscript"/>
        <sz val="10"/>
        <rFont val="Arial"/>
        <family val="2"/>
      </rPr>
      <t>VCC</t>
    </r>
    <r>
      <rPr>
        <sz val="10"/>
        <rFont val="Arial"/>
        <family val="2"/>
      </rPr>
      <t>,</t>
    </r>
    <r>
      <rPr>
        <sz val="10"/>
        <rFont val="Arial"/>
        <family val="2"/>
      </rPr>
      <t xml:space="preserve"> C</t>
    </r>
    <r>
      <rPr>
        <vertAlign val="subscript"/>
        <sz val="10"/>
        <rFont val="Arial"/>
        <family val="2"/>
      </rPr>
      <t>VCCX</t>
    </r>
  </si>
  <si>
    <r>
      <t>L</t>
    </r>
    <r>
      <rPr>
        <vertAlign val="subscript"/>
        <sz val="10"/>
        <rFont val="Arial"/>
        <family val="2"/>
      </rPr>
      <t>O</t>
    </r>
  </si>
  <si>
    <r>
      <t>R</t>
    </r>
    <r>
      <rPr>
        <vertAlign val="subscript"/>
        <sz val="10"/>
        <rFont val="Arial"/>
        <family val="2"/>
      </rPr>
      <t>S</t>
    </r>
  </si>
  <si>
    <t xml:space="preserve">   ** Tie VCCX to GND if not used **</t>
  </si>
  <si>
    <r>
      <t>Inductance, L</t>
    </r>
    <r>
      <rPr>
        <b/>
        <vertAlign val="subscript"/>
        <sz val="10"/>
        <color theme="1"/>
        <rFont val="Arial"/>
        <family val="2"/>
      </rPr>
      <t>O</t>
    </r>
    <r>
      <rPr>
        <b/>
        <sz val="10"/>
        <color theme="1"/>
        <rFont val="Arial"/>
        <family val="2"/>
      </rPr>
      <t xml:space="preserve"> </t>
    </r>
  </si>
  <si>
    <t>OSC setting</t>
  </si>
  <si>
    <t>Rt1</t>
  </si>
  <si>
    <t>Output Voltage Setting</t>
  </si>
  <si>
    <t>Schematic setting</t>
  </si>
  <si>
    <t>Cd</t>
  </si>
  <si>
    <t>Step 3: Buck Inductance</t>
  </si>
  <si>
    <t>Step 2: Current Sense Resistor</t>
  </si>
  <si>
    <r>
      <t>R</t>
    </r>
    <r>
      <rPr>
        <vertAlign val="subscript"/>
        <sz val="10"/>
        <rFont val="Arial"/>
        <family val="2"/>
      </rPr>
      <t>CS</t>
    </r>
  </si>
  <si>
    <t>VQFN-24</t>
  </si>
  <si>
    <r>
      <t>Output Capacitance (derated), C</t>
    </r>
    <r>
      <rPr>
        <b/>
        <vertAlign val="subscript"/>
        <sz val="10"/>
        <rFont val="Arial"/>
        <family val="2"/>
      </rPr>
      <t>OUT</t>
    </r>
    <r>
      <rPr>
        <b/>
        <sz val="10"/>
        <rFont val="Arial"/>
        <family val="2"/>
      </rPr>
      <t xml:space="preserve"> </t>
    </r>
  </si>
  <si>
    <r>
      <t>Input Capacitance (derated), C</t>
    </r>
    <r>
      <rPr>
        <b/>
        <vertAlign val="subscript"/>
        <sz val="10"/>
        <color theme="1"/>
        <rFont val="Arial"/>
        <family val="2"/>
      </rPr>
      <t>IN</t>
    </r>
    <r>
      <rPr>
        <b/>
        <sz val="10"/>
        <color theme="1"/>
        <rFont val="Arial"/>
        <family val="2"/>
      </rPr>
      <t xml:space="preserve"> </t>
    </r>
  </si>
  <si>
    <t>mc = 1 + Se/Sn for peak current-mode buck</t>
  </si>
  <si>
    <t>External Compensation</t>
  </si>
  <si>
    <t>Internal Compensation</t>
  </si>
  <si>
    <t>COMP_TYPE</t>
  </si>
  <si>
    <t>Step 8: AEF</t>
  </si>
  <si>
    <t>Cinj_AEF</t>
  </si>
  <si>
    <t>Rdamp_AEF</t>
  </si>
  <si>
    <t>Gop_AEF</t>
  </si>
  <si>
    <t>n</t>
  </si>
  <si>
    <t>Cdamp_AEF</t>
  </si>
  <si>
    <t>dBuV</t>
  </si>
  <si>
    <t>VinRipple_dBuV</t>
  </si>
  <si>
    <t>CISPR 25 limit</t>
  </si>
  <si>
    <t>Attenuation required</t>
  </si>
  <si>
    <t>Filter Frequency Required</t>
  </si>
  <si>
    <t>Lfilter</t>
  </si>
  <si>
    <t>Ccomp_AEF</t>
  </si>
  <si>
    <t>Rcomp_AEF</t>
  </si>
  <si>
    <t>Csen_AEF</t>
  </si>
  <si>
    <t>Passive</t>
  </si>
  <si>
    <t>INFILTER_TYPE</t>
  </si>
  <si>
    <t>No Input Filter</t>
  </si>
  <si>
    <t>AEF Input Filter</t>
  </si>
  <si>
    <t>Passive LC Filter</t>
  </si>
  <si>
    <t>Filter Attenuation</t>
  </si>
  <si>
    <t>Attenuation at Fsw</t>
  </si>
  <si>
    <t>dB-µV</t>
  </si>
  <si>
    <t>VIN Ripple</t>
  </si>
  <si>
    <t>jω</t>
  </si>
  <si>
    <t>Numerator</t>
  </si>
  <si>
    <t>Denominator</t>
  </si>
  <si>
    <t>Magnitude</t>
  </si>
  <si>
    <t>Phase</t>
  </si>
  <si>
    <t>-jω^3</t>
  </si>
  <si>
    <t>-ω^2</t>
  </si>
  <si>
    <t>Gop</t>
  </si>
  <si>
    <t>AEF Numerator</t>
  </si>
  <si>
    <t>AEF Denominator</t>
  </si>
  <si>
    <t>Cin_Passive</t>
  </si>
  <si>
    <t>Rdamp_Passive</t>
  </si>
  <si>
    <t>Cdamp_Pssv</t>
  </si>
  <si>
    <t>Cdamp_Passive</t>
  </si>
  <si>
    <t>Conducted EMC at Fsw</t>
  </si>
  <si>
    <t>Fsw Conducted EMC</t>
  </si>
  <si>
    <t>dB</t>
  </si>
  <si>
    <t xml:space="preserve">                           LM5149-Q1 Synchronous Buck Controller Design Tool</t>
  </si>
  <si>
    <t>Passive Cf</t>
  </si>
  <si>
    <t>Suggested Cdamp</t>
  </si>
  <si>
    <t>Suggested Rdamp</t>
  </si>
  <si>
    <t>Chosen Inductor</t>
  </si>
  <si>
    <t>Chosen Cdamp</t>
  </si>
  <si>
    <t>Chosen Rdamp</t>
  </si>
  <si>
    <t>Suggested Inductor</t>
  </si>
  <si>
    <t>Choose Filter</t>
  </si>
  <si>
    <t>AEF Filter Inductor</t>
  </si>
  <si>
    <t>Cdamp</t>
  </si>
  <si>
    <t>Rdamp</t>
  </si>
  <si>
    <t>(kHz)</t>
  </si>
  <si>
    <t>SetVout_IntComp_nAEF</t>
  </si>
  <si>
    <t>SetVout_ExtComp_AEF</t>
  </si>
  <si>
    <t>SetVout_IntComp_AEF</t>
  </si>
  <si>
    <t>SetVout_ExtComp_nAEF</t>
  </si>
  <si>
    <t>AdjVout_IntComp_nAEF</t>
  </si>
  <si>
    <t>AdjVout_IntComp_AEF</t>
  </si>
  <si>
    <t>AdjVout_ExtComp_nAEF</t>
  </si>
  <si>
    <t>AdjVout_ExtComp_AEF</t>
  </si>
  <si>
    <t>12V</t>
  </si>
  <si>
    <t>Cinj</t>
  </si>
  <si>
    <t>Internal Values</t>
  </si>
  <si>
    <t>Internal Comp Crossover</t>
  </si>
  <si>
    <t>Error Amp Pole Frequency</t>
  </si>
  <si>
    <t>RT resistor to AGND</t>
  </si>
  <si>
    <t>Rd</t>
  </si>
  <si>
    <t>Feedback Gain</t>
  </si>
  <si>
    <t>p1p2</t>
  </si>
  <si>
    <t>Feedback natural frequencies</t>
  </si>
  <si>
    <t>wff</t>
  </si>
  <si>
    <t>wfbt</t>
  </si>
  <si>
    <t>wfbb</t>
  </si>
  <si>
    <t>w1</t>
  </si>
  <si>
    <t>Rff</t>
  </si>
  <si>
    <t>Cff</t>
  </si>
  <si>
    <t>Cfb</t>
  </si>
  <si>
    <t>Cfb*(Rff+RFBT)/(Rff*RFBT))</t>
  </si>
  <si>
    <t>zterm1</t>
  </si>
  <si>
    <t>pterm3</t>
  </si>
  <si>
    <t>pterm4</t>
  </si>
  <si>
    <t>Afbr</t>
  </si>
  <si>
    <t>wfft</t>
  </si>
  <si>
    <t>dBµV</t>
  </si>
  <si>
    <t>Chooses CISPR conducted limit 35 at 2.1MHz and 50 at 440kHz</t>
  </si>
  <si>
    <t>Margin of attenuation req</t>
  </si>
  <si>
    <t>assume 40db/decade drop and set frequency based on attenuation</t>
  </si>
  <si>
    <t>user input</t>
  </si>
  <si>
    <t>AEF Comp network &amp; sense is specifically defined at 2.2MHz at 440kHz</t>
  </si>
  <si>
    <t>n should be 2 or 3</t>
  </si>
  <si>
    <t>PFM</t>
  </si>
  <si>
    <t>FPWM/PFM</t>
  </si>
  <si>
    <r>
      <t>Configuration Resistor, R</t>
    </r>
    <r>
      <rPr>
        <vertAlign val="subscript"/>
        <sz val="10"/>
        <rFont val="Arial"/>
        <family val="2"/>
      </rPr>
      <t>CNFG</t>
    </r>
  </si>
  <si>
    <t>Enable Hysteresis Current</t>
  </si>
  <si>
    <t>10 µA Hysteresis Current</t>
  </si>
  <si>
    <t>Turn ON Voltage</t>
  </si>
  <si>
    <t>Hysteresis Voltage</t>
  </si>
  <si>
    <t>Upper FB resistor</t>
  </si>
  <si>
    <t>Lower FB resister</t>
  </si>
  <si>
    <t>Standard upper FB resistor</t>
  </si>
  <si>
    <t>Standard lower FB resistor</t>
  </si>
  <si>
    <t>Rent</t>
  </si>
  <si>
    <t>Renb</t>
  </si>
  <si>
    <t>UVLO Divider</t>
  </si>
  <si>
    <t>No UVLO Divider</t>
  </si>
  <si>
    <t>UVLO_TYPE</t>
  </si>
  <si>
    <t>RENT</t>
  </si>
  <si>
    <t>RENB</t>
  </si>
  <si>
    <t>Passive EMI at Fsw</t>
  </si>
  <si>
    <t>AEF EMI at Fsw</t>
  </si>
  <si>
    <t>0.1-10</t>
  </si>
  <si>
    <t>AEF</t>
  </si>
  <si>
    <t>Lfilter Passive</t>
  </si>
  <si>
    <t>Cfilter Passive</t>
  </si>
  <si>
    <t>Cdamp passive</t>
  </si>
  <si>
    <t>Rdamp passive</t>
  </si>
  <si>
    <t>1-10</t>
  </si>
  <si>
    <t>AEFCompare</t>
  </si>
  <si>
    <t>AEF comparison Values</t>
  </si>
  <si>
    <t>AEF Attenuation at Fsw</t>
  </si>
  <si>
    <t>Passive Attenuation at Fsw</t>
  </si>
  <si>
    <r>
      <t>C</t>
    </r>
    <r>
      <rPr>
        <vertAlign val="subscript"/>
        <sz val="10"/>
        <rFont val="Arial"/>
        <family val="2"/>
      </rPr>
      <t>DAMP</t>
    </r>
  </si>
  <si>
    <r>
      <t>R</t>
    </r>
    <r>
      <rPr>
        <vertAlign val="subscript"/>
        <sz val="10"/>
        <rFont val="Arial"/>
        <family val="2"/>
      </rPr>
      <t>DAMP</t>
    </r>
  </si>
  <si>
    <t>Slope comp</t>
  </si>
  <si>
    <t>RCNFG</t>
  </si>
  <si>
    <t>VCCX</t>
  </si>
  <si>
    <r>
      <t>Upper Enable Resistor, R</t>
    </r>
    <r>
      <rPr>
        <vertAlign val="subscript"/>
        <sz val="10"/>
        <rFont val="Arial"/>
        <family val="2"/>
      </rPr>
      <t>UV1</t>
    </r>
  </si>
  <si>
    <r>
      <t>Lower Enable Resistor, R</t>
    </r>
    <r>
      <rPr>
        <vertAlign val="subscript"/>
        <sz val="10"/>
        <rFont val="Arial"/>
        <family val="2"/>
      </rPr>
      <t>UV2</t>
    </r>
  </si>
  <si>
    <r>
      <t>Design tab - L</t>
    </r>
    <r>
      <rPr>
        <vertAlign val="subscript"/>
        <sz val="10"/>
        <color theme="1"/>
        <rFont val="Arial"/>
        <family val="2"/>
      </rPr>
      <t>AEF</t>
    </r>
  </si>
  <si>
    <r>
      <t>Design tab - C</t>
    </r>
    <r>
      <rPr>
        <vertAlign val="subscript"/>
        <sz val="10"/>
        <rFont val="Arial"/>
        <family val="2"/>
      </rPr>
      <t>INJ</t>
    </r>
  </si>
  <si>
    <r>
      <t>Design tab - C</t>
    </r>
    <r>
      <rPr>
        <vertAlign val="subscript"/>
        <sz val="10"/>
        <rFont val="Arial"/>
        <family val="2"/>
      </rPr>
      <t>DAMP</t>
    </r>
  </si>
  <si>
    <r>
      <t>Design tab - R</t>
    </r>
    <r>
      <rPr>
        <vertAlign val="subscript"/>
        <sz val="10"/>
        <rFont val="Arial"/>
        <family val="2"/>
      </rPr>
      <t>DAMP</t>
    </r>
  </si>
  <si>
    <r>
      <t>L</t>
    </r>
    <r>
      <rPr>
        <vertAlign val="subscript"/>
        <sz val="10"/>
        <color theme="1"/>
        <rFont val="Arial"/>
        <family val="2"/>
      </rPr>
      <t>AEF</t>
    </r>
  </si>
  <si>
    <r>
      <t>C</t>
    </r>
    <r>
      <rPr>
        <vertAlign val="subscript"/>
        <sz val="10"/>
        <rFont val="Arial"/>
        <family val="2"/>
      </rPr>
      <t>INJ</t>
    </r>
  </si>
  <si>
    <r>
      <t>Chosen L</t>
    </r>
    <r>
      <rPr>
        <vertAlign val="subscript"/>
        <sz val="10"/>
        <color theme="1"/>
        <rFont val="Arial"/>
        <family val="2"/>
      </rPr>
      <t>IN</t>
    </r>
  </si>
  <si>
    <r>
      <t>Chosen R</t>
    </r>
    <r>
      <rPr>
        <vertAlign val="subscript"/>
        <sz val="10"/>
        <rFont val="Arial"/>
        <family val="2"/>
      </rPr>
      <t>DAMP</t>
    </r>
  </si>
  <si>
    <r>
      <t>Chosen C</t>
    </r>
    <r>
      <rPr>
        <vertAlign val="subscript"/>
        <sz val="10"/>
        <rFont val="Arial"/>
        <family val="2"/>
      </rPr>
      <t>DAMP</t>
    </r>
  </si>
  <si>
    <r>
      <t>Chosen C</t>
    </r>
    <r>
      <rPr>
        <vertAlign val="subscript"/>
        <sz val="10"/>
        <rFont val="Arial"/>
        <family val="2"/>
      </rPr>
      <t>F</t>
    </r>
  </si>
  <si>
    <r>
      <t>Suggested R</t>
    </r>
    <r>
      <rPr>
        <vertAlign val="subscript"/>
        <sz val="10"/>
        <rFont val="Arial"/>
        <family val="2"/>
      </rPr>
      <t>DAMP</t>
    </r>
  </si>
  <si>
    <r>
      <t>Suggested C</t>
    </r>
    <r>
      <rPr>
        <vertAlign val="subscript"/>
        <sz val="10"/>
        <rFont val="Arial"/>
        <family val="2"/>
      </rPr>
      <t>DAMP</t>
    </r>
  </si>
  <si>
    <r>
      <t>Suggested C</t>
    </r>
    <r>
      <rPr>
        <vertAlign val="subscript"/>
        <sz val="10"/>
        <rFont val="Arial"/>
        <family val="2"/>
      </rPr>
      <t>F</t>
    </r>
  </si>
  <si>
    <r>
      <t>Suggested L</t>
    </r>
    <r>
      <rPr>
        <vertAlign val="subscript"/>
        <sz val="10"/>
        <color theme="1"/>
        <rFont val="Arial"/>
        <family val="2"/>
      </rPr>
      <t>IN</t>
    </r>
    <r>
      <rPr>
        <sz val="10"/>
        <color theme="1"/>
        <rFont val="Arial"/>
        <family val="2"/>
      </rPr>
      <t xml:space="preserve"> Inductor</t>
    </r>
  </si>
  <si>
    <t>Rd_AEF</t>
  </si>
  <si>
    <t>Cinmin_Vinmin</t>
  </si>
  <si>
    <t>Vinripple2_Vinmin</t>
  </si>
  <si>
    <t>Cinmin_Vinnom</t>
  </si>
  <si>
    <t>Vinripple2_Vinnom</t>
  </si>
  <si>
    <t xml:space="preserve">                           LM(2)5149-Q1 Synchronous Buck Controller Design Tool</t>
  </si>
  <si>
    <t>VIN Ripple at Fsw</t>
  </si>
  <si>
    <t xml:space="preserve"> LM25149-Q1 Quickstart Design Tool</t>
  </si>
  <si>
    <t>LM25149-Q1EVM-2100 PCB Layout</t>
  </si>
  <si>
    <t>IC</t>
  </si>
  <si>
    <t>Step 5: Input Capacitors</t>
  </si>
  <si>
    <t xml:space="preserve">                      LM(2)5148/-Q1 Synchronous Buck Controller Design Tool</t>
  </si>
  <si>
    <r>
      <t>mV</t>
    </r>
    <r>
      <rPr>
        <b/>
        <vertAlign val="subscript"/>
        <sz val="10"/>
        <rFont val="Arial"/>
        <family val="2"/>
      </rPr>
      <t>PK=PK</t>
    </r>
  </si>
  <si>
    <r>
      <t>mV</t>
    </r>
    <r>
      <rPr>
        <vertAlign val="subscript"/>
        <sz val="10"/>
        <rFont val="Arial"/>
        <family val="2"/>
      </rPr>
      <t>PK-PK</t>
    </r>
  </si>
  <si>
    <r>
      <t>A</t>
    </r>
    <r>
      <rPr>
        <vertAlign val="subscript"/>
        <sz val="10"/>
        <rFont val="Arial"/>
        <family val="2"/>
      </rPr>
      <t>RMS</t>
    </r>
  </si>
  <si>
    <r>
      <t>mV</t>
    </r>
    <r>
      <rPr>
        <b/>
        <vertAlign val="subscript"/>
        <sz val="10"/>
        <rFont val="Arial"/>
        <family val="2"/>
      </rPr>
      <t>PK-PK</t>
    </r>
  </si>
  <si>
    <t>Input Voltage UVLO Turn On</t>
  </si>
  <si>
    <t>Input Voltage UVLO Turn Off</t>
  </si>
  <si>
    <t>Output Setting</t>
  </si>
  <si>
    <t>DRSS Enabled</t>
  </si>
  <si>
    <t>DRSS Disabled</t>
  </si>
  <si>
    <t>DRSS Yes/No</t>
  </si>
  <si>
    <t>LM5148</t>
  </si>
  <si>
    <t>LM5148-Q1</t>
  </si>
  <si>
    <t>LM25148</t>
  </si>
  <si>
    <t>LM25148-Q1</t>
  </si>
  <si>
    <t>VARIANT</t>
  </si>
  <si>
    <t>VIN-MAX</t>
  </si>
  <si>
    <t>VOUT-MAX</t>
  </si>
  <si>
    <t>Core loss</t>
  </si>
  <si>
    <t xml:space="preserve">   ** Tie PFM to VDDA for PFM, AGND for FPWM **</t>
  </si>
  <si>
    <r>
      <t>C</t>
    </r>
    <r>
      <rPr>
        <vertAlign val="subscript"/>
        <sz val="10"/>
        <rFont val="Arial"/>
        <family val="2"/>
      </rPr>
      <t>COMP</t>
    </r>
  </si>
  <si>
    <r>
      <t>C</t>
    </r>
    <r>
      <rPr>
        <vertAlign val="subscript"/>
        <sz val="10"/>
        <rFont val="Arial"/>
        <family val="2"/>
      </rPr>
      <t>HF</t>
    </r>
  </si>
  <si>
    <r>
      <t>R</t>
    </r>
    <r>
      <rPr>
        <vertAlign val="subscript"/>
        <sz val="10"/>
        <rFont val="Arial"/>
        <family val="2"/>
      </rPr>
      <t>COMP</t>
    </r>
  </si>
  <si>
    <r>
      <t>R</t>
    </r>
    <r>
      <rPr>
        <vertAlign val="subscript"/>
        <sz val="10"/>
        <rFont val="Arial"/>
        <family val="2"/>
      </rPr>
      <t>PG</t>
    </r>
  </si>
  <si>
    <t>CinEsrMax_Vinmin</t>
  </si>
  <si>
    <t>'852, '824</t>
  </si>
  <si>
    <t>Step 6: Precision Enable, DRSS, FPWM / PFM</t>
  </si>
  <si>
    <t>Inductance for Ideal Slope Comp</t>
  </si>
  <si>
    <r>
      <t>Estimate Core Loss at V</t>
    </r>
    <r>
      <rPr>
        <b/>
        <vertAlign val="subscript"/>
        <sz val="10"/>
        <rFont val="Arial"/>
        <family val="2"/>
      </rPr>
      <t>IN(nom)</t>
    </r>
  </si>
  <si>
    <r>
      <t>Shunt Resistance, R</t>
    </r>
    <r>
      <rPr>
        <b/>
        <vertAlign val="subscript"/>
        <sz val="10"/>
        <color theme="1"/>
        <rFont val="Arial"/>
        <family val="2"/>
      </rPr>
      <t>S</t>
    </r>
  </si>
  <si>
    <t>Recommended Shunt Resistance</t>
  </si>
  <si>
    <t>Max Power Loss in Shunt</t>
  </si>
  <si>
    <r>
      <t xml:space="preserve">** Effective input and output capacitances should be appropriately </t>
    </r>
    <r>
      <rPr>
        <u/>
        <sz val="10"/>
        <color rgb="FFFF0000"/>
        <rFont val="Arial"/>
        <family val="2"/>
      </rPr>
      <t>derated</t>
    </r>
    <r>
      <rPr>
        <sz val="10"/>
        <rFont val="Arial"/>
        <family val="2"/>
      </rPr>
      <t xml:space="preserve"> for applied voltage and temperature, particularly with ceramics **</t>
    </r>
  </si>
  <si>
    <t>High-Efficiency Synchronous Buck Regulator BOM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</si>
</sst>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3" formatCode="_(* #,##0.00_);_(* \(#,##0.00\);_(* &quot;-&quot;??_);_(@_)"/>
    <numFmt numFmtId="164" formatCode="0.000000"/>
    <numFmt numFmtId="165" formatCode="0.00000"/>
    <numFmt numFmtId="166" formatCode="0.0000"/>
    <numFmt numFmtId="167" formatCode="0.000"/>
    <numFmt numFmtId="168" formatCode="0.0"/>
    <numFmt numFmtId="169" formatCode="0.000E+00"/>
    <numFmt numFmtId="170" formatCode="0.00000000"/>
    <numFmt numFmtId="171" formatCode="#0.0#"/>
    <numFmt numFmtId="172" formatCode="General&quot;nF&quot;"/>
    <numFmt numFmtId="173" formatCode="General&quot;k&quot;"/>
    <numFmt numFmtId="174" formatCode="General&quot;pF&quot;"/>
    <numFmt numFmtId="175" formatCode="General&quot;µF&quot;"/>
    <numFmt numFmtId="176" formatCode="General&quot;µH&quot;"/>
    <numFmt numFmtId="177" formatCode="&quot;Inductor, &quot;General&quot;-µH, 10%&quot;"/>
    <numFmt numFmtId="178" formatCode="0.0%"/>
    <numFmt numFmtId="179" formatCode="0.0E+00"/>
    <numFmt numFmtId="180" formatCode="General&quot;m&quot;"/>
    <numFmt numFmtId="181" formatCode="0.0.E+00"/>
    <numFmt numFmtId="182" formatCode="&quot;MOSFET, N-CH, 40V, &quot;General&quot;mΩ&quot;"/>
    <numFmt numFmtId="183" formatCode="&quot;Capacitor, Ceramic, &quot;General&quot;µF, 25V, X7R, 20%&quot;"/>
    <numFmt numFmtId="184" formatCode="&quot;Capacitor, Ceramic, &quot;General&quot;nF, 16V, X7R, 10%&quot;"/>
    <numFmt numFmtId="185" formatCode="&quot;Capacitor, Ceramic, &quot;General&quot;pF, 50V, NP0, 5%&quot;"/>
    <numFmt numFmtId="186" formatCode="&quot;Capacitor, Ceramic, &quot;General&quot;µF, 50V, X7R, 20%&quot;"/>
    <numFmt numFmtId="187" formatCode="&quot;Capacitor, Ceramic, &quot;General&quot;µF, 10V, X7R, 20%&quot;"/>
    <numFmt numFmtId="188" formatCode="&quot;Resistor, Chip, &quot;General&quot;kΩ, 1/16W, 1%&quot;"/>
    <numFmt numFmtId="189" formatCode="&quot;Resistor, Chip, &quot;General&quot;Ω, 1/16W, 1%&quot;"/>
    <numFmt numFmtId="190" formatCode="&quot;Resistor, Chip, &quot;General&quot;mΩ, 2W, 1%&quot;"/>
  </numFmts>
  <fonts count="95" x14ac:knownFonts="1">
    <font>
      <sz val="10"/>
      <name val="Arial"/>
    </font>
    <font>
      <sz val="11"/>
      <color theme="1"/>
      <name val="Calibri"/>
      <family val="2"/>
      <scheme val="minor"/>
    </font>
    <font>
      <sz val="10"/>
      <name val="Arial"/>
      <family val="2"/>
    </font>
    <font>
      <b/>
      <sz val="10"/>
      <name val="Arial"/>
      <family val="2"/>
    </font>
    <font>
      <b/>
      <sz val="22"/>
      <color indexed="44"/>
      <name val="Arial"/>
      <family val="2"/>
    </font>
    <font>
      <sz val="8"/>
      <name val="Arial"/>
      <family val="2"/>
    </font>
    <font>
      <i/>
      <sz val="10"/>
      <name val="Arial"/>
      <family val="2"/>
    </font>
    <font>
      <b/>
      <i/>
      <sz val="10"/>
      <name val="Arial"/>
      <family val="2"/>
    </font>
    <font>
      <sz val="10"/>
      <name val="Arial"/>
      <family val="2"/>
    </font>
    <font>
      <vertAlign val="subscript"/>
      <sz val="10"/>
      <name val="Arial"/>
      <family val="2"/>
    </font>
    <font>
      <u/>
      <sz val="10"/>
      <color indexed="12"/>
      <name val="Arial"/>
      <family val="2"/>
    </font>
    <font>
      <b/>
      <sz val="16"/>
      <name val="Arial"/>
      <family val="2"/>
    </font>
    <font>
      <sz val="10"/>
      <color indexed="44"/>
      <name val="Arial"/>
      <family val="2"/>
    </font>
    <font>
      <b/>
      <sz val="28"/>
      <color indexed="44"/>
      <name val="Arial"/>
      <family val="2"/>
    </font>
    <font>
      <b/>
      <sz val="10"/>
      <color indexed="44"/>
      <name val="Arial"/>
      <family val="2"/>
    </font>
    <font>
      <sz val="10"/>
      <color indexed="8"/>
      <name val="Arial"/>
      <family val="2"/>
    </font>
    <font>
      <b/>
      <sz val="24"/>
      <color indexed="44"/>
      <name val="Arial"/>
      <family val="2"/>
    </font>
    <font>
      <sz val="10"/>
      <name val="Calibri"/>
      <family val="2"/>
    </font>
    <font>
      <b/>
      <sz val="10"/>
      <name val="Calibri"/>
      <family val="2"/>
    </font>
    <font>
      <sz val="10"/>
      <color indexed="55"/>
      <name val="Calibri"/>
      <family val="2"/>
    </font>
    <font>
      <b/>
      <sz val="10"/>
      <color indexed="9"/>
      <name val="Calibri"/>
      <family val="2"/>
    </font>
    <font>
      <b/>
      <sz val="12"/>
      <color indexed="48"/>
      <name val="Arial"/>
      <family val="2"/>
    </font>
    <font>
      <b/>
      <sz val="12"/>
      <color indexed="12"/>
      <name val="Arial"/>
      <family val="2"/>
    </font>
    <font>
      <sz val="10"/>
      <color indexed="23"/>
      <name val="Calibri"/>
      <family val="2"/>
    </font>
    <font>
      <b/>
      <sz val="12"/>
      <color indexed="9"/>
      <name val="Calibri"/>
      <family val="2"/>
    </font>
    <font>
      <sz val="12"/>
      <name val="Calibri"/>
      <family val="2"/>
    </font>
    <font>
      <b/>
      <sz val="22"/>
      <color indexed="9"/>
      <name val="Calibri"/>
      <family val="2"/>
    </font>
    <font>
      <b/>
      <sz val="10"/>
      <color indexed="13"/>
      <name val="Calibri"/>
      <family val="2"/>
    </font>
    <font>
      <b/>
      <u/>
      <sz val="10"/>
      <color indexed="10"/>
      <name val="Arial"/>
      <family val="2"/>
    </font>
    <font>
      <sz val="10"/>
      <color indexed="56"/>
      <name val="Calibri"/>
      <family val="2"/>
    </font>
    <font>
      <sz val="10"/>
      <color indexed="8"/>
      <name val="Arial"/>
      <family val="2"/>
    </font>
    <font>
      <b/>
      <sz val="14"/>
      <color indexed="9"/>
      <name val="Calibri"/>
      <family val="2"/>
    </font>
    <font>
      <sz val="11"/>
      <color indexed="81"/>
      <name val="Tahoma"/>
      <family val="2"/>
    </font>
    <font>
      <b/>
      <i/>
      <sz val="14"/>
      <color indexed="12"/>
      <name val="Calibri"/>
      <family val="2"/>
    </font>
    <font>
      <b/>
      <sz val="9"/>
      <color indexed="81"/>
      <name val="Tahoma"/>
      <family val="2"/>
    </font>
    <font>
      <b/>
      <sz val="10"/>
      <color indexed="81"/>
      <name val="Tahoma"/>
      <family val="2"/>
    </font>
    <font>
      <sz val="9"/>
      <color indexed="81"/>
      <name val="Tahoma"/>
      <family val="2"/>
    </font>
    <font>
      <b/>
      <u/>
      <sz val="9"/>
      <color indexed="81"/>
      <name val="Tahoma"/>
      <family val="2"/>
    </font>
    <font>
      <sz val="11"/>
      <color indexed="10"/>
      <name val="Tahoma"/>
      <family val="2"/>
    </font>
    <font>
      <b/>
      <sz val="9"/>
      <color indexed="10"/>
      <name val="Tahoma"/>
      <family val="2"/>
    </font>
    <font>
      <sz val="10"/>
      <color indexed="81"/>
      <name val="Tahoma"/>
      <family val="2"/>
    </font>
    <font>
      <sz val="9"/>
      <color indexed="39"/>
      <name val="Tahoma"/>
      <family val="2"/>
    </font>
    <font>
      <b/>
      <sz val="9"/>
      <color indexed="39"/>
      <name val="Tahoma"/>
      <family val="2"/>
    </font>
    <font>
      <b/>
      <vertAlign val="subscript"/>
      <sz val="9"/>
      <color indexed="81"/>
      <name val="Tahoma"/>
      <family val="2"/>
    </font>
    <font>
      <vertAlign val="subscript"/>
      <sz val="9"/>
      <color indexed="81"/>
      <name val="Tahoma"/>
      <family val="2"/>
    </font>
    <font>
      <b/>
      <vertAlign val="subscript"/>
      <sz val="10"/>
      <color indexed="81"/>
      <name val="Tahoma"/>
      <family val="2"/>
    </font>
    <font>
      <vertAlign val="subscript"/>
      <sz val="10"/>
      <color indexed="81"/>
      <name val="Tahoma"/>
      <family val="2"/>
    </font>
    <font>
      <sz val="36"/>
      <color rgb="FFFF0000"/>
      <name val="Arial"/>
      <family val="2"/>
    </font>
    <font>
      <b/>
      <u/>
      <sz val="11"/>
      <color indexed="10"/>
      <name val="Tahoma"/>
      <family val="2"/>
    </font>
    <font>
      <sz val="32"/>
      <color theme="0"/>
      <name val="Arial"/>
      <family val="2"/>
    </font>
    <font>
      <sz val="16"/>
      <color theme="0"/>
      <name val="Arial"/>
      <family val="2"/>
    </font>
    <font>
      <b/>
      <vertAlign val="subscript"/>
      <sz val="10"/>
      <name val="Arial"/>
      <family val="2"/>
    </font>
    <font>
      <sz val="10"/>
      <color indexed="23"/>
      <name val="Arial"/>
      <family val="2"/>
    </font>
    <font>
      <sz val="10"/>
      <color indexed="55"/>
      <name val="Arial"/>
      <family val="2"/>
    </font>
    <font>
      <b/>
      <i/>
      <sz val="10"/>
      <color indexed="55"/>
      <name val="Arial"/>
      <family val="2"/>
    </font>
    <font>
      <b/>
      <i/>
      <sz val="14"/>
      <color indexed="12"/>
      <name val="Arial"/>
      <family val="2"/>
    </font>
    <font>
      <b/>
      <sz val="10"/>
      <color indexed="8"/>
      <name val="Arial"/>
      <family val="2"/>
    </font>
    <font>
      <b/>
      <sz val="14"/>
      <color indexed="9"/>
      <name val="Arial"/>
      <family val="2"/>
    </font>
    <font>
      <b/>
      <sz val="10"/>
      <color rgb="FFFF0000"/>
      <name val="Arial"/>
      <family val="2"/>
    </font>
    <font>
      <sz val="12"/>
      <name val="Arial"/>
      <family val="2"/>
    </font>
    <font>
      <sz val="10"/>
      <color theme="1"/>
      <name val="Arial"/>
      <family val="2"/>
    </font>
    <font>
      <b/>
      <sz val="10"/>
      <color theme="1"/>
      <name val="Arial"/>
      <family val="2"/>
    </font>
    <font>
      <b/>
      <vertAlign val="subscript"/>
      <sz val="10"/>
      <color theme="1"/>
      <name val="Arial"/>
      <family val="2"/>
    </font>
    <font>
      <b/>
      <sz val="10"/>
      <color rgb="FF0000FF"/>
      <name val="Arial"/>
      <family val="2"/>
    </font>
    <font>
      <sz val="10"/>
      <color rgb="FF0000FF"/>
      <name val="Arial"/>
      <family val="2"/>
    </font>
    <font>
      <sz val="10"/>
      <color rgb="FF0000FF"/>
      <name val="Calibri"/>
      <family val="2"/>
    </font>
    <font>
      <b/>
      <vertAlign val="subscript"/>
      <sz val="10"/>
      <color rgb="FF0000FF"/>
      <name val="Arial"/>
      <family val="2"/>
    </font>
    <font>
      <b/>
      <sz val="12"/>
      <color rgb="FF003366"/>
      <name val="Calibri"/>
      <family val="2"/>
    </font>
    <font>
      <sz val="10"/>
      <name val="Symbol"/>
      <family val="1"/>
      <charset val="2"/>
    </font>
    <font>
      <b/>
      <sz val="10"/>
      <color indexed="9"/>
      <name val="Arial"/>
      <family val="2"/>
    </font>
    <font>
      <b/>
      <sz val="12"/>
      <color rgb="FF0000FF"/>
      <name val="Arial"/>
      <family val="2"/>
    </font>
    <font>
      <b/>
      <u/>
      <sz val="10"/>
      <name val="Arial"/>
      <family val="2"/>
    </font>
    <font>
      <u/>
      <sz val="9"/>
      <color indexed="12"/>
      <name val="Tahoma"/>
      <family val="2"/>
    </font>
    <font>
      <vertAlign val="subscript"/>
      <sz val="10"/>
      <color theme="1"/>
      <name val="Arial"/>
      <family val="2"/>
    </font>
    <font>
      <b/>
      <sz val="11"/>
      <name val="Arial"/>
      <family val="2"/>
    </font>
    <font>
      <sz val="10"/>
      <color rgb="FFFF0000"/>
      <name val="Arial"/>
      <family val="2"/>
    </font>
    <font>
      <vertAlign val="subscript"/>
      <sz val="10"/>
      <color rgb="FFFF0000"/>
      <name val="Arial"/>
      <family val="2"/>
    </font>
    <font>
      <b/>
      <sz val="10"/>
      <name val="Symbol"/>
      <family val="1"/>
      <charset val="2"/>
    </font>
    <font>
      <u/>
      <sz val="10"/>
      <color theme="0" tint="-0.499984740745262"/>
      <name val="Arial"/>
      <family val="2"/>
    </font>
    <font>
      <b/>
      <sz val="12"/>
      <color indexed="10"/>
      <name val="Tahoma"/>
      <family val="2"/>
    </font>
    <font>
      <b/>
      <sz val="10"/>
      <color rgb="FFC00000"/>
      <name val="Arial"/>
      <family val="2"/>
    </font>
    <font>
      <b/>
      <vertAlign val="subscript"/>
      <sz val="9"/>
      <color indexed="10"/>
      <name val="Tahoma"/>
      <family val="2"/>
    </font>
    <font>
      <b/>
      <sz val="9"/>
      <color indexed="14"/>
      <name val="Tahoma"/>
      <family val="2"/>
    </font>
    <font>
      <b/>
      <sz val="9"/>
      <color rgb="FF000000"/>
      <name val="Arial"/>
      <family val="2"/>
    </font>
    <font>
      <b/>
      <sz val="10"/>
      <color rgb="FFCC00FF"/>
      <name val="Arial"/>
      <family val="2"/>
    </font>
    <font>
      <sz val="10"/>
      <color theme="0"/>
      <name val="Arial"/>
      <family val="2"/>
    </font>
    <font>
      <sz val="10"/>
      <color rgb="FFE8FCFE"/>
      <name val="Arial"/>
      <family val="2"/>
    </font>
    <font>
      <sz val="11"/>
      <name val="Calibri"/>
      <family val="2"/>
    </font>
    <font>
      <b/>
      <sz val="10"/>
      <color theme="0"/>
      <name val="Arial"/>
      <family val="2"/>
    </font>
    <font>
      <sz val="14"/>
      <name val="Calibri"/>
      <family val="2"/>
    </font>
    <font>
      <sz val="11"/>
      <color rgb="FF9C0006"/>
      <name val="Calibri"/>
      <family val="2"/>
      <scheme val="minor"/>
    </font>
    <font>
      <b/>
      <sz val="12"/>
      <name val="Arial"/>
      <family val="2"/>
    </font>
    <font>
      <b/>
      <sz val="14"/>
      <name val="Arial"/>
      <family val="2"/>
    </font>
    <font>
      <b/>
      <sz val="12"/>
      <color theme="0"/>
      <name val="Arial"/>
      <family val="2"/>
    </font>
    <font>
      <u/>
      <sz val="10"/>
      <color rgb="FFFF0000"/>
      <name val="Arial"/>
      <family val="2"/>
    </font>
  </fonts>
  <fills count="29">
    <fill>
      <patternFill patternType="none"/>
    </fill>
    <fill>
      <patternFill patternType="gray125"/>
    </fill>
    <fill>
      <patternFill patternType="solid">
        <fgColor indexed="44"/>
        <bgColor indexed="64"/>
      </patternFill>
    </fill>
    <fill>
      <patternFill patternType="solid">
        <fgColor indexed="8"/>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46"/>
        <bgColor indexed="64"/>
      </patternFill>
    </fill>
    <fill>
      <patternFill patternType="solid">
        <fgColor indexed="42"/>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indexed="52"/>
        <bgColor indexed="64"/>
      </patternFill>
    </fill>
    <fill>
      <patternFill patternType="solid">
        <fgColor indexed="50"/>
        <bgColor indexed="64"/>
      </patternFill>
    </fill>
    <fill>
      <patternFill patternType="solid">
        <fgColor indexed="47"/>
        <bgColor indexed="64"/>
      </patternFill>
    </fill>
    <fill>
      <patternFill patternType="solid">
        <fgColor indexed="56"/>
        <bgColor indexed="64"/>
      </patternFill>
    </fill>
    <fill>
      <patternFill patternType="solid">
        <fgColor theme="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indexed="43"/>
        <bgColor indexed="64"/>
      </patternFill>
    </fill>
    <fill>
      <patternFill patternType="solid">
        <fgColor rgb="FFFFFF99"/>
        <bgColor indexed="64"/>
      </patternFill>
    </fill>
    <fill>
      <patternFill patternType="solid">
        <fgColor rgb="FFFF9900"/>
        <bgColor indexed="64"/>
      </patternFill>
    </fill>
    <fill>
      <patternFill patternType="solid">
        <fgColor rgb="FF99CC00"/>
        <bgColor indexed="64"/>
      </patternFill>
    </fill>
    <fill>
      <patternFill patternType="solid">
        <fgColor rgb="FFC0C0C0"/>
        <bgColor indexed="64"/>
      </patternFill>
    </fill>
    <fill>
      <patternFill patternType="solid">
        <fgColor theme="0" tint="-0.499984740745262"/>
        <bgColor indexed="64"/>
      </patternFill>
    </fill>
    <fill>
      <patternFill patternType="solid">
        <fgColor rgb="FFFFFFCC"/>
        <bgColor indexed="64"/>
      </patternFill>
    </fill>
    <fill>
      <patternFill patternType="solid">
        <fgColor rgb="FFFFC7CE"/>
      </patternFill>
    </fill>
    <fill>
      <patternFill patternType="solid">
        <fgColor theme="2"/>
        <bgColor indexed="64"/>
      </patternFill>
    </fill>
  </fills>
  <borders count="8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55"/>
      </top>
      <bottom/>
      <diagonal/>
    </border>
    <border>
      <left/>
      <right/>
      <top/>
      <bottom style="medium">
        <color indexed="55"/>
      </bottom>
      <diagonal/>
    </border>
    <border>
      <left/>
      <right style="medium">
        <color indexed="55"/>
      </right>
      <top style="medium">
        <color indexed="55"/>
      </top>
      <bottom/>
      <diagonal/>
    </border>
    <border>
      <left/>
      <right style="medium">
        <color indexed="55"/>
      </right>
      <top/>
      <bottom/>
      <diagonal/>
    </border>
    <border>
      <left/>
      <right style="medium">
        <color indexed="55"/>
      </right>
      <top/>
      <bottom style="medium">
        <color indexed="55"/>
      </bottom>
      <diagonal/>
    </border>
    <border>
      <left style="medium">
        <color indexed="55"/>
      </left>
      <right/>
      <top style="medium">
        <color indexed="55"/>
      </top>
      <bottom/>
      <diagonal/>
    </border>
    <border>
      <left style="medium">
        <color indexed="55"/>
      </left>
      <right/>
      <top/>
      <bottom/>
      <diagonal/>
    </border>
    <border>
      <left style="medium">
        <color indexed="55"/>
      </left>
      <right/>
      <top/>
      <bottom style="medium">
        <color indexed="55"/>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indexed="64"/>
      </top>
      <bottom style="medium">
        <color indexed="64"/>
      </bottom>
      <diagonal/>
    </border>
    <border>
      <left/>
      <right/>
      <top style="medium">
        <color auto="1"/>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55"/>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medium">
        <color auto="1"/>
      </left>
      <right/>
      <top/>
      <bottom/>
      <diagonal/>
    </border>
    <border>
      <left/>
      <right/>
      <top style="medium">
        <color auto="1"/>
      </top>
      <bottom style="medium">
        <color auto="1"/>
      </bottom>
      <diagonal/>
    </border>
    <border>
      <left/>
      <right/>
      <top style="thin">
        <color indexed="64"/>
      </top>
      <bottom style="medium">
        <color indexed="64"/>
      </bottom>
      <diagonal/>
    </border>
    <border>
      <left/>
      <right style="medium">
        <color indexed="64"/>
      </right>
      <top style="thin">
        <color indexed="64"/>
      </top>
      <bottom/>
      <diagonal/>
    </border>
  </borders>
  <cellStyleXfs count="7">
    <xf numFmtId="0" fontId="0" fillId="0" borderId="0"/>
    <xf numFmtId="43" fontId="2" fillId="0" borderId="0" applyFont="0" applyFill="0" applyBorder="0" applyAlignment="0" applyProtection="0"/>
    <xf numFmtId="0" fontId="10" fillId="0" borderId="0" applyNumberFormat="0" applyFill="0" applyBorder="0" applyAlignment="0" applyProtection="0">
      <alignment vertical="top"/>
      <protection locked="0"/>
    </xf>
    <xf numFmtId="0" fontId="2" fillId="0" borderId="0"/>
    <xf numFmtId="0" fontId="1" fillId="0" borderId="0"/>
    <xf numFmtId="43" fontId="1" fillId="0" borderId="0" applyFont="0" applyFill="0" applyBorder="0" applyAlignment="0" applyProtection="0"/>
    <xf numFmtId="0" fontId="90" fillId="27" borderId="0" applyNumberFormat="0" applyBorder="0" applyAlignment="0" applyProtection="0"/>
  </cellStyleXfs>
  <cellXfs count="892">
    <xf numFmtId="0" fontId="0" fillId="0" borderId="0" xfId="0"/>
    <xf numFmtId="0" fontId="7" fillId="0" borderId="0" xfId="0" applyFont="1"/>
    <xf numFmtId="0" fontId="3" fillId="0" borderId="0" xfId="0" applyFont="1"/>
    <xf numFmtId="0" fontId="8" fillId="0" borderId="0" xfId="0" applyFont="1"/>
    <xf numFmtId="2" fontId="0" fillId="0" borderId="0" xfId="0" applyNumberFormat="1"/>
    <xf numFmtId="0" fontId="0" fillId="2" borderId="0" xfId="0" applyFill="1"/>
    <xf numFmtId="0" fontId="0" fillId="3" borderId="0" xfId="0" applyFill="1"/>
    <xf numFmtId="0" fontId="3" fillId="2" borderId="0" xfId="0" applyFont="1" applyFill="1"/>
    <xf numFmtId="169" fontId="0" fillId="0" borderId="0" xfId="0" applyNumberFormat="1"/>
    <xf numFmtId="10" fontId="0" fillId="0" borderId="0" xfId="0" applyNumberFormat="1"/>
    <xf numFmtId="0" fontId="14" fillId="3" borderId="0" xfId="0" applyFont="1" applyFill="1" applyAlignment="1">
      <alignment horizontal="right"/>
    </xf>
    <xf numFmtId="0" fontId="14" fillId="3" borderId="0" xfId="0" applyFont="1" applyFill="1"/>
    <xf numFmtId="0" fontId="0" fillId="4" borderId="2" xfId="0" applyFill="1" applyBorder="1"/>
    <xf numFmtId="0" fontId="16" fillId="3" borderId="4" xfId="0" applyFont="1" applyFill="1" applyBorder="1"/>
    <xf numFmtId="0" fontId="3" fillId="5" borderId="8" xfId="0" applyFont="1" applyFill="1" applyBorder="1"/>
    <xf numFmtId="0" fontId="3" fillId="5" borderId="9" xfId="0" applyFont="1" applyFill="1" applyBorder="1"/>
    <xf numFmtId="0" fontId="3" fillId="5" borderId="10" xfId="0" applyFont="1" applyFill="1" applyBorder="1"/>
    <xf numFmtId="0" fontId="3" fillId="5" borderId="11" xfId="0" applyFont="1" applyFill="1" applyBorder="1"/>
    <xf numFmtId="0" fontId="8" fillId="0" borderId="0" xfId="0" applyFont="1" applyProtection="1">
      <protection locked="0"/>
    </xf>
    <xf numFmtId="0" fontId="0" fillId="0" borderId="0" xfId="0" applyProtection="1">
      <protection locked="0"/>
    </xf>
    <xf numFmtId="0" fontId="0" fillId="6" borderId="12" xfId="0" applyFill="1" applyBorder="1"/>
    <xf numFmtId="0" fontId="0" fillId="0" borderId="11" xfId="0" applyBorder="1"/>
    <xf numFmtId="0" fontId="0" fillId="6" borderId="11" xfId="0" applyFill="1" applyBorder="1"/>
    <xf numFmtId="0" fontId="0" fillId="4" borderId="11" xfId="0" applyFill="1" applyBorder="1"/>
    <xf numFmtId="0" fontId="3" fillId="5" borderId="0" xfId="0" applyFont="1" applyFill="1"/>
    <xf numFmtId="0" fontId="0" fillId="6" borderId="0" xfId="0" applyFill="1"/>
    <xf numFmtId="0" fontId="0" fillId="0" borderId="13" xfId="0" applyBorder="1"/>
    <xf numFmtId="0" fontId="8" fillId="2" borderId="0" xfId="0" applyFont="1" applyFill="1"/>
    <xf numFmtId="0" fontId="0" fillId="6" borderId="13" xfId="0" applyFill="1" applyBorder="1"/>
    <xf numFmtId="0" fontId="0" fillId="4" borderId="0" xfId="0" applyFill="1"/>
    <xf numFmtId="11" fontId="0" fillId="0" borderId="0" xfId="0" applyNumberFormat="1"/>
    <xf numFmtId="0" fontId="12" fillId="3" borderId="0" xfId="0" applyFont="1" applyFill="1"/>
    <xf numFmtId="0" fontId="0" fillId="4" borderId="12" xfId="0" applyFill="1" applyBorder="1"/>
    <xf numFmtId="0" fontId="0" fillId="4" borderId="14" xfId="0" applyFill="1" applyBorder="1"/>
    <xf numFmtId="0" fontId="3" fillId="4" borderId="11" xfId="0" applyFont="1" applyFill="1" applyBorder="1"/>
    <xf numFmtId="0" fontId="0" fillId="6" borderId="8" xfId="0" applyFill="1" applyBorder="1"/>
    <xf numFmtId="0" fontId="0" fillId="4" borderId="8" xfId="0" applyFill="1" applyBorder="1"/>
    <xf numFmtId="0" fontId="3" fillId="5" borderId="4" xfId="0" applyFont="1" applyFill="1" applyBorder="1"/>
    <xf numFmtId="0" fontId="0" fillId="2" borderId="14" xfId="0" applyFill="1" applyBorder="1"/>
    <xf numFmtId="0" fontId="0" fillId="2" borderId="13" xfId="0" applyFill="1" applyBorder="1"/>
    <xf numFmtId="0" fontId="0" fillId="2" borderId="12" xfId="0" applyFill="1" applyBorder="1"/>
    <xf numFmtId="0" fontId="0" fillId="8" borderId="0" xfId="0" applyFill="1"/>
    <xf numFmtId="0" fontId="15" fillId="0" borderId="0" xfId="0" applyFont="1"/>
    <xf numFmtId="0" fontId="0" fillId="10" borderId="0" xfId="0" applyFill="1"/>
    <xf numFmtId="0" fontId="0" fillId="0" borderId="0" xfId="0" applyAlignment="1">
      <alignment horizontal="right"/>
    </xf>
    <xf numFmtId="0" fontId="17" fillId="0" borderId="0" xfId="0" applyFont="1"/>
    <xf numFmtId="11" fontId="7" fillId="0" borderId="0" xfId="0" applyNumberFormat="1" applyFont="1"/>
    <xf numFmtId="0" fontId="0" fillId="11" borderId="0" xfId="0" applyFill="1"/>
    <xf numFmtId="168" fontId="0" fillId="0" borderId="0" xfId="0" applyNumberFormat="1"/>
    <xf numFmtId="0" fontId="3" fillId="0" borderId="0" xfId="0" applyFont="1" applyAlignment="1">
      <alignment horizontal="center"/>
    </xf>
    <xf numFmtId="0" fontId="3" fillId="4" borderId="0" xfId="0" applyFont="1" applyFill="1" applyAlignment="1">
      <alignment horizontal="center"/>
    </xf>
    <xf numFmtId="0" fontId="3" fillId="12" borderId="0" xfId="0" applyFont="1" applyFill="1" applyAlignment="1">
      <alignment horizontal="center"/>
    </xf>
    <xf numFmtId="0" fontId="3" fillId="13" borderId="0" xfId="0" applyFont="1" applyFill="1" applyAlignment="1">
      <alignment horizontal="center"/>
    </xf>
    <xf numFmtId="165" fontId="0" fillId="0" borderId="0" xfId="0" applyNumberFormat="1"/>
    <xf numFmtId="171" fontId="17" fillId="3" borderId="0" xfId="0" applyNumberFormat="1" applyFont="1" applyFill="1" applyAlignment="1">
      <alignment horizontal="center"/>
    </xf>
    <xf numFmtId="171" fontId="25" fillId="3" borderId="0" xfId="0" applyNumberFormat="1" applyFont="1" applyFill="1" applyAlignment="1">
      <alignment horizontal="center"/>
    </xf>
    <xf numFmtId="0" fontId="0" fillId="0" borderId="28" xfId="0" applyBorder="1"/>
    <xf numFmtId="0" fontId="0" fillId="0" borderId="29" xfId="0" applyBorder="1"/>
    <xf numFmtId="0" fontId="8" fillId="0" borderId="28" xfId="0" applyFont="1" applyBorder="1"/>
    <xf numFmtId="0" fontId="0" fillId="13" borderId="0" xfId="0" applyFill="1"/>
    <xf numFmtId="0" fontId="0" fillId="0" borderId="30" xfId="0" applyBorder="1"/>
    <xf numFmtId="0" fontId="0" fillId="0" borderId="31" xfId="0" applyBorder="1"/>
    <xf numFmtId="0" fontId="0" fillId="0" borderId="32" xfId="0" applyBorder="1"/>
    <xf numFmtId="0" fontId="0" fillId="0" borderId="2" xfId="0" applyBorder="1"/>
    <xf numFmtId="0" fontId="0" fillId="0" borderId="3" xfId="0" applyBorder="1"/>
    <xf numFmtId="0" fontId="7" fillId="0" borderId="28" xfId="0" applyFont="1" applyBorder="1"/>
    <xf numFmtId="0" fontId="3" fillId="0" borderId="28" xfId="0" applyFont="1" applyBorder="1"/>
    <xf numFmtId="11" fontId="0" fillId="13" borderId="0" xfId="0" applyNumberFormat="1" applyFill="1"/>
    <xf numFmtId="0" fontId="0" fillId="12" borderId="0" xfId="0" applyFill="1"/>
    <xf numFmtId="11" fontId="0" fillId="12" borderId="0" xfId="0" applyNumberFormat="1" applyFill="1"/>
    <xf numFmtId="0" fontId="0" fillId="0" borderId="31" xfId="0" applyBorder="1" applyAlignment="1">
      <alignment horizontal="right"/>
    </xf>
    <xf numFmtId="11" fontId="7" fillId="0" borderId="31" xfId="0" applyNumberFormat="1" applyFont="1" applyBorder="1"/>
    <xf numFmtId="11" fontId="0" fillId="4" borderId="0" xfId="0" applyNumberFormat="1" applyFill="1"/>
    <xf numFmtId="0" fontId="0" fillId="2" borderId="0" xfId="0" applyFill="1" applyProtection="1">
      <protection locked="0"/>
    </xf>
    <xf numFmtId="0" fontId="0" fillId="2" borderId="11" xfId="0" applyFill="1" applyBorder="1" applyProtection="1">
      <protection locked="0"/>
    </xf>
    <xf numFmtId="0" fontId="0" fillId="9" borderId="0" xfId="0" applyFill="1"/>
    <xf numFmtId="0" fontId="0" fillId="0" borderId="8" xfId="0" applyBorder="1"/>
    <xf numFmtId="0" fontId="0" fillId="4" borderId="13" xfId="0" applyFill="1" applyBorder="1"/>
    <xf numFmtId="0" fontId="8" fillId="9" borderId="11" xfId="0" applyFont="1" applyFill="1" applyBorder="1"/>
    <xf numFmtId="0" fontId="17" fillId="3" borderId="0" xfId="0" applyFont="1" applyFill="1"/>
    <xf numFmtId="0" fontId="18" fillId="9" borderId="0" xfId="0" applyFont="1" applyFill="1"/>
    <xf numFmtId="0" fontId="17" fillId="9" borderId="0" xfId="0" applyFont="1" applyFill="1" applyAlignment="1">
      <alignment horizontal="right"/>
    </xf>
    <xf numFmtId="0" fontId="18" fillId="9" borderId="0" xfId="0" applyFont="1" applyFill="1" applyAlignment="1">
      <alignment horizontal="right"/>
    </xf>
    <xf numFmtId="0" fontId="17" fillId="9" borderId="0" xfId="0" applyFont="1" applyFill="1"/>
    <xf numFmtId="0" fontId="25" fillId="15" borderId="19" xfId="0" applyFont="1" applyFill="1" applyBorder="1"/>
    <xf numFmtId="0" fontId="25" fillId="15" borderId="20" xfId="0" applyFont="1" applyFill="1" applyBorder="1"/>
    <xf numFmtId="0" fontId="25" fillId="3" borderId="0" xfId="0" applyFont="1" applyFill="1"/>
    <xf numFmtId="0" fontId="17" fillId="9" borderId="0" xfId="0" applyFont="1" applyFill="1" applyAlignment="1">
      <alignment horizontal="left"/>
    </xf>
    <xf numFmtId="0" fontId="21" fillId="0" borderId="0" xfId="0" applyFont="1"/>
    <xf numFmtId="0" fontId="0" fillId="0" borderId="1" xfId="0" applyBorder="1"/>
    <xf numFmtId="0" fontId="3" fillId="0" borderId="1" xfId="0" applyFont="1" applyBorder="1"/>
    <xf numFmtId="0" fontId="22" fillId="0" borderId="0" xfId="0" applyFont="1"/>
    <xf numFmtId="0" fontId="30" fillId="0" borderId="0" xfId="0" applyFont="1"/>
    <xf numFmtId="0" fontId="30" fillId="4" borderId="0" xfId="0" applyFont="1" applyFill="1"/>
    <xf numFmtId="0" fontId="21" fillId="0" borderId="38" xfId="0" applyFont="1" applyBorder="1"/>
    <xf numFmtId="0" fontId="0" fillId="0" borderId="33" xfId="0" applyBorder="1"/>
    <xf numFmtId="0" fontId="0" fillId="0" borderId="35" xfId="0" applyBorder="1"/>
    <xf numFmtId="0" fontId="8" fillId="0" borderId="39" xfId="0" applyFont="1" applyBorder="1"/>
    <xf numFmtId="0" fontId="0" fillId="0" borderId="36" xfId="0" applyBorder="1"/>
    <xf numFmtId="0" fontId="30" fillId="0" borderId="39" xfId="0" applyFont="1" applyBorder="1"/>
    <xf numFmtId="0" fontId="30" fillId="0" borderId="40" xfId="0" applyFont="1" applyBorder="1"/>
    <xf numFmtId="0" fontId="30" fillId="0" borderId="34" xfId="0" applyFont="1" applyBorder="1"/>
    <xf numFmtId="0" fontId="0" fillId="0" borderId="34" xfId="0" applyBorder="1"/>
    <xf numFmtId="0" fontId="0" fillId="0" borderId="37" xfId="0" applyBorder="1"/>
    <xf numFmtId="0" fontId="8" fillId="0" borderId="31" xfId="0" applyFont="1" applyBorder="1"/>
    <xf numFmtId="0" fontId="8" fillId="13" borderId="0" xfId="0" applyFont="1" applyFill="1"/>
    <xf numFmtId="0" fontId="17" fillId="9" borderId="29" xfId="0" applyFont="1" applyFill="1" applyBorder="1"/>
    <xf numFmtId="0" fontId="19" fillId="9" borderId="0" xfId="0" applyFont="1" applyFill="1"/>
    <xf numFmtId="167" fontId="17" fillId="9" borderId="0" xfId="0" applyNumberFormat="1" applyFont="1" applyFill="1"/>
    <xf numFmtId="170" fontId="17" fillId="9" borderId="0" xfId="0" applyNumberFormat="1" applyFont="1" applyFill="1"/>
    <xf numFmtId="166" fontId="17" fillId="9" borderId="0" xfId="0" applyNumberFormat="1" applyFont="1" applyFill="1"/>
    <xf numFmtId="2" fontId="30" fillId="12" borderId="0" xfId="0" applyNumberFormat="1" applyFont="1" applyFill="1"/>
    <xf numFmtId="0" fontId="17" fillId="16" borderId="0" xfId="0" applyFont="1" applyFill="1"/>
    <xf numFmtId="0" fontId="2" fillId="0" borderId="0" xfId="0" applyFont="1"/>
    <xf numFmtId="2" fontId="2" fillId="0" borderId="0" xfId="0" quotePrefix="1" applyNumberFormat="1" applyFont="1"/>
    <xf numFmtId="0" fontId="0" fillId="0" borderId="0" xfId="0" applyAlignment="1">
      <alignment horizontal="left"/>
    </xf>
    <xf numFmtId="0" fontId="2" fillId="0" borderId="2" xfId="0" applyFont="1" applyBorder="1"/>
    <xf numFmtId="0" fontId="2" fillId="0" borderId="31" xfId="0" applyFont="1" applyBorder="1"/>
    <xf numFmtId="0" fontId="33" fillId="9" borderId="0" xfId="0" applyFont="1" applyFill="1"/>
    <xf numFmtId="0" fontId="20" fillId="19" borderId="0" xfId="0" applyFont="1" applyFill="1" applyAlignment="1">
      <alignment vertical="center"/>
    </xf>
    <xf numFmtId="0" fontId="0" fillId="18" borderId="0" xfId="0" applyFill="1"/>
    <xf numFmtId="0" fontId="50" fillId="18" borderId="0" xfId="0" applyFont="1" applyFill="1"/>
    <xf numFmtId="0" fontId="23" fillId="9" borderId="0" xfId="0" applyFont="1" applyFill="1" applyAlignment="1">
      <alignment horizontal="right"/>
    </xf>
    <xf numFmtId="0" fontId="3" fillId="9" borderId="0" xfId="0" applyFont="1" applyFill="1" applyAlignment="1">
      <alignment horizontal="right"/>
    </xf>
    <xf numFmtId="0" fontId="2" fillId="9" borderId="0" xfId="0" applyFont="1" applyFill="1" applyAlignment="1">
      <alignment horizontal="right"/>
    </xf>
    <xf numFmtId="0" fontId="2" fillId="9" borderId="31" xfId="0" applyFont="1" applyFill="1" applyBorder="1" applyAlignment="1">
      <alignment horizontal="right"/>
    </xf>
    <xf numFmtId="0" fontId="2" fillId="9" borderId="28" xfId="0" applyFont="1" applyFill="1" applyBorder="1"/>
    <xf numFmtId="0" fontId="2" fillId="9" borderId="0" xfId="0" applyFont="1" applyFill="1"/>
    <xf numFmtId="0" fontId="3" fillId="19" borderId="0" xfId="0" applyFont="1" applyFill="1" applyProtection="1">
      <protection locked="0"/>
    </xf>
    <xf numFmtId="0" fontId="53" fillId="9" borderId="0" xfId="0" applyFont="1" applyFill="1"/>
    <xf numFmtId="1" fontId="3" fillId="19" borderId="0" xfId="0" applyNumberFormat="1" applyFont="1" applyFill="1" applyProtection="1">
      <protection locked="0"/>
    </xf>
    <xf numFmtId="0" fontId="55" fillId="9" borderId="0" xfId="0" applyFont="1" applyFill="1"/>
    <xf numFmtId="0" fontId="3" fillId="9" borderId="0" xfId="0" applyFont="1" applyFill="1"/>
    <xf numFmtId="168" fontId="3" fillId="9" borderId="0" xfId="0" applyNumberFormat="1" applyFont="1" applyFill="1"/>
    <xf numFmtId="0" fontId="2" fillId="16" borderId="0" xfId="0" applyFont="1" applyFill="1"/>
    <xf numFmtId="0" fontId="3" fillId="9" borderId="28" xfId="0" applyFont="1" applyFill="1" applyBorder="1"/>
    <xf numFmtId="0" fontId="55" fillId="16" borderId="0" xfId="0" applyFont="1" applyFill="1"/>
    <xf numFmtId="1" fontId="52" fillId="9" borderId="0" xfId="0" applyNumberFormat="1" applyFont="1" applyFill="1" applyAlignment="1">
      <alignment horizontal="right"/>
    </xf>
    <xf numFmtId="0" fontId="57" fillId="15" borderId="19" xfId="0" applyFont="1" applyFill="1" applyBorder="1"/>
    <xf numFmtId="0" fontId="55" fillId="9" borderId="0" xfId="0" applyFont="1" applyFill="1" applyAlignment="1">
      <alignment vertical="center"/>
    </xf>
    <xf numFmtId="0" fontId="7" fillId="9" borderId="0" xfId="0" applyFont="1" applyFill="1" applyAlignment="1">
      <alignment horizontal="right"/>
    </xf>
    <xf numFmtId="168" fontId="7" fillId="9" borderId="0" xfId="0" applyNumberFormat="1" applyFont="1" applyFill="1"/>
    <xf numFmtId="0" fontId="7" fillId="9" borderId="0" xfId="0" applyFont="1" applyFill="1"/>
    <xf numFmtId="0" fontId="2" fillId="16" borderId="0" xfId="0" applyFont="1" applyFill="1" applyAlignment="1">
      <alignment horizontal="left"/>
    </xf>
    <xf numFmtId="1" fontId="2" fillId="16" borderId="0" xfId="0" applyNumberFormat="1" applyFont="1" applyFill="1" applyAlignment="1">
      <alignment horizontal="right"/>
    </xf>
    <xf numFmtId="0" fontId="3" fillId="9" borderId="0" xfId="0" applyFont="1" applyFill="1" applyAlignment="1">
      <alignment horizontal="left"/>
    </xf>
    <xf numFmtId="0" fontId="58" fillId="9" borderId="0" xfId="0" applyFont="1" applyFill="1"/>
    <xf numFmtId="0" fontId="2" fillId="9" borderId="0" xfId="0" applyFont="1" applyFill="1" applyAlignment="1">
      <alignment horizontal="left"/>
    </xf>
    <xf numFmtId="0" fontId="56" fillId="19" borderId="0" xfId="0" applyFont="1" applyFill="1" applyAlignment="1" applyProtection="1">
      <alignment horizontal="right"/>
      <protection locked="0" hidden="1"/>
    </xf>
    <xf numFmtId="0" fontId="59" fillId="15" borderId="19" xfId="0" applyFont="1" applyFill="1" applyBorder="1"/>
    <xf numFmtId="0" fontId="22" fillId="9" borderId="28" xfId="0" applyFont="1" applyFill="1" applyBorder="1"/>
    <xf numFmtId="1" fontId="2" fillId="9" borderId="0" xfId="0" applyNumberFormat="1" applyFont="1" applyFill="1"/>
    <xf numFmtId="0" fontId="61" fillId="9" borderId="0" xfId="0" applyFont="1" applyFill="1" applyAlignment="1">
      <alignment horizontal="right"/>
    </xf>
    <xf numFmtId="0" fontId="2" fillId="9" borderId="2" xfId="0" applyFont="1" applyFill="1" applyBorder="1"/>
    <xf numFmtId="0" fontId="2" fillId="9" borderId="2" xfId="0" applyFont="1" applyFill="1" applyBorder="1" applyAlignment="1">
      <alignment horizontal="right"/>
    </xf>
    <xf numFmtId="0" fontId="61" fillId="9" borderId="2" xfId="0" applyFont="1" applyFill="1" applyBorder="1" applyAlignment="1">
      <alignment horizontal="right"/>
    </xf>
    <xf numFmtId="0" fontId="3" fillId="9" borderId="3" xfId="0" applyFont="1" applyFill="1" applyBorder="1"/>
    <xf numFmtId="0" fontId="3" fillId="9" borderId="29" xfId="0" applyFont="1" applyFill="1" applyBorder="1"/>
    <xf numFmtId="0" fontId="2" fillId="9" borderId="30" xfId="0" applyFont="1" applyFill="1" applyBorder="1"/>
    <xf numFmtId="0" fontId="2" fillId="9" borderId="31" xfId="0" applyFont="1" applyFill="1" applyBorder="1"/>
    <xf numFmtId="0" fontId="2" fillId="9" borderId="32" xfId="0" applyFont="1" applyFill="1" applyBorder="1"/>
    <xf numFmtId="0" fontId="2" fillId="9" borderId="3" xfId="0" applyFont="1" applyFill="1" applyBorder="1"/>
    <xf numFmtId="0" fontId="2" fillId="9" borderId="29" xfId="0" applyFont="1" applyFill="1" applyBorder="1"/>
    <xf numFmtId="0" fontId="3" fillId="9" borderId="2" xfId="0" applyFont="1" applyFill="1" applyBorder="1"/>
    <xf numFmtId="0" fontId="3" fillId="9" borderId="2" xfId="0" applyFont="1" applyFill="1" applyBorder="1" applyAlignment="1">
      <alignment horizontal="right"/>
    </xf>
    <xf numFmtId="1" fontId="3" fillId="19" borderId="2" xfId="0" applyNumberFormat="1" applyFont="1" applyFill="1" applyBorder="1" applyProtection="1">
      <protection locked="0"/>
    </xf>
    <xf numFmtId="0" fontId="2" fillId="16" borderId="41" xfId="0" applyFont="1" applyFill="1" applyBorder="1" applyAlignment="1">
      <alignment horizontal="left"/>
    </xf>
    <xf numFmtId="0" fontId="56" fillId="19" borderId="41" xfId="0" applyFont="1" applyFill="1" applyBorder="1" applyAlignment="1" applyProtection="1">
      <alignment horizontal="right"/>
      <protection locked="0" hidden="1"/>
    </xf>
    <xf numFmtId="0" fontId="56" fillId="9" borderId="42" xfId="0" applyFont="1" applyFill="1" applyBorder="1" applyAlignment="1">
      <alignment horizontal="left"/>
    </xf>
    <xf numFmtId="0" fontId="56" fillId="9" borderId="29" xfId="0" applyFont="1" applyFill="1" applyBorder="1" applyAlignment="1">
      <alignment horizontal="left"/>
    </xf>
    <xf numFmtId="0" fontId="3" fillId="9" borderId="43" xfId="0" applyFont="1" applyFill="1" applyBorder="1" applyAlignment="1">
      <alignment horizontal="center"/>
    </xf>
    <xf numFmtId="0" fontId="3" fillId="9" borderId="28" xfId="0" applyFont="1" applyFill="1" applyBorder="1" applyAlignment="1">
      <alignment horizontal="center"/>
    </xf>
    <xf numFmtId="0" fontId="3" fillId="9" borderId="43" xfId="0" applyFont="1" applyFill="1" applyBorder="1"/>
    <xf numFmtId="0" fontId="3" fillId="9" borderId="41" xfId="0" applyFont="1" applyFill="1" applyBorder="1"/>
    <xf numFmtId="0" fontId="2" fillId="9" borderId="45" xfId="0" applyFont="1" applyFill="1" applyBorder="1"/>
    <xf numFmtId="0" fontId="3" fillId="9" borderId="45" xfId="0" applyFont="1" applyFill="1" applyBorder="1" applyAlignment="1">
      <alignment horizontal="right"/>
    </xf>
    <xf numFmtId="0" fontId="2" fillId="9" borderId="46" xfId="0" applyFont="1" applyFill="1" applyBorder="1"/>
    <xf numFmtId="0" fontId="2" fillId="16" borderId="45" xfId="0" applyFont="1" applyFill="1" applyBorder="1" applyAlignment="1">
      <alignment horizontal="left"/>
    </xf>
    <xf numFmtId="0" fontId="56" fillId="19" borderId="45" xfId="0" applyFont="1" applyFill="1" applyBorder="1" applyAlignment="1" applyProtection="1">
      <alignment horizontal="right"/>
      <protection locked="0" hidden="1"/>
    </xf>
    <xf numFmtId="0" fontId="56" fillId="9" borderId="46" xfId="0" applyFont="1" applyFill="1" applyBorder="1" applyAlignment="1">
      <alignment horizontal="left"/>
    </xf>
    <xf numFmtId="168" fontId="2" fillId="9" borderId="41" xfId="0" applyNumberFormat="1" applyFont="1" applyFill="1" applyBorder="1" applyAlignment="1">
      <alignment horizontal="left" vertical="center"/>
    </xf>
    <xf numFmtId="1" fontId="2" fillId="9" borderId="45" xfId="0" applyNumberFormat="1" applyFont="1" applyFill="1" applyBorder="1" applyAlignment="1">
      <alignment horizontal="left" vertical="center"/>
    </xf>
    <xf numFmtId="0" fontId="22" fillId="9" borderId="28" xfId="0" applyFont="1" applyFill="1" applyBorder="1" applyAlignment="1">
      <alignment vertical="center"/>
    </xf>
    <xf numFmtId="0" fontId="2" fillId="9" borderId="43" xfId="0" applyFont="1" applyFill="1" applyBorder="1"/>
    <xf numFmtId="0" fontId="2" fillId="16" borderId="28" xfId="0" applyFont="1" applyFill="1" applyBorder="1"/>
    <xf numFmtId="1" fontId="3" fillId="16" borderId="28" xfId="0" applyNumberFormat="1" applyFont="1" applyFill="1" applyBorder="1" applyAlignment="1">
      <alignment horizontal="right" vertical="center"/>
    </xf>
    <xf numFmtId="0" fontId="57" fillId="15" borderId="47" xfId="0" applyFont="1" applyFill="1" applyBorder="1"/>
    <xf numFmtId="0" fontId="17" fillId="3" borderId="28" xfId="0" applyFont="1" applyFill="1" applyBorder="1"/>
    <xf numFmtId="171" fontId="17" fillId="18" borderId="0" xfId="0" applyNumberFormat="1" applyFont="1" applyFill="1" applyAlignment="1">
      <alignment horizontal="center"/>
    </xf>
    <xf numFmtId="0" fontId="17" fillId="18" borderId="0" xfId="0" applyFont="1" applyFill="1"/>
    <xf numFmtId="171" fontId="25" fillId="18" borderId="0" xfId="0" applyNumberFormat="1" applyFont="1" applyFill="1" applyAlignment="1">
      <alignment horizontal="center"/>
    </xf>
    <xf numFmtId="0" fontId="25" fillId="18" borderId="0" xfId="0" applyFont="1" applyFill="1"/>
    <xf numFmtId="0" fontId="2" fillId="9" borderId="44" xfId="0" applyFont="1" applyFill="1" applyBorder="1"/>
    <xf numFmtId="0" fontId="3" fillId="9" borderId="45" xfId="0" applyFont="1" applyFill="1" applyBorder="1"/>
    <xf numFmtId="0" fontId="2" fillId="9" borderId="48" xfId="0" applyFont="1" applyFill="1" applyBorder="1"/>
    <xf numFmtId="0" fontId="65" fillId="9" borderId="0" xfId="0" applyFont="1" applyFill="1"/>
    <xf numFmtId="0" fontId="65" fillId="9" borderId="29" xfId="0" applyFont="1" applyFill="1" applyBorder="1"/>
    <xf numFmtId="171" fontId="65" fillId="18" borderId="0" xfId="0" applyNumberFormat="1" applyFont="1" applyFill="1" applyAlignment="1">
      <alignment horizontal="center"/>
    </xf>
    <xf numFmtId="0" fontId="65" fillId="18" borderId="0" xfId="0" applyFont="1" applyFill="1"/>
    <xf numFmtId="171" fontId="65" fillId="3" borderId="0" xfId="0" applyNumberFormat="1" applyFont="1" applyFill="1" applyAlignment="1">
      <alignment horizontal="center"/>
    </xf>
    <xf numFmtId="0" fontId="65" fillId="3" borderId="0" xfId="0" applyFont="1" applyFill="1"/>
    <xf numFmtId="0" fontId="63" fillId="9" borderId="41" xfId="0" applyFont="1" applyFill="1" applyBorder="1" applyAlignment="1">
      <alignment horizontal="right"/>
    </xf>
    <xf numFmtId="0" fontId="2" fillId="16" borderId="31" xfId="0" applyFont="1" applyFill="1" applyBorder="1"/>
    <xf numFmtId="0" fontId="17" fillId="9" borderId="31" xfId="0" applyFont="1" applyFill="1" applyBorder="1"/>
    <xf numFmtId="0" fontId="17" fillId="9" borderId="32" xfId="0" applyFont="1" applyFill="1" applyBorder="1"/>
    <xf numFmtId="0" fontId="64" fillId="9" borderId="28" xfId="0" applyFont="1" applyFill="1" applyBorder="1" applyAlignment="1">
      <alignment vertical="center"/>
    </xf>
    <xf numFmtId="0" fontId="63" fillId="9" borderId="0" xfId="0" applyFont="1" applyFill="1" applyAlignment="1">
      <alignment horizontal="right" vertical="center"/>
    </xf>
    <xf numFmtId="0" fontId="63" fillId="0" borderId="0" xfId="0" applyFont="1" applyAlignment="1">
      <alignment horizontal="left" vertical="center"/>
    </xf>
    <xf numFmtId="0" fontId="2" fillId="0" borderId="1" xfId="0" applyFont="1" applyBorder="1"/>
    <xf numFmtId="0" fontId="2" fillId="0" borderId="28" xfId="0" applyFont="1" applyBorder="1"/>
    <xf numFmtId="0" fontId="68" fillId="0" borderId="0" xfId="0" applyFont="1"/>
    <xf numFmtId="0" fontId="2" fillId="9" borderId="0" xfId="3" applyFill="1"/>
    <xf numFmtId="49" fontId="2" fillId="9" borderId="0" xfId="3" applyNumberFormat="1" applyFill="1"/>
    <xf numFmtId="0" fontId="11" fillId="9" borderId="0" xfId="3" applyFont="1" applyFill="1" applyAlignment="1">
      <alignment vertical="center"/>
    </xf>
    <xf numFmtId="0" fontId="2" fillId="20" borderId="18" xfId="3" applyFill="1" applyBorder="1" applyAlignment="1">
      <alignment horizontal="center" vertical="center"/>
    </xf>
    <xf numFmtId="0" fontId="2" fillId="9" borderId="18" xfId="3" applyFill="1" applyBorder="1" applyAlignment="1">
      <alignment horizontal="center" vertical="center"/>
    </xf>
    <xf numFmtId="0" fontId="2" fillId="9" borderId="11" xfId="3" applyFill="1" applyBorder="1" applyAlignment="1">
      <alignment vertical="center" wrapText="1"/>
    </xf>
    <xf numFmtId="0" fontId="2" fillId="9" borderId="11" xfId="3" applyFill="1" applyBorder="1" applyAlignment="1">
      <alignment horizontal="left" vertical="center"/>
    </xf>
    <xf numFmtId="0" fontId="2" fillId="9" borderId="0" xfId="3" applyFill="1" applyAlignment="1">
      <alignment vertical="center"/>
    </xf>
    <xf numFmtId="49" fontId="2" fillId="9" borderId="0" xfId="3" applyNumberFormat="1" applyFill="1" applyAlignment="1">
      <alignment vertical="center"/>
    </xf>
    <xf numFmtId="0" fontId="2" fillId="21" borderId="18" xfId="3" applyFill="1" applyBorder="1" applyAlignment="1">
      <alignment horizontal="center" vertical="center"/>
    </xf>
    <xf numFmtId="0" fontId="2" fillId="21" borderId="11" xfId="3" applyFill="1" applyBorder="1" applyAlignment="1">
      <alignment vertical="center" wrapText="1"/>
    </xf>
    <xf numFmtId="173" fontId="2" fillId="21" borderId="11" xfId="3" applyNumberFormat="1" applyFill="1" applyBorder="1" applyAlignment="1">
      <alignment horizontal="center" vertical="center"/>
    </xf>
    <xf numFmtId="0" fontId="2" fillId="21" borderId="11" xfId="3" quotePrefix="1" applyFill="1" applyBorder="1" applyAlignment="1">
      <alignment horizontal="left" vertical="center"/>
    </xf>
    <xf numFmtId="0" fontId="2" fillId="21" borderId="11" xfId="3" applyFill="1" applyBorder="1" applyAlignment="1">
      <alignment horizontal="left" vertical="center"/>
    </xf>
    <xf numFmtId="0" fontId="2" fillId="16" borderId="18" xfId="3" applyFill="1" applyBorder="1" applyAlignment="1">
      <alignment horizontal="center" vertical="center"/>
    </xf>
    <xf numFmtId="0" fontId="2" fillId="16" borderId="11" xfId="3" applyFill="1" applyBorder="1" applyAlignment="1">
      <alignment vertical="center" wrapText="1"/>
    </xf>
    <xf numFmtId="173" fontId="2" fillId="16" borderId="11" xfId="3" applyNumberFormat="1" applyFill="1" applyBorder="1" applyAlignment="1">
      <alignment horizontal="center" vertical="center"/>
    </xf>
    <xf numFmtId="0" fontId="2" fillId="16" borderId="11" xfId="3" quotePrefix="1" applyFill="1" applyBorder="1" applyAlignment="1">
      <alignment horizontal="left" vertical="center"/>
    </xf>
    <xf numFmtId="0" fontId="2" fillId="16" borderId="11" xfId="3" applyFill="1" applyBorder="1" applyAlignment="1">
      <alignment horizontal="left" vertical="center"/>
    </xf>
    <xf numFmtId="175" fontId="2" fillId="9" borderId="11" xfId="3" applyNumberFormat="1" applyFill="1" applyBorder="1" applyAlignment="1">
      <alignment horizontal="center" vertical="center"/>
    </xf>
    <xf numFmtId="0" fontId="2" fillId="9" borderId="15" xfId="3" applyFill="1" applyBorder="1" applyAlignment="1">
      <alignment horizontal="left" vertical="center"/>
    </xf>
    <xf numFmtId="49" fontId="2" fillId="9" borderId="11" xfId="3" applyNumberFormat="1" applyFill="1" applyBorder="1" applyAlignment="1">
      <alignment horizontal="left" vertical="center"/>
    </xf>
    <xf numFmtId="0" fontId="2" fillId="20" borderId="11" xfId="3" applyFill="1" applyBorder="1" applyAlignment="1">
      <alignment vertical="center" wrapText="1"/>
    </xf>
    <xf numFmtId="174" fontId="2" fillId="20" borderId="11" xfId="3" applyNumberFormat="1" applyFill="1" applyBorder="1" applyAlignment="1">
      <alignment horizontal="center" vertical="center"/>
    </xf>
    <xf numFmtId="0" fontId="2" fillId="20" borderId="15" xfId="3" applyFill="1" applyBorder="1" applyAlignment="1">
      <alignment horizontal="left" vertical="center"/>
    </xf>
    <xf numFmtId="0" fontId="2" fillId="20" borderId="11" xfId="3" quotePrefix="1" applyFill="1" applyBorder="1" applyAlignment="1">
      <alignment horizontal="left" vertical="center"/>
    </xf>
    <xf numFmtId="0" fontId="2" fillId="20" borderId="11" xfId="3" applyFill="1" applyBorder="1" applyAlignment="1">
      <alignment horizontal="left" vertical="center"/>
    </xf>
    <xf numFmtId="0" fontId="2" fillId="16" borderId="15" xfId="3" applyFill="1" applyBorder="1" applyAlignment="1">
      <alignment horizontal="left" vertical="center"/>
    </xf>
    <xf numFmtId="175" fontId="2" fillId="16" borderId="11" xfId="3" applyNumberFormat="1" applyFill="1" applyBorder="1" applyAlignment="1">
      <alignment horizontal="center" vertical="center"/>
    </xf>
    <xf numFmtId="175" fontId="2" fillId="20" borderId="11" xfId="3" applyNumberFormat="1" applyFill="1" applyBorder="1" applyAlignment="1">
      <alignment horizontal="center" vertical="center"/>
    </xf>
    <xf numFmtId="172" fontId="2" fillId="20" borderId="11" xfId="3" applyNumberFormat="1" applyFill="1" applyBorder="1" applyAlignment="1">
      <alignment horizontal="center" vertical="center"/>
    </xf>
    <xf numFmtId="0" fontId="2" fillId="16" borderId="11" xfId="3" applyFill="1" applyBorder="1" applyAlignment="1">
      <alignment horizontal="center" vertical="center"/>
    </xf>
    <xf numFmtId="176" fontId="2" fillId="20" borderId="11" xfId="3" applyNumberFormat="1" applyFill="1" applyBorder="1" applyAlignment="1">
      <alignment horizontal="center" vertical="center"/>
    </xf>
    <xf numFmtId="0" fontId="2" fillId="16" borderId="0" xfId="3" applyFill="1"/>
    <xf numFmtId="49" fontId="2" fillId="16" borderId="0" xfId="3" applyNumberFormat="1" applyFill="1"/>
    <xf numFmtId="0" fontId="3" fillId="19" borderId="45" xfId="0" applyFont="1" applyFill="1" applyBorder="1" applyProtection="1">
      <protection locked="0"/>
    </xf>
    <xf numFmtId="0" fontId="3" fillId="19" borderId="0" xfId="0" applyFont="1" applyFill="1" applyAlignment="1" applyProtection="1">
      <alignment horizontal="right"/>
      <protection locked="0"/>
    </xf>
    <xf numFmtId="0" fontId="3" fillId="19" borderId="45" xfId="0" applyFont="1" applyFill="1" applyBorder="1" applyAlignment="1" applyProtection="1">
      <alignment horizontal="right"/>
      <protection locked="0"/>
    </xf>
    <xf numFmtId="0" fontId="70" fillId="16" borderId="0" xfId="0" applyFont="1" applyFill="1"/>
    <xf numFmtId="168" fontId="3" fillId="19" borderId="0" xfId="0" applyNumberFormat="1" applyFont="1" applyFill="1" applyProtection="1">
      <protection locked="0"/>
    </xf>
    <xf numFmtId="0" fontId="3" fillId="9" borderId="0" xfId="3" applyFont="1" applyFill="1"/>
    <xf numFmtId="1" fontId="0" fillId="4" borderId="0" xfId="0" applyNumberFormat="1" applyFill="1"/>
    <xf numFmtId="0" fontId="2" fillId="9" borderId="0" xfId="0" applyFont="1" applyFill="1" applyAlignment="1">
      <alignment vertical="center"/>
    </xf>
    <xf numFmtId="0" fontId="2" fillId="9" borderId="28" xfId="0" applyFont="1" applyFill="1" applyBorder="1" applyAlignment="1">
      <alignment vertical="center"/>
    </xf>
    <xf numFmtId="0" fontId="2" fillId="9" borderId="0" xfId="0" applyFont="1" applyFill="1" applyAlignment="1">
      <alignment horizontal="right" vertical="center"/>
    </xf>
    <xf numFmtId="168" fontId="2" fillId="9" borderId="0" xfId="0" applyNumberFormat="1" applyFont="1" applyFill="1" applyAlignment="1">
      <alignment vertical="center"/>
    </xf>
    <xf numFmtId="0" fontId="2" fillId="9" borderId="29" xfId="0" applyFont="1" applyFill="1" applyBorder="1" applyAlignment="1">
      <alignment vertical="center"/>
    </xf>
    <xf numFmtId="1" fontId="2" fillId="9" borderId="0" xfId="0" applyNumberFormat="1" applyFont="1" applyFill="1" applyAlignment="1">
      <alignment vertical="center"/>
    </xf>
    <xf numFmtId="0" fontId="2" fillId="9" borderId="30" xfId="0" applyFont="1" applyFill="1" applyBorder="1" applyAlignment="1">
      <alignment vertical="center"/>
    </xf>
    <xf numFmtId="0" fontId="2" fillId="9" borderId="32" xfId="0" applyFont="1" applyFill="1" applyBorder="1" applyAlignment="1">
      <alignment vertical="center"/>
    </xf>
    <xf numFmtId="0" fontId="2" fillId="9" borderId="43" xfId="0" applyFont="1" applyFill="1" applyBorder="1" applyAlignment="1">
      <alignment vertical="center"/>
    </xf>
    <xf numFmtId="0" fontId="2" fillId="9" borderId="2" xfId="0" applyFont="1" applyFill="1" applyBorder="1" applyAlignment="1">
      <alignment vertical="center"/>
    </xf>
    <xf numFmtId="0" fontId="2" fillId="9" borderId="2" xfId="0" applyFont="1" applyFill="1" applyBorder="1" applyAlignment="1">
      <alignment horizontal="right" vertical="center"/>
    </xf>
    <xf numFmtId="0" fontId="3" fillId="9" borderId="3" xfId="0" applyFont="1" applyFill="1" applyBorder="1" applyAlignment="1">
      <alignment vertical="center"/>
    </xf>
    <xf numFmtId="0" fontId="61" fillId="9" borderId="0" xfId="0" applyFont="1" applyFill="1" applyAlignment="1">
      <alignment horizontal="right" vertical="center"/>
    </xf>
    <xf numFmtId="0" fontId="3" fillId="19" borderId="0" xfId="0" applyFont="1" applyFill="1" applyAlignment="1" applyProtection="1">
      <alignment vertical="center"/>
      <protection locked="0"/>
    </xf>
    <xf numFmtId="0" fontId="3" fillId="9" borderId="29" xfId="0" applyFont="1" applyFill="1" applyBorder="1" applyAlignment="1">
      <alignment vertical="center"/>
    </xf>
    <xf numFmtId="1" fontId="3" fillId="19" borderId="0" xfId="0" applyNumberFormat="1" applyFont="1" applyFill="1" applyAlignment="1" applyProtection="1">
      <alignment vertical="center"/>
      <protection locked="0"/>
    </xf>
    <xf numFmtId="0" fontId="61" fillId="16" borderId="2" xfId="0" applyFont="1" applyFill="1" applyBorder="1" applyAlignment="1">
      <alignment horizontal="right" vertical="center"/>
    </xf>
    <xf numFmtId="0" fontId="3" fillId="9" borderId="0" xfId="0" applyFont="1" applyFill="1" applyAlignment="1">
      <alignment vertical="center"/>
    </xf>
    <xf numFmtId="0" fontId="3" fillId="9" borderId="0" xfId="0" applyFont="1" applyFill="1" applyAlignment="1">
      <alignment horizontal="right" vertical="center"/>
    </xf>
    <xf numFmtId="0" fontId="2" fillId="9" borderId="45" xfId="0" applyFont="1" applyFill="1" applyBorder="1" applyAlignment="1">
      <alignment horizontal="right" vertical="center"/>
    </xf>
    <xf numFmtId="0" fontId="2" fillId="9" borderId="44" xfId="0" applyFont="1" applyFill="1" applyBorder="1" applyAlignment="1">
      <alignment vertical="center"/>
    </xf>
    <xf numFmtId="0" fontId="2" fillId="9" borderId="45" xfId="0" applyFont="1" applyFill="1" applyBorder="1" applyAlignment="1">
      <alignment vertical="center"/>
    </xf>
    <xf numFmtId="0" fontId="2" fillId="9" borderId="46" xfId="0" applyFont="1" applyFill="1" applyBorder="1" applyAlignment="1">
      <alignment vertical="center"/>
    </xf>
    <xf numFmtId="0" fontId="2" fillId="9" borderId="3" xfId="0" applyFont="1" applyFill="1" applyBorder="1" applyAlignment="1">
      <alignment vertical="center"/>
    </xf>
    <xf numFmtId="1" fontId="61" fillId="19" borderId="0" xfId="0" applyNumberFormat="1" applyFont="1" applyFill="1" applyAlignment="1" applyProtection="1">
      <alignment horizontal="right" vertical="center"/>
      <protection locked="0"/>
    </xf>
    <xf numFmtId="0" fontId="3" fillId="9" borderId="29" xfId="0" applyFont="1" applyFill="1" applyBorder="1" applyAlignment="1">
      <alignment horizontal="left" vertical="center"/>
    </xf>
    <xf numFmtId="0" fontId="61" fillId="19" borderId="0" xfId="0" applyFont="1" applyFill="1" applyAlignment="1" applyProtection="1">
      <alignment vertical="center"/>
      <protection locked="0"/>
    </xf>
    <xf numFmtId="2" fontId="7" fillId="12" borderId="2" xfId="0" applyNumberFormat="1" applyFont="1" applyFill="1" applyBorder="1"/>
    <xf numFmtId="2" fontId="7" fillId="12" borderId="0" xfId="0" applyNumberFormat="1" applyFont="1" applyFill="1"/>
    <xf numFmtId="11" fontId="7" fillId="12" borderId="0" xfId="0" applyNumberFormat="1" applyFont="1" applyFill="1"/>
    <xf numFmtId="0" fontId="0" fillId="0" borderId="41" xfId="0" applyBorder="1"/>
    <xf numFmtId="0" fontId="0" fillId="22" borderId="0" xfId="0" applyFill="1"/>
    <xf numFmtId="0" fontId="2" fillId="0" borderId="0" xfId="0" applyFont="1" applyAlignment="1">
      <alignment horizontal="right"/>
    </xf>
    <xf numFmtId="0" fontId="3" fillId="0" borderId="31" xfId="0" applyFont="1" applyBorder="1" applyAlignment="1">
      <alignment horizontal="right"/>
    </xf>
    <xf numFmtId="0" fontId="3" fillId="0" borderId="0" xfId="0" applyFont="1" applyAlignment="1">
      <alignment horizontal="right"/>
    </xf>
    <xf numFmtId="0" fontId="3" fillId="0" borderId="41" xfId="0" applyFont="1" applyBorder="1"/>
    <xf numFmtId="0" fontId="3" fillId="0" borderId="31" xfId="0" applyFont="1" applyBorder="1"/>
    <xf numFmtId="0" fontId="3" fillId="0" borderId="0" xfId="0" applyFont="1" applyAlignment="1">
      <alignment horizontal="left"/>
    </xf>
    <xf numFmtId="167" fontId="7" fillId="12" borderId="0" xfId="0" applyNumberFormat="1" applyFont="1" applyFill="1"/>
    <xf numFmtId="167" fontId="8" fillId="12" borderId="0" xfId="0" applyNumberFormat="1" applyFont="1" applyFill="1"/>
    <xf numFmtId="0" fontId="3" fillId="19" borderId="2" xfId="0" applyFont="1" applyFill="1" applyBorder="1" applyProtection="1">
      <protection locked="0"/>
    </xf>
    <xf numFmtId="0" fontId="60" fillId="16" borderId="0" xfId="0" applyFont="1" applyFill="1" applyAlignment="1">
      <alignment horizontal="center"/>
    </xf>
    <xf numFmtId="168" fontId="2" fillId="9" borderId="0" xfId="0" applyNumberFormat="1" applyFont="1" applyFill="1"/>
    <xf numFmtId="2" fontId="0" fillId="22" borderId="0" xfId="0" applyNumberFormat="1" applyFill="1"/>
    <xf numFmtId="166" fontId="0" fillId="22" borderId="0" xfId="0" applyNumberFormat="1" applyFill="1"/>
    <xf numFmtId="166" fontId="0" fillId="12" borderId="0" xfId="0" applyNumberFormat="1" applyFill="1"/>
    <xf numFmtId="1" fontId="0" fillId="0" borderId="0" xfId="0" applyNumberFormat="1"/>
    <xf numFmtId="166" fontId="0" fillId="0" borderId="0" xfId="0" applyNumberFormat="1"/>
    <xf numFmtId="168" fontId="0" fillId="22" borderId="0" xfId="0" applyNumberFormat="1" applyFill="1"/>
    <xf numFmtId="0" fontId="2" fillId="0" borderId="41" xfId="0" applyFont="1" applyBorder="1"/>
    <xf numFmtId="0" fontId="2" fillId="0" borderId="30" xfId="0" applyFont="1" applyBorder="1"/>
    <xf numFmtId="0" fontId="3" fillId="0" borderId="54" xfId="0" applyFont="1" applyBorder="1"/>
    <xf numFmtId="0" fontId="0" fillId="24" borderId="0" xfId="0" applyFill="1"/>
    <xf numFmtId="0" fontId="15" fillId="0" borderId="34" xfId="0" applyFont="1" applyBorder="1"/>
    <xf numFmtId="0" fontId="2" fillId="0" borderId="0" xfId="3"/>
    <xf numFmtId="0" fontId="2" fillId="0" borderId="18" xfId="3" applyBorder="1" applyAlignment="1">
      <alignment horizontal="left"/>
    </xf>
    <xf numFmtId="0" fontId="2" fillId="0" borderId="11" xfId="3" applyBorder="1"/>
    <xf numFmtId="0" fontId="2" fillId="0" borderId="58" xfId="3" applyBorder="1"/>
    <xf numFmtId="0" fontId="2" fillId="0" borderId="18" xfId="3" applyBorder="1"/>
    <xf numFmtId="1" fontId="2" fillId="0" borderId="11" xfId="3" applyNumberFormat="1" applyBorder="1"/>
    <xf numFmtId="0" fontId="2" fillId="0" borderId="15" xfId="3" applyBorder="1"/>
    <xf numFmtId="0" fontId="2" fillId="8" borderId="18" xfId="3" applyFill="1" applyBorder="1"/>
    <xf numFmtId="0" fontId="2" fillId="8" borderId="11" xfId="3" applyFill="1" applyBorder="1"/>
    <xf numFmtId="0" fontId="2" fillId="8" borderId="58" xfId="3" applyFill="1" applyBorder="1"/>
    <xf numFmtId="168" fontId="2" fillId="0" borderId="11" xfId="3" applyNumberFormat="1" applyBorder="1"/>
    <xf numFmtId="0" fontId="7" fillId="0" borderId="5" xfId="3" applyFont="1" applyBorder="1" applyAlignment="1">
      <alignment horizontal="center"/>
    </xf>
    <xf numFmtId="0" fontId="7" fillId="0" borderId="6" xfId="3" applyFont="1" applyBorder="1" applyAlignment="1">
      <alignment horizontal="center"/>
    </xf>
    <xf numFmtId="0" fontId="7" fillId="0" borderId="7" xfId="3" applyFont="1" applyBorder="1" applyAlignment="1">
      <alignment horizontal="center"/>
    </xf>
    <xf numFmtId="0" fontId="7" fillId="0" borderId="0" xfId="3" applyFont="1" applyAlignment="1">
      <alignment horizontal="center"/>
    </xf>
    <xf numFmtId="0" fontId="7" fillId="0" borderId="18" xfId="3" applyFont="1" applyBorder="1"/>
    <xf numFmtId="0" fontId="7" fillId="0" borderId="58" xfId="3" applyFont="1" applyBorder="1"/>
    <xf numFmtId="0" fontId="2" fillId="0" borderId="66" xfId="3" applyBorder="1" applyAlignment="1">
      <alignment horizontal="center"/>
    </xf>
    <xf numFmtId="166" fontId="2" fillId="0" borderId="67" xfId="3" applyNumberFormat="1" applyBorder="1" applyAlignment="1">
      <alignment horizontal="center"/>
    </xf>
    <xf numFmtId="166" fontId="2" fillId="0" borderId="12" xfId="3" applyNumberFormat="1" applyBorder="1" applyAlignment="1">
      <alignment horizontal="center"/>
    </xf>
    <xf numFmtId="166" fontId="2" fillId="0" borderId="68" xfId="3" applyNumberFormat="1" applyBorder="1" applyAlignment="1">
      <alignment horizontal="center"/>
    </xf>
    <xf numFmtId="166" fontId="2" fillId="0" borderId="69" xfId="3" applyNumberFormat="1" applyBorder="1" applyAlignment="1">
      <alignment horizontal="center"/>
    </xf>
    <xf numFmtId="164" fontId="2" fillId="0" borderId="67" xfId="3" applyNumberFormat="1" applyBorder="1" applyAlignment="1">
      <alignment horizontal="center"/>
    </xf>
    <xf numFmtId="164" fontId="2" fillId="0" borderId="68" xfId="3" applyNumberFormat="1" applyBorder="1" applyAlignment="1">
      <alignment horizontal="center"/>
    </xf>
    <xf numFmtId="2" fontId="2" fillId="0" borderId="67" xfId="3" applyNumberFormat="1" applyBorder="1" applyAlignment="1">
      <alignment horizontal="center"/>
    </xf>
    <xf numFmtId="2" fontId="2" fillId="0" borderId="12" xfId="3" applyNumberFormat="1" applyBorder="1" applyAlignment="1">
      <alignment horizontal="center"/>
    </xf>
    <xf numFmtId="2" fontId="2" fillId="0" borderId="18" xfId="3" applyNumberFormat="1" applyBorder="1" applyAlignment="1">
      <alignment horizontal="center"/>
    </xf>
    <xf numFmtId="2" fontId="2" fillId="0" borderId="58" xfId="3" applyNumberFormat="1" applyBorder="1" applyAlignment="1">
      <alignment horizontal="center"/>
    </xf>
    <xf numFmtId="0" fontId="2" fillId="0" borderId="63" xfId="3" applyBorder="1" applyAlignment="1">
      <alignment horizontal="center"/>
    </xf>
    <xf numFmtId="166" fontId="2" fillId="0" borderId="11" xfId="3" applyNumberFormat="1" applyBorder="1" applyAlignment="1">
      <alignment horizontal="center"/>
    </xf>
    <xf numFmtId="166" fontId="2" fillId="0" borderId="58" xfId="3" applyNumberFormat="1" applyBorder="1" applyAlignment="1">
      <alignment horizontal="center"/>
    </xf>
    <xf numFmtId="0" fontId="2" fillId="0" borderId="0" xfId="3" applyAlignment="1">
      <alignment horizontal="center"/>
    </xf>
    <xf numFmtId="166" fontId="2" fillId="0" borderId="0" xfId="3" applyNumberFormat="1" applyAlignment="1">
      <alignment horizontal="center"/>
    </xf>
    <xf numFmtId="164" fontId="2" fillId="0" borderId="0" xfId="3" applyNumberFormat="1" applyAlignment="1">
      <alignment horizontal="center"/>
    </xf>
    <xf numFmtId="2" fontId="2" fillId="0" borderId="0" xfId="3" applyNumberFormat="1" applyAlignment="1">
      <alignment horizontal="center"/>
    </xf>
    <xf numFmtId="0" fontId="2" fillId="0" borderId="0" xfId="3" applyAlignment="1">
      <alignment horizontal="right"/>
    </xf>
    <xf numFmtId="166" fontId="2" fillId="0" borderId="18" xfId="3" applyNumberFormat="1" applyBorder="1" applyAlignment="1">
      <alignment horizontal="center"/>
    </xf>
    <xf numFmtId="166" fontId="2" fillId="0" borderId="8" xfId="3" applyNumberFormat="1" applyBorder="1" applyAlignment="1">
      <alignment horizontal="center"/>
    </xf>
    <xf numFmtId="2" fontId="2" fillId="0" borderId="5" xfId="3" applyNumberFormat="1" applyBorder="1" applyAlignment="1">
      <alignment horizontal="center"/>
    </xf>
    <xf numFmtId="2" fontId="2" fillId="0" borderId="7" xfId="3" applyNumberFormat="1" applyBorder="1" applyAlignment="1">
      <alignment horizontal="center"/>
    </xf>
    <xf numFmtId="2" fontId="2" fillId="0" borderId="0" xfId="3" applyNumberFormat="1"/>
    <xf numFmtId="167" fontId="0" fillId="0" borderId="0" xfId="0" applyNumberFormat="1"/>
    <xf numFmtId="1" fontId="7" fillId="12" borderId="0" xfId="0" applyNumberFormat="1" applyFont="1" applyFill="1"/>
    <xf numFmtId="0" fontId="58" fillId="0" borderId="0" xfId="0" applyFont="1"/>
    <xf numFmtId="0" fontId="2" fillId="4" borderId="70" xfId="3" applyFill="1" applyBorder="1" applyAlignment="1">
      <alignment vertical="center"/>
    </xf>
    <xf numFmtId="0" fontId="2" fillId="0" borderId="71" xfId="3" applyBorder="1" applyAlignment="1">
      <alignment horizontal="center"/>
    </xf>
    <xf numFmtId="2" fontId="2" fillId="0" borderId="11" xfId="3" applyNumberFormat="1" applyBorder="1"/>
    <xf numFmtId="2" fontId="2" fillId="0" borderId="58" xfId="3" applyNumberFormat="1" applyBorder="1"/>
    <xf numFmtId="2" fontId="7" fillId="0" borderId="7" xfId="3" applyNumberFormat="1" applyFont="1" applyBorder="1" applyAlignment="1">
      <alignment horizontal="center"/>
    </xf>
    <xf numFmtId="1" fontId="2" fillId="9" borderId="2" xfId="0" applyNumberFormat="1" applyFont="1" applyFill="1" applyBorder="1" applyAlignment="1">
      <alignment vertical="center"/>
    </xf>
    <xf numFmtId="0" fontId="3" fillId="9" borderId="44" xfId="0" applyFont="1" applyFill="1" applyBorder="1" applyAlignment="1">
      <alignment horizontal="center"/>
    </xf>
    <xf numFmtId="11" fontId="2" fillId="0" borderId="0" xfId="0" applyNumberFormat="1" applyFont="1"/>
    <xf numFmtId="1" fontId="2" fillId="0" borderId="0" xfId="0" applyNumberFormat="1" applyFont="1"/>
    <xf numFmtId="1" fontId="2" fillId="12" borderId="0" xfId="0" applyNumberFormat="1" applyFont="1" applyFill="1"/>
    <xf numFmtId="0" fontId="2" fillId="0" borderId="75" xfId="0" applyFont="1" applyBorder="1"/>
    <xf numFmtId="167" fontId="2" fillId="0" borderId="77" xfId="0" applyNumberFormat="1" applyFont="1" applyBorder="1"/>
    <xf numFmtId="11" fontId="7" fillId="0" borderId="77" xfId="0" applyNumberFormat="1" applyFont="1" applyBorder="1"/>
    <xf numFmtId="0" fontId="68" fillId="0" borderId="77" xfId="0" applyFont="1" applyBorder="1"/>
    <xf numFmtId="1" fontId="58" fillId="0" borderId="0" xfId="0" applyNumberFormat="1" applyFont="1"/>
    <xf numFmtId="0" fontId="75" fillId="0" borderId="0" xfId="0" applyFont="1"/>
    <xf numFmtId="167" fontId="58" fillId="0" borderId="0" xfId="0" applyNumberFormat="1" applyFont="1"/>
    <xf numFmtId="0" fontId="3" fillId="0" borderId="30" xfId="0" applyFont="1" applyBorder="1"/>
    <xf numFmtId="165" fontId="3" fillId="0" borderId="0" xfId="0" applyNumberFormat="1" applyFont="1"/>
    <xf numFmtId="11" fontId="3" fillId="0" borderId="0" xfId="0" applyNumberFormat="1" applyFont="1"/>
    <xf numFmtId="0" fontId="0" fillId="0" borderId="45" xfId="0" applyBorder="1"/>
    <xf numFmtId="1" fontId="2" fillId="22" borderId="0" xfId="0" applyNumberFormat="1" applyFont="1" applyFill="1"/>
    <xf numFmtId="1" fontId="61" fillId="0" borderId="0" xfId="0" applyNumberFormat="1" applyFont="1"/>
    <xf numFmtId="0" fontId="61" fillId="0" borderId="0" xfId="0" applyFont="1"/>
    <xf numFmtId="0" fontId="68" fillId="0" borderId="58" xfId="3" applyFont="1" applyBorder="1"/>
    <xf numFmtId="167" fontId="0" fillId="12" borderId="0" xfId="0" applyNumberFormat="1" applyFill="1"/>
    <xf numFmtId="166" fontId="7" fillId="12" borderId="0" xfId="0" applyNumberFormat="1" applyFont="1" applyFill="1"/>
    <xf numFmtId="11" fontId="0" fillId="22" borderId="0" xfId="0" applyNumberFormat="1" applyFill="1" applyAlignment="1">
      <alignment horizontal="right"/>
    </xf>
    <xf numFmtId="0" fontId="0" fillId="24" borderId="0" xfId="0" applyFill="1" applyAlignment="1">
      <alignment horizontal="right"/>
    </xf>
    <xf numFmtId="167" fontId="30" fillId="22" borderId="0" xfId="0" applyNumberFormat="1" applyFont="1" applyFill="1"/>
    <xf numFmtId="166" fontId="30" fillId="22" borderId="34" xfId="0" applyNumberFormat="1" applyFont="1" applyFill="1" applyBorder="1"/>
    <xf numFmtId="167" fontId="2" fillId="0" borderId="0" xfId="0" applyNumberFormat="1" applyFont="1"/>
    <xf numFmtId="0" fontId="2" fillId="0" borderId="24" xfId="3" applyBorder="1" applyAlignment="1">
      <alignment horizontal="left"/>
    </xf>
    <xf numFmtId="0" fontId="2" fillId="0" borderId="45" xfId="3" applyBorder="1"/>
    <xf numFmtId="0" fontId="2" fillId="0" borderId="46" xfId="3" applyBorder="1"/>
    <xf numFmtId="167" fontId="2" fillId="0" borderId="45" xfId="3" applyNumberFormat="1" applyBorder="1"/>
    <xf numFmtId="0" fontId="2" fillId="8" borderId="15" xfId="3" applyFill="1" applyBorder="1"/>
    <xf numFmtId="0" fontId="3" fillId="0" borderId="55" xfId="3" applyFont="1" applyBorder="1" applyAlignment="1">
      <alignment horizontal="center"/>
    </xf>
    <xf numFmtId="11" fontId="2" fillId="0" borderId="11" xfId="3" applyNumberFormat="1" applyBorder="1"/>
    <xf numFmtId="1" fontId="2" fillId="0" borderId="45" xfId="3" applyNumberFormat="1" applyBorder="1"/>
    <xf numFmtId="167" fontId="2" fillId="0" borderId="11" xfId="3" applyNumberFormat="1" applyBorder="1"/>
    <xf numFmtId="0" fontId="2" fillId="0" borderId="0" xfId="3" applyAlignment="1">
      <alignment horizontal="left"/>
    </xf>
    <xf numFmtId="1" fontId="2" fillId="0" borderId="0" xfId="3" applyNumberFormat="1"/>
    <xf numFmtId="167" fontId="2" fillId="0" borderId="0" xfId="3" applyNumberFormat="1"/>
    <xf numFmtId="0" fontId="0" fillId="23" borderId="0" xfId="0" applyFill="1"/>
    <xf numFmtId="178" fontId="8" fillId="12" borderId="0" xfId="0" applyNumberFormat="1" applyFont="1" applyFill="1"/>
    <xf numFmtId="2" fontId="2" fillId="0" borderId="0" xfId="0" applyNumberFormat="1" applyFont="1"/>
    <xf numFmtId="167" fontId="3" fillId="0" borderId="0" xfId="0" applyNumberFormat="1" applyFont="1" applyAlignment="1">
      <alignment horizontal="right"/>
    </xf>
    <xf numFmtId="1" fontId="2" fillId="24" borderId="0" xfId="0" applyNumberFormat="1" applyFont="1" applyFill="1"/>
    <xf numFmtId="0" fontId="2" fillId="24" borderId="0" xfId="0" applyFont="1" applyFill="1"/>
    <xf numFmtId="166" fontId="2" fillId="22" borderId="31" xfId="0" applyNumberFormat="1" applyFont="1" applyFill="1" applyBorder="1"/>
    <xf numFmtId="0" fontId="2" fillId="0" borderId="8" xfId="3" applyBorder="1"/>
    <xf numFmtId="168" fontId="2" fillId="0" borderId="8" xfId="3" applyNumberFormat="1" applyBorder="1"/>
    <xf numFmtId="0" fontId="3" fillId="0" borderId="57" xfId="3" applyFont="1" applyBorder="1" applyAlignment="1">
      <alignment horizontal="center"/>
    </xf>
    <xf numFmtId="0" fontId="2" fillId="8" borderId="64" xfId="3" applyFill="1" applyBorder="1"/>
    <xf numFmtId="167" fontId="2" fillId="0" borderId="44" xfId="3" applyNumberFormat="1" applyBorder="1"/>
    <xf numFmtId="164" fontId="2" fillId="0" borderId="58" xfId="3" applyNumberFormat="1" applyBorder="1" applyAlignment="1">
      <alignment horizontal="center"/>
    </xf>
    <xf numFmtId="167" fontId="61" fillId="0" borderId="0" xfId="0" applyNumberFormat="1" applyFont="1"/>
    <xf numFmtId="179" fontId="3" fillId="12" borderId="0" xfId="0" applyNumberFormat="1" applyFont="1" applyFill="1"/>
    <xf numFmtId="179" fontId="2" fillId="4" borderId="0" xfId="0" applyNumberFormat="1" applyFont="1" applyFill="1"/>
    <xf numFmtId="179" fontId="30" fillId="4" borderId="0" xfId="0" applyNumberFormat="1" applyFont="1" applyFill="1"/>
    <xf numFmtId="179" fontId="0" fillId="12" borderId="0" xfId="0" applyNumberFormat="1" applyFill="1"/>
    <xf numFmtId="179" fontId="0" fillId="4" borderId="31" xfId="0" applyNumberFormat="1" applyFill="1" applyBorder="1"/>
    <xf numFmtId="0" fontId="2" fillId="0" borderId="8" xfId="3" applyBorder="1" applyAlignment="1">
      <alignment horizontal="left"/>
    </xf>
    <xf numFmtId="2" fontId="2" fillId="0" borderId="59" xfId="3" applyNumberFormat="1" applyBorder="1" applyAlignment="1">
      <alignment horizontal="center"/>
    </xf>
    <xf numFmtId="1" fontId="2" fillId="0" borderId="0" xfId="3" applyNumberFormat="1" applyAlignment="1">
      <alignment horizontal="right"/>
    </xf>
    <xf numFmtId="167" fontId="2" fillId="8" borderId="11" xfId="3" applyNumberFormat="1" applyFill="1" applyBorder="1"/>
    <xf numFmtId="0" fontId="2" fillId="9" borderId="76" xfId="0" applyFont="1" applyFill="1" applyBorder="1" applyAlignment="1">
      <alignment horizontal="left"/>
    </xf>
    <xf numFmtId="168" fontId="2" fillId="9" borderId="28" xfId="0" applyNumberFormat="1" applyFont="1" applyFill="1" applyBorder="1" applyAlignment="1">
      <alignment horizontal="right"/>
    </xf>
    <xf numFmtId="0" fontId="2" fillId="9" borderId="29" xfId="0" applyFont="1" applyFill="1" applyBorder="1" applyAlignment="1">
      <alignment horizontal="left"/>
    </xf>
    <xf numFmtId="0" fontId="2" fillId="9" borderId="46" xfId="0" applyFont="1" applyFill="1" applyBorder="1" applyAlignment="1">
      <alignment horizontal="left"/>
    </xf>
    <xf numFmtId="168" fontId="2" fillId="22" borderId="0" xfId="0" applyNumberFormat="1" applyFont="1" applyFill="1"/>
    <xf numFmtId="1" fontId="2" fillId="9" borderId="44" xfId="0" applyNumberFormat="1" applyFont="1" applyFill="1" applyBorder="1" applyAlignment="1">
      <alignment horizontal="right"/>
    </xf>
    <xf numFmtId="0" fontId="2" fillId="16" borderId="0" xfId="3" applyFill="1" applyAlignment="1">
      <alignment vertical="center"/>
    </xf>
    <xf numFmtId="49" fontId="2" fillId="16" borderId="0" xfId="3" applyNumberFormat="1" applyFill="1" applyAlignment="1">
      <alignment vertical="center"/>
    </xf>
    <xf numFmtId="180" fontId="2" fillId="21" borderId="11" xfId="3" applyNumberFormat="1" applyFill="1" applyBorder="1" applyAlignment="1">
      <alignment horizontal="center" vertical="center"/>
    </xf>
    <xf numFmtId="0" fontId="2" fillId="0" borderId="11" xfId="0" applyFont="1" applyBorder="1"/>
    <xf numFmtId="0" fontId="2" fillId="0" borderId="15" xfId="0" applyFont="1" applyBorder="1"/>
    <xf numFmtId="0" fontId="2" fillId="0" borderId="16" xfId="0" applyFont="1" applyBorder="1"/>
    <xf numFmtId="0" fontId="2" fillId="0" borderId="17" xfId="0" applyFont="1" applyBorder="1"/>
    <xf numFmtId="0" fontId="68" fillId="0" borderId="11" xfId="0" applyFont="1" applyBorder="1"/>
    <xf numFmtId="0" fontId="2" fillId="0" borderId="13" xfId="0" applyFont="1" applyBorder="1"/>
    <xf numFmtId="0" fontId="2" fillId="4" borderId="11" xfId="0" applyFont="1" applyFill="1" applyBorder="1"/>
    <xf numFmtId="2" fontId="0" fillId="2" borderId="0" xfId="0" applyNumberFormat="1" applyFill="1"/>
    <xf numFmtId="0" fontId="2" fillId="6" borderId="11" xfId="0" applyFont="1" applyFill="1" applyBorder="1"/>
    <xf numFmtId="166" fontId="15" fillId="7" borderId="0" xfId="0" applyNumberFormat="1" applyFont="1" applyFill="1"/>
    <xf numFmtId="2" fontId="15" fillId="7" borderId="0" xfId="0" applyNumberFormat="1" applyFont="1" applyFill="1"/>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7" borderId="7" xfId="0" applyFont="1" applyFill="1" applyBorder="1" applyAlignment="1">
      <alignment horizontal="center" vertical="center" wrapText="1"/>
    </xf>
    <xf numFmtId="169" fontId="3" fillId="2" borderId="6" xfId="0" applyNumberFormat="1"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7" borderId="22"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7" borderId="27" xfId="0" applyFont="1" applyFill="1" applyBorder="1" applyAlignment="1">
      <alignment horizontal="center" vertical="center" wrapText="1"/>
    </xf>
    <xf numFmtId="0" fontId="3" fillId="14" borderId="5" xfId="0" applyFont="1" applyFill="1" applyBorder="1" applyAlignment="1">
      <alignment horizontal="center" vertical="center" wrapText="1"/>
    </xf>
    <xf numFmtId="2" fontId="3" fillId="14" borderId="6" xfId="0" applyNumberFormat="1" applyFont="1" applyFill="1" applyBorder="1" applyAlignment="1">
      <alignment horizontal="center" vertical="center" wrapText="1"/>
    </xf>
    <xf numFmtId="167" fontId="3" fillId="2" borderId="6" xfId="0" applyNumberFormat="1" applyFont="1" applyFill="1" applyBorder="1" applyAlignment="1">
      <alignment horizontal="center" vertical="center" wrapText="1"/>
    </xf>
    <xf numFmtId="166" fontId="3" fillId="2" borderId="5" xfId="0" applyNumberFormat="1" applyFont="1" applyFill="1" applyBorder="1" applyAlignment="1">
      <alignment horizontal="center" vertical="center" wrapText="1"/>
    </xf>
    <xf numFmtId="166" fontId="3" fillId="2" borderId="6" xfId="0" applyNumberFormat="1" applyFont="1" applyFill="1" applyBorder="1" applyAlignment="1">
      <alignment horizontal="center" vertical="center" wrapText="1"/>
    </xf>
    <xf numFmtId="0" fontId="3" fillId="4" borderId="3" xfId="0" applyFont="1" applyFill="1" applyBorder="1" applyAlignment="1">
      <alignment horizontal="center"/>
    </xf>
    <xf numFmtId="0" fontId="3" fillId="4" borderId="2" xfId="0" applyFont="1" applyFill="1" applyBorder="1" applyAlignment="1">
      <alignment horizontal="center"/>
    </xf>
    <xf numFmtId="166" fontId="3" fillId="4" borderId="2" xfId="0" applyNumberFormat="1" applyFont="1" applyFill="1" applyBorder="1" applyAlignment="1">
      <alignment horizontal="center"/>
    </xf>
    <xf numFmtId="166" fontId="3" fillId="7" borderId="23" xfId="0" applyNumberFormat="1" applyFont="1" applyFill="1" applyBorder="1" applyAlignment="1">
      <alignment horizontal="center" vertical="center" wrapText="1"/>
    </xf>
    <xf numFmtId="0" fontId="58" fillId="19" borderId="23" xfId="0" applyFont="1" applyFill="1" applyBorder="1" applyAlignment="1">
      <alignment horizontal="center" vertical="center" wrapText="1"/>
    </xf>
    <xf numFmtId="0" fontId="3" fillId="9" borderId="77" xfId="0" applyFont="1" applyFill="1" applyBorder="1"/>
    <xf numFmtId="0" fontId="2" fillId="9" borderId="77" xfId="0" applyFont="1" applyFill="1" applyBorder="1"/>
    <xf numFmtId="0" fontId="2" fillId="9" borderId="76" xfId="0" applyFont="1" applyFill="1" applyBorder="1"/>
    <xf numFmtId="0" fontId="74" fillId="9" borderId="28" xfId="0" applyFont="1" applyFill="1" applyBorder="1"/>
    <xf numFmtId="0" fontId="15" fillId="0" borderId="39" xfId="0" applyFont="1" applyBorder="1"/>
    <xf numFmtId="2" fontId="15" fillId="4" borderId="0" xfId="0" applyNumberFormat="1" applyFont="1" applyFill="1" applyAlignment="1">
      <alignment horizontal="right"/>
    </xf>
    <xf numFmtId="2" fontId="30" fillId="22" borderId="0" xfId="0" applyNumberFormat="1" applyFont="1" applyFill="1" applyAlignment="1">
      <alignment horizontal="right"/>
    </xf>
    <xf numFmtId="166" fontId="3" fillId="12" borderId="0" xfId="0" applyNumberFormat="1" applyFont="1" applyFill="1"/>
    <xf numFmtId="167" fontId="8" fillId="0" borderId="0" xfId="0" applyNumberFormat="1" applyFont="1"/>
    <xf numFmtId="167" fontId="0" fillId="13" borderId="0" xfId="0" applyNumberFormat="1" applyFill="1"/>
    <xf numFmtId="0" fontId="17" fillId="16" borderId="28" xfId="0" applyFont="1" applyFill="1" applyBorder="1"/>
    <xf numFmtId="0" fontId="2" fillId="9" borderId="0" xfId="0" applyFont="1" applyFill="1" applyAlignment="1">
      <alignment horizontal="right" vertical="top"/>
    </xf>
    <xf numFmtId="168" fontId="2" fillId="9" borderId="0" xfId="0" applyNumberFormat="1" applyFont="1" applyFill="1" applyAlignment="1">
      <alignment horizontal="left" vertical="center"/>
    </xf>
    <xf numFmtId="0" fontId="63" fillId="9" borderId="77" xfId="0" applyFont="1" applyFill="1" applyBorder="1" applyAlignment="1">
      <alignment horizontal="left"/>
    </xf>
    <xf numFmtId="0" fontId="3" fillId="4" borderId="0" xfId="0" applyFont="1" applyFill="1"/>
    <xf numFmtId="0" fontId="69" fillId="3" borderId="49" xfId="3" applyFont="1" applyFill="1" applyBorder="1" applyAlignment="1">
      <alignment horizontal="center" vertical="center"/>
    </xf>
    <xf numFmtId="0" fontId="69" fillId="3" borderId="50" xfId="3" applyFont="1" applyFill="1" applyBorder="1" applyAlignment="1">
      <alignment horizontal="center" vertical="center"/>
    </xf>
    <xf numFmtId="0" fontId="69" fillId="3" borderId="50" xfId="3" applyFont="1" applyFill="1" applyBorder="1" applyAlignment="1">
      <alignment horizontal="left" vertical="center"/>
    </xf>
    <xf numFmtId="168" fontId="0" fillId="0" borderId="0" xfId="0" applyNumberFormat="1" applyAlignment="1">
      <alignment horizontal="left"/>
    </xf>
    <xf numFmtId="0" fontId="63" fillId="0" borderId="0" xfId="0" applyFont="1"/>
    <xf numFmtId="167" fontId="3" fillId="9" borderId="0" xfId="0" applyNumberFormat="1" applyFont="1" applyFill="1" applyAlignment="1">
      <alignment horizontal="center"/>
    </xf>
    <xf numFmtId="0" fontId="3" fillId="5" borderId="69" xfId="0" applyFont="1" applyFill="1" applyBorder="1"/>
    <xf numFmtId="0" fontId="20" fillId="25" borderId="43" xfId="0" applyFont="1" applyFill="1" applyBorder="1"/>
    <xf numFmtId="0" fontId="20" fillId="25" borderId="41" xfId="0" applyFont="1" applyFill="1" applyBorder="1"/>
    <xf numFmtId="0" fontId="17" fillId="25" borderId="41" xfId="0" applyFont="1" applyFill="1" applyBorder="1"/>
    <xf numFmtId="171" fontId="17" fillId="25" borderId="0" xfId="0" applyNumberFormat="1" applyFont="1" applyFill="1" applyAlignment="1">
      <alignment horizontal="center"/>
    </xf>
    <xf numFmtId="0" fontId="17" fillId="25" borderId="0" xfId="0" applyFont="1" applyFill="1"/>
    <xf numFmtId="171" fontId="65" fillId="25" borderId="0" xfId="0" applyNumberFormat="1" applyFont="1" applyFill="1" applyAlignment="1">
      <alignment horizontal="center"/>
    </xf>
    <xf numFmtId="171" fontId="25" fillId="25" borderId="0" xfId="0" applyNumberFormat="1" applyFont="1" applyFill="1" applyAlignment="1">
      <alignment horizontal="center"/>
    </xf>
    <xf numFmtId="0" fontId="26" fillId="25" borderId="28" xfId="0" applyFont="1" applyFill="1" applyBorder="1" applyAlignment="1">
      <alignment horizontal="left"/>
    </xf>
    <xf numFmtId="0" fontId="26" fillId="25" borderId="0" xfId="0" applyFont="1" applyFill="1" applyAlignment="1">
      <alignment horizontal="left"/>
    </xf>
    <xf numFmtId="0" fontId="24" fillId="25" borderId="28" xfId="0" applyFont="1" applyFill="1" applyBorder="1" applyAlignment="1">
      <alignment horizontal="left" vertical="center"/>
    </xf>
    <xf numFmtId="0" fontId="24" fillId="25" borderId="0" xfId="0" applyFont="1" applyFill="1" applyAlignment="1">
      <alignment horizontal="left" vertical="center"/>
    </xf>
    <xf numFmtId="0" fontId="67" fillId="25" borderId="0" xfId="0" applyFont="1" applyFill="1" applyAlignment="1">
      <alignment horizontal="left" vertical="center"/>
    </xf>
    <xf numFmtId="0" fontId="31" fillId="25" borderId="30" xfId="0" applyFont="1" applyFill="1" applyBorder="1"/>
    <xf numFmtId="0" fontId="31" fillId="25" borderId="31" xfId="0" applyFont="1" applyFill="1" applyBorder="1"/>
    <xf numFmtId="0" fontId="20" fillId="25" borderId="31" xfId="0" applyFont="1" applyFill="1" applyBorder="1"/>
    <xf numFmtId="0" fontId="24" fillId="25" borderId="0" xfId="0" quotePrefix="1" applyFont="1" applyFill="1" applyAlignment="1">
      <alignment vertical="center"/>
    </xf>
    <xf numFmtId="0" fontId="20" fillId="25" borderId="0" xfId="0" applyFont="1" applyFill="1" applyAlignment="1">
      <alignment vertical="center"/>
    </xf>
    <xf numFmtId="0" fontId="29" fillId="25" borderId="0" xfId="0" applyFont="1" applyFill="1" applyAlignment="1">
      <alignment vertical="center"/>
    </xf>
    <xf numFmtId="0" fontId="29" fillId="25" borderId="0" xfId="0" applyFont="1" applyFill="1"/>
    <xf numFmtId="0" fontId="27" fillId="25" borderId="31" xfId="0" applyFont="1" applyFill="1" applyBorder="1"/>
    <xf numFmtId="0" fontId="27" fillId="25" borderId="45" xfId="0" applyFont="1" applyFill="1" applyBorder="1"/>
    <xf numFmtId="0" fontId="78" fillId="25" borderId="0" xfId="2" applyFont="1" applyFill="1" applyBorder="1" applyAlignment="1" applyProtection="1">
      <alignment horizontal="left" vertical="center"/>
    </xf>
    <xf numFmtId="0" fontId="78" fillId="25" borderId="0" xfId="2" applyFont="1" applyFill="1" applyAlignment="1" applyProtection="1"/>
    <xf numFmtId="167" fontId="3" fillId="24" borderId="0" xfId="0" applyNumberFormat="1" applyFont="1" applyFill="1" applyAlignment="1">
      <alignment horizontal="right"/>
    </xf>
    <xf numFmtId="167" fontId="0" fillId="22" borderId="0" xfId="0" applyNumberFormat="1" applyFill="1"/>
    <xf numFmtId="2" fontId="8" fillId="12" borderId="0" xfId="0" applyNumberFormat="1" applyFont="1" applyFill="1"/>
    <xf numFmtId="168" fontId="15" fillId="4" borderId="0" xfId="0" applyNumberFormat="1" applyFont="1" applyFill="1" applyAlignment="1">
      <alignment horizontal="right"/>
    </xf>
    <xf numFmtId="179" fontId="3" fillId="0" borderId="0" xfId="0" applyNumberFormat="1" applyFont="1"/>
    <xf numFmtId="2" fontId="30" fillId="0" borderId="0" xfId="0" applyNumberFormat="1" applyFont="1"/>
    <xf numFmtId="0" fontId="70" fillId="0" borderId="0" xfId="0" applyFont="1"/>
    <xf numFmtId="168" fontId="2" fillId="9" borderId="0" xfId="0" applyNumberFormat="1" applyFont="1" applyFill="1" applyAlignment="1">
      <alignment horizontal="right"/>
    </xf>
    <xf numFmtId="168" fontId="2" fillId="9" borderId="0" xfId="0" applyNumberFormat="1" applyFont="1" applyFill="1" applyAlignment="1">
      <alignment horizontal="right" vertical="center"/>
    </xf>
    <xf numFmtId="11" fontId="60" fillId="22" borderId="0" xfId="0" applyNumberFormat="1" applyFont="1" applyFill="1"/>
    <xf numFmtId="0" fontId="60" fillId="9" borderId="0" xfId="0" applyFont="1" applyFill="1" applyAlignment="1">
      <alignment horizontal="right"/>
    </xf>
    <xf numFmtId="2" fontId="2" fillId="16" borderId="0" xfId="0" applyNumberFormat="1" applyFont="1" applyFill="1"/>
    <xf numFmtId="11" fontId="30" fillId="22" borderId="0" xfId="0" applyNumberFormat="1" applyFont="1" applyFill="1" applyAlignment="1">
      <alignment horizontal="right"/>
    </xf>
    <xf numFmtId="11" fontId="0" fillId="22" borderId="0" xfId="0" applyNumberFormat="1" applyFill="1"/>
    <xf numFmtId="167" fontId="30" fillId="0" borderId="0" xfId="0" applyNumberFormat="1" applyFont="1"/>
    <xf numFmtId="0" fontId="70" fillId="0" borderId="0" xfId="0" applyFont="1" applyAlignment="1">
      <alignment horizontal="left"/>
    </xf>
    <xf numFmtId="0" fontId="58" fillId="0" borderId="0" xfId="0" applyFont="1" applyAlignment="1">
      <alignment horizontal="right"/>
    </xf>
    <xf numFmtId="0" fontId="58" fillId="0" borderId="0" xfId="0" applyFont="1" applyAlignment="1">
      <alignment horizontal="left"/>
    </xf>
    <xf numFmtId="0" fontId="0" fillId="16" borderId="0" xfId="0" applyFill="1"/>
    <xf numFmtId="0" fontId="3" fillId="2" borderId="23" xfId="0" applyFont="1" applyFill="1" applyBorder="1" applyAlignment="1">
      <alignment horizontal="center" vertical="center" wrapText="1"/>
    </xf>
    <xf numFmtId="2" fontId="3" fillId="2" borderId="5" xfId="0" applyNumberFormat="1" applyFont="1" applyFill="1" applyBorder="1" applyAlignment="1">
      <alignment horizontal="center" vertical="center" wrapText="1"/>
    </xf>
    <xf numFmtId="2" fontId="3" fillId="2" borderId="7" xfId="0" applyNumberFormat="1" applyFont="1" applyFill="1" applyBorder="1" applyAlignment="1">
      <alignment horizontal="center" vertical="center" wrapText="1"/>
    </xf>
    <xf numFmtId="167" fontId="0" fillId="0" borderId="0" xfId="0" applyNumberFormat="1" applyAlignment="1">
      <alignment horizontal="right"/>
    </xf>
    <xf numFmtId="178" fontId="0" fillId="0" borderId="0" xfId="0" applyNumberFormat="1"/>
    <xf numFmtId="0" fontId="3" fillId="0" borderId="28" xfId="0" applyFont="1" applyBorder="1" applyAlignment="1">
      <alignment horizontal="center"/>
    </xf>
    <xf numFmtId="167" fontId="77" fillId="26" borderId="0" xfId="0" applyNumberFormat="1" applyFont="1" applyFill="1" applyAlignment="1">
      <alignment horizontal="center" vertical="center"/>
    </xf>
    <xf numFmtId="166" fontId="3" fillId="26" borderId="0" xfId="0" applyNumberFormat="1" applyFont="1" applyFill="1" applyAlignment="1">
      <alignment horizontal="center" vertical="center" wrapText="1"/>
    </xf>
    <xf numFmtId="0" fontId="0" fillId="0" borderId="0" xfId="0" applyAlignment="1">
      <alignment horizontal="center"/>
    </xf>
    <xf numFmtId="2" fontId="0" fillId="0" borderId="0" xfId="0" applyNumberFormat="1" applyAlignment="1">
      <alignment horizontal="center"/>
    </xf>
    <xf numFmtId="1" fontId="3" fillId="16" borderId="0" xfId="0" applyNumberFormat="1" applyFont="1" applyFill="1" applyAlignment="1" applyProtection="1">
      <alignment horizontal="right" vertical="center"/>
      <protection hidden="1"/>
    </xf>
    <xf numFmtId="0" fontId="58" fillId="2" borderId="6" xfId="0" applyFont="1" applyFill="1" applyBorder="1" applyAlignment="1">
      <alignment horizontal="center" vertical="center" wrapText="1"/>
    </xf>
    <xf numFmtId="168" fontId="75" fillId="0" borderId="0" xfId="0" applyNumberFormat="1" applyFont="1"/>
    <xf numFmtId="10" fontId="75" fillId="0" borderId="0" xfId="0" applyNumberFormat="1" applyFont="1" applyAlignment="1">
      <alignment horizontal="center"/>
    </xf>
    <xf numFmtId="168" fontId="2" fillId="16" borderId="0" xfId="0" applyNumberFormat="1" applyFont="1" applyFill="1"/>
    <xf numFmtId="0" fontId="3" fillId="9" borderId="45" xfId="0" applyFont="1" applyFill="1" applyBorder="1" applyAlignment="1">
      <alignment horizontal="left" vertical="center"/>
    </xf>
    <xf numFmtId="0" fontId="60" fillId="0" borderId="28" xfId="0" applyFont="1" applyBorder="1"/>
    <xf numFmtId="1" fontId="63" fillId="0" borderId="0" xfId="0" applyNumberFormat="1" applyFont="1"/>
    <xf numFmtId="167" fontId="7" fillId="0" borderId="0" xfId="0" applyNumberFormat="1" applyFont="1"/>
    <xf numFmtId="2" fontId="60" fillId="9" borderId="2" xfId="1" applyNumberFormat="1" applyFont="1" applyFill="1" applyBorder="1" applyAlignment="1" applyProtection="1">
      <alignment horizontal="right"/>
    </xf>
    <xf numFmtId="0" fontId="17" fillId="16" borderId="41" xfId="0" applyFont="1" applyFill="1" applyBorder="1"/>
    <xf numFmtId="0" fontId="17" fillId="16" borderId="45" xfId="0" applyFont="1" applyFill="1" applyBorder="1"/>
    <xf numFmtId="0" fontId="60" fillId="16" borderId="45" xfId="0" applyFont="1" applyFill="1" applyBorder="1" applyAlignment="1">
      <alignment horizontal="center"/>
    </xf>
    <xf numFmtId="168" fontId="2" fillId="9" borderId="45" xfId="0" applyNumberFormat="1" applyFont="1" applyFill="1" applyBorder="1" applyAlignment="1">
      <alignment vertical="center"/>
    </xf>
    <xf numFmtId="0" fontId="0" fillId="0" borderId="46" xfId="0" applyBorder="1"/>
    <xf numFmtId="2" fontId="8" fillId="0" borderId="0" xfId="0" applyNumberFormat="1" applyFont="1"/>
    <xf numFmtId="167" fontId="3" fillId="0" borderId="2" xfId="0" applyNumberFormat="1" applyFont="1" applyBorder="1"/>
    <xf numFmtId="2" fontId="2" fillId="22" borderId="0" xfId="0" applyNumberFormat="1" applyFont="1" applyFill="1"/>
    <xf numFmtId="167" fontId="2" fillId="22" borderId="0" xfId="0" applyNumberFormat="1" applyFont="1" applyFill="1"/>
    <xf numFmtId="178" fontId="8" fillId="0" borderId="0" xfId="0" applyNumberFormat="1" applyFont="1"/>
    <xf numFmtId="0" fontId="2" fillId="16" borderId="45" xfId="0" applyFont="1" applyFill="1" applyBorder="1" applyAlignment="1">
      <alignment horizontal="right" vertical="center"/>
    </xf>
    <xf numFmtId="167" fontId="0" fillId="12" borderId="2" xfId="0" applyNumberFormat="1" applyFill="1" applyBorder="1"/>
    <xf numFmtId="2" fontId="2" fillId="9" borderId="31" xfId="0" applyNumberFormat="1" applyFont="1" applyFill="1" applyBorder="1"/>
    <xf numFmtId="167" fontId="0" fillId="4" borderId="2" xfId="0" applyNumberFormat="1" applyFill="1" applyBorder="1"/>
    <xf numFmtId="179" fontId="0" fillId="4" borderId="0" xfId="0" applyNumberFormat="1" applyFill="1"/>
    <xf numFmtId="0" fontId="2" fillId="23" borderId="0" xfId="0" applyFont="1" applyFill="1"/>
    <xf numFmtId="0" fontId="80" fillId="9" borderId="45" xfId="0" applyFont="1" applyFill="1" applyBorder="1" applyAlignment="1">
      <alignment horizontal="right" vertical="center"/>
    </xf>
    <xf numFmtId="0" fontId="84" fillId="0" borderId="0" xfId="0" applyFont="1" applyAlignment="1">
      <alignment horizontal="left"/>
    </xf>
    <xf numFmtId="1" fontId="2" fillId="9" borderId="0" xfId="0" applyNumberFormat="1" applyFont="1" applyFill="1" applyAlignment="1">
      <alignment horizontal="right"/>
    </xf>
    <xf numFmtId="0" fontId="84" fillId="0" borderId="0" xfId="0" applyFont="1" applyAlignment="1">
      <alignment horizontal="right"/>
    </xf>
    <xf numFmtId="0" fontId="61" fillId="0" borderId="0" xfId="0" applyFont="1" applyAlignment="1">
      <alignment horizontal="left"/>
    </xf>
    <xf numFmtId="2" fontId="2" fillId="0" borderId="68" xfId="3" applyNumberFormat="1" applyBorder="1" applyAlignment="1">
      <alignment horizontal="center"/>
    </xf>
    <xf numFmtId="0" fontId="6" fillId="9" borderId="77" xfId="0" applyFont="1" applyFill="1" applyBorder="1" applyAlignment="1">
      <alignment horizontal="right" vertical="center"/>
    </xf>
    <xf numFmtId="0" fontId="6" fillId="9" borderId="41" xfId="0" applyFont="1" applyFill="1" applyBorder="1" applyAlignment="1">
      <alignment horizontal="right" vertical="center"/>
    </xf>
    <xf numFmtId="167" fontId="8" fillId="7" borderId="11" xfId="0" applyNumberFormat="1" applyFont="1" applyFill="1" applyBorder="1"/>
    <xf numFmtId="167" fontId="15" fillId="7" borderId="11" xfId="0" applyNumberFormat="1" applyFont="1" applyFill="1" applyBorder="1"/>
    <xf numFmtId="167" fontId="0" fillId="7" borderId="11" xfId="0" applyNumberFormat="1" applyFill="1" applyBorder="1"/>
    <xf numFmtId="0" fontId="16" fillId="3" borderId="4" xfId="0" applyFont="1" applyFill="1" applyBorder="1" applyAlignment="1">
      <alignment vertical="center"/>
    </xf>
    <xf numFmtId="0" fontId="17" fillId="16" borderId="29" xfId="0" applyFont="1" applyFill="1" applyBorder="1"/>
    <xf numFmtId="0" fontId="63" fillId="9" borderId="75" xfId="0" applyFont="1" applyFill="1" applyBorder="1" applyAlignment="1">
      <alignment horizontal="left"/>
    </xf>
    <xf numFmtId="0" fontId="2" fillId="9" borderId="80" xfId="0" applyFont="1" applyFill="1" applyBorder="1" applyAlignment="1">
      <alignment vertical="center"/>
    </xf>
    <xf numFmtId="0" fontId="3" fillId="16" borderId="46" xfId="0" applyFont="1" applyFill="1" applyBorder="1" applyAlignment="1">
      <alignment vertical="center"/>
    </xf>
    <xf numFmtId="0" fontId="3" fillId="16" borderId="45" xfId="0" applyFont="1" applyFill="1" applyBorder="1" applyAlignment="1">
      <alignment horizontal="right" vertical="center"/>
    </xf>
    <xf numFmtId="168" fontId="63" fillId="9" borderId="45" xfId="0" applyNumberFormat="1" applyFont="1" applyFill="1" applyBorder="1" applyAlignment="1">
      <alignment horizontal="left" vertical="center"/>
    </xf>
    <xf numFmtId="0" fontId="3" fillId="9" borderId="80" xfId="0" applyFont="1" applyFill="1" applyBorder="1"/>
    <xf numFmtId="0" fontId="63" fillId="9" borderId="0" xfId="0" applyFont="1" applyFill="1" applyAlignment="1">
      <alignment horizontal="right"/>
    </xf>
    <xf numFmtId="0" fontId="63" fillId="9" borderId="0" xfId="0" applyFont="1" applyFill="1" applyAlignment="1">
      <alignment horizontal="left"/>
    </xf>
    <xf numFmtId="0" fontId="63" fillId="9" borderId="42" xfId="0" applyFont="1" applyFill="1" applyBorder="1" applyAlignment="1">
      <alignment horizontal="left"/>
    </xf>
    <xf numFmtId="0" fontId="3" fillId="16" borderId="0" xfId="0" applyFont="1" applyFill="1" applyAlignment="1">
      <alignment horizontal="right"/>
    </xf>
    <xf numFmtId="0" fontId="3" fillId="16" borderId="0" xfId="0" applyFont="1" applyFill="1"/>
    <xf numFmtId="0" fontId="2" fillId="16" borderId="80" xfId="0" applyFont="1" applyFill="1" applyBorder="1"/>
    <xf numFmtId="0" fontId="2" fillId="9" borderId="80" xfId="0" applyFont="1" applyFill="1" applyBorder="1"/>
    <xf numFmtId="168" fontId="15" fillId="0" borderId="0" xfId="0" applyNumberFormat="1" applyFont="1"/>
    <xf numFmtId="0" fontId="2" fillId="0" borderId="80" xfId="0" applyFont="1" applyBorder="1"/>
    <xf numFmtId="0" fontId="3" fillId="9" borderId="0" xfId="0" applyFont="1" applyFill="1" applyAlignment="1">
      <alignment horizontal="left" vertical="center"/>
    </xf>
    <xf numFmtId="0" fontId="3" fillId="19" borderId="45" xfId="0" applyFont="1" applyFill="1" applyBorder="1" applyAlignment="1" applyProtection="1">
      <alignment horizontal="right" vertical="center"/>
      <protection locked="0"/>
    </xf>
    <xf numFmtId="0" fontId="17" fillId="16" borderId="80" xfId="0" applyFont="1" applyFill="1" applyBorder="1"/>
    <xf numFmtId="0" fontId="3" fillId="16" borderId="0" xfId="0" applyFont="1" applyFill="1" applyAlignment="1">
      <alignment horizontal="right" vertical="center"/>
    </xf>
    <xf numFmtId="0" fontId="3" fillId="16" borderId="0" xfId="0" applyFont="1" applyFill="1" applyAlignment="1">
      <alignment vertical="center"/>
    </xf>
    <xf numFmtId="0" fontId="3" fillId="4" borderId="56" xfId="0" applyFont="1" applyFill="1" applyBorder="1" applyAlignment="1">
      <alignment horizontal="center"/>
    </xf>
    <xf numFmtId="0" fontId="3" fillId="2" borderId="82" xfId="0" applyFont="1" applyFill="1" applyBorder="1" applyAlignment="1">
      <alignment horizontal="center" vertical="center" wrapText="1"/>
    </xf>
    <xf numFmtId="0" fontId="58" fillId="2" borderId="82" xfId="0" applyFont="1" applyFill="1" applyBorder="1" applyAlignment="1">
      <alignment horizontal="center" vertical="center" wrapText="1"/>
    </xf>
    <xf numFmtId="168" fontId="30" fillId="22" borderId="0" xfId="0" applyNumberFormat="1" applyFont="1" applyFill="1" applyAlignment="1">
      <alignment horizontal="right"/>
    </xf>
    <xf numFmtId="2" fontId="0" fillId="22" borderId="0" xfId="0" applyNumberFormat="1" applyFill="1" applyAlignment="1">
      <alignment horizontal="right"/>
    </xf>
    <xf numFmtId="2" fontId="0" fillId="0" borderId="0" xfId="0" applyNumberFormat="1" applyAlignment="1">
      <alignment horizontal="right"/>
    </xf>
    <xf numFmtId="168" fontId="30" fillId="0" borderId="0" xfId="0" applyNumberFormat="1" applyFont="1"/>
    <xf numFmtId="2" fontId="58" fillId="0" borderId="0" xfId="0" applyNumberFormat="1" applyFont="1"/>
    <xf numFmtId="0" fontId="2" fillId="16" borderId="0" xfId="0" applyFont="1" applyFill="1" applyAlignment="1">
      <alignment horizontal="right" vertical="top" readingOrder="1"/>
    </xf>
    <xf numFmtId="0" fontId="63" fillId="16" borderId="0" xfId="0" applyFont="1" applyFill="1" applyAlignment="1">
      <alignment horizontal="right"/>
    </xf>
    <xf numFmtId="0" fontId="2" fillId="16" borderId="0" xfId="0" applyFont="1" applyFill="1" applyAlignment="1">
      <alignment vertical="center"/>
    </xf>
    <xf numFmtId="1" fontId="2" fillId="16" borderId="0" xfId="0" applyNumberFormat="1" applyFont="1" applyFill="1" applyAlignment="1">
      <alignment vertical="center"/>
    </xf>
    <xf numFmtId="168" fontId="2" fillId="16" borderId="0" xfId="0" applyNumberFormat="1" applyFont="1" applyFill="1" applyAlignment="1">
      <alignment vertical="center"/>
    </xf>
    <xf numFmtId="0" fontId="3" fillId="16" borderId="0" xfId="0" applyFont="1" applyFill="1" applyAlignment="1">
      <alignment horizontal="left" vertical="center"/>
    </xf>
    <xf numFmtId="0" fontId="2" fillId="16" borderId="0" xfId="0" applyFont="1" applyFill="1" applyAlignment="1">
      <alignment horizontal="right" vertical="center"/>
    </xf>
    <xf numFmtId="0" fontId="53" fillId="16" borderId="0" xfId="0" applyFont="1" applyFill="1"/>
    <xf numFmtId="0" fontId="2" fillId="16" borderId="0" xfId="0" applyFont="1" applyFill="1" applyAlignment="1">
      <alignment horizontal="right"/>
    </xf>
    <xf numFmtId="168" fontId="2" fillId="16" borderId="0" xfId="0" applyNumberFormat="1" applyFont="1" applyFill="1" applyAlignment="1">
      <alignment horizontal="right" vertical="center"/>
    </xf>
    <xf numFmtId="1" fontId="2" fillId="16" borderId="0" xfId="0" applyNumberFormat="1" applyFont="1" applyFill="1"/>
    <xf numFmtId="0" fontId="53" fillId="16" borderId="80" xfId="0" applyFont="1" applyFill="1" applyBorder="1"/>
    <xf numFmtId="0" fontId="54" fillId="16" borderId="80" xfId="0" applyFont="1" applyFill="1" applyBorder="1"/>
    <xf numFmtId="2" fontId="60" fillId="16" borderId="0" xfId="1" applyNumberFormat="1" applyFont="1" applyFill="1" applyBorder="1" applyAlignment="1" applyProtection="1">
      <alignment horizontal="right"/>
    </xf>
    <xf numFmtId="0" fontId="2" fillId="9" borderId="41" xfId="0" applyFont="1" applyFill="1" applyBorder="1" applyAlignment="1">
      <alignment vertical="center"/>
    </xf>
    <xf numFmtId="0" fontId="2" fillId="9" borderId="41" xfId="0" applyFont="1" applyFill="1" applyBorder="1" applyAlignment="1">
      <alignment horizontal="right" vertical="center"/>
    </xf>
    <xf numFmtId="0" fontId="61" fillId="9" borderId="41" xfId="0" applyFont="1" applyFill="1" applyBorder="1" applyAlignment="1">
      <alignment horizontal="right" vertical="center"/>
    </xf>
    <xf numFmtId="0" fontId="3" fillId="19" borderId="41" xfId="0" applyFont="1" applyFill="1" applyBorder="1" applyAlignment="1" applyProtection="1">
      <alignment vertical="center"/>
      <protection locked="0"/>
    </xf>
    <xf numFmtId="0" fontId="3" fillId="9" borderId="42" xfId="0" applyFont="1" applyFill="1" applyBorder="1" applyAlignment="1">
      <alignment vertical="center"/>
    </xf>
    <xf numFmtId="167" fontId="0" fillId="0" borderId="2" xfId="0" applyNumberFormat="1" applyBorder="1"/>
    <xf numFmtId="2" fontId="30" fillId="0" borderId="0" xfId="0" applyNumberFormat="1" applyFont="1" applyAlignment="1">
      <alignment horizontal="right"/>
    </xf>
    <xf numFmtId="179" fontId="2" fillId="0" borderId="0" xfId="0" applyNumberFormat="1" applyFont="1"/>
    <xf numFmtId="166" fontId="3" fillId="0" borderId="0" xfId="0" applyNumberFormat="1" applyFont="1"/>
    <xf numFmtId="2" fontId="15" fillId="0" borderId="0" xfId="0" applyNumberFormat="1" applyFont="1" applyAlignment="1">
      <alignment horizontal="right"/>
    </xf>
    <xf numFmtId="166" fontId="2" fillId="0" borderId="31" xfId="0" applyNumberFormat="1" applyFont="1" applyBorder="1"/>
    <xf numFmtId="168" fontId="2" fillId="0" borderId="0" xfId="0" applyNumberFormat="1" applyFont="1"/>
    <xf numFmtId="1" fontId="7" fillId="0" borderId="0" xfId="0" applyNumberFormat="1" applyFont="1"/>
    <xf numFmtId="0" fontId="2" fillId="0" borderId="44" xfId="0" applyFont="1" applyBorder="1"/>
    <xf numFmtId="0" fontId="2" fillId="0" borderId="45" xfId="0" applyFont="1" applyBorder="1"/>
    <xf numFmtId="2" fontId="0" fillId="0" borderId="45" xfId="0" applyNumberFormat="1" applyBorder="1"/>
    <xf numFmtId="168" fontId="2" fillId="12" borderId="45" xfId="0" applyNumberFormat="1" applyFont="1" applyFill="1" applyBorder="1"/>
    <xf numFmtId="0" fontId="2" fillId="0" borderId="0" xfId="0" quotePrefix="1" applyFont="1"/>
    <xf numFmtId="0" fontId="3" fillId="0" borderId="80" xfId="0" applyFont="1" applyBorder="1"/>
    <xf numFmtId="0" fontId="3" fillId="16" borderId="80" xfId="0" applyFont="1" applyFill="1" applyBorder="1"/>
    <xf numFmtId="1" fontId="3" fillId="16" borderId="0" xfId="0" applyNumberFormat="1" applyFont="1" applyFill="1"/>
    <xf numFmtId="1" fontId="61" fillId="16" borderId="0" xfId="0" applyNumberFormat="1" applyFont="1" applyFill="1" applyAlignment="1">
      <alignment horizontal="right" vertical="center"/>
    </xf>
    <xf numFmtId="0" fontId="61" fillId="16" borderId="0" xfId="0" applyFont="1" applyFill="1" applyAlignment="1">
      <alignment vertical="center"/>
    </xf>
    <xf numFmtId="0" fontId="2" fillId="16" borderId="0" xfId="0" applyFont="1" applyFill="1" applyAlignment="1" applyProtection="1">
      <alignment horizontal="left"/>
      <protection hidden="1"/>
    </xf>
    <xf numFmtId="0" fontId="56" fillId="9" borderId="41" xfId="0" applyFont="1" applyFill="1" applyBorder="1" applyAlignment="1" applyProtection="1">
      <alignment horizontal="left"/>
      <protection hidden="1"/>
    </xf>
    <xf numFmtId="1" fontId="2" fillId="9" borderId="41" xfId="0" applyNumberFormat="1" applyFont="1" applyFill="1" applyBorder="1" applyAlignment="1" applyProtection="1">
      <alignment horizontal="right"/>
      <protection hidden="1"/>
    </xf>
    <xf numFmtId="0" fontId="2" fillId="9" borderId="41" xfId="0" applyFont="1" applyFill="1" applyBorder="1" applyAlignment="1" applyProtection="1">
      <alignment horizontal="left"/>
      <protection hidden="1"/>
    </xf>
    <xf numFmtId="0" fontId="2" fillId="9" borderId="0" xfId="0" applyFont="1" applyFill="1" applyAlignment="1" applyProtection="1">
      <alignment horizontal="right"/>
      <protection hidden="1"/>
    </xf>
    <xf numFmtId="0" fontId="2" fillId="9" borderId="0" xfId="0" applyFont="1" applyFill="1" applyProtection="1">
      <protection hidden="1"/>
    </xf>
    <xf numFmtId="0" fontId="56" fillId="16" borderId="0" xfId="0" applyFont="1" applyFill="1" applyAlignment="1" applyProtection="1">
      <alignment horizontal="right"/>
      <protection hidden="1"/>
    </xf>
    <xf numFmtId="0" fontId="2" fillId="16" borderId="44" xfId="0" applyFont="1" applyFill="1" applyBorder="1"/>
    <xf numFmtId="0" fontId="2" fillId="16" borderId="45" xfId="0" applyFont="1" applyFill="1" applyBorder="1"/>
    <xf numFmtId="0" fontId="80" fillId="16" borderId="45" xfId="0" applyFont="1" applyFill="1" applyBorder="1" applyAlignment="1">
      <alignment horizontal="right"/>
    </xf>
    <xf numFmtId="0" fontId="80" fillId="16" borderId="46" xfId="0" applyFont="1" applyFill="1" applyBorder="1" applyAlignment="1">
      <alignment horizontal="right"/>
    </xf>
    <xf numFmtId="2" fontId="3" fillId="0" borderId="0" xfId="0" applyNumberFormat="1" applyFont="1"/>
    <xf numFmtId="0" fontId="2" fillId="9" borderId="30" xfId="0" applyFont="1" applyFill="1" applyBorder="1" applyAlignment="1">
      <alignment horizontal="right"/>
    </xf>
    <xf numFmtId="0" fontId="2" fillId="0" borderId="0" xfId="0" applyFont="1" applyAlignment="1">
      <alignment horizontal="center"/>
    </xf>
    <xf numFmtId="2" fontId="85" fillId="0" borderId="0" xfId="0" applyNumberFormat="1" applyFont="1"/>
    <xf numFmtId="1" fontId="86" fillId="0" borderId="0" xfId="0" applyNumberFormat="1" applyFont="1"/>
    <xf numFmtId="0" fontId="86" fillId="0" borderId="0" xfId="0" applyFont="1"/>
    <xf numFmtId="11" fontId="2" fillId="0" borderId="63" xfId="3" applyNumberFormat="1" applyBorder="1" applyAlignment="1">
      <alignment horizontal="center"/>
    </xf>
    <xf numFmtId="0" fontId="60" fillId="9" borderId="2" xfId="0" applyFont="1" applyFill="1" applyBorder="1" applyAlignment="1">
      <alignment horizontal="right"/>
    </xf>
    <xf numFmtId="0" fontId="2" fillId="16" borderId="75" xfId="0" applyFont="1" applyFill="1" applyBorder="1"/>
    <xf numFmtId="0" fontId="2" fillId="16" borderId="45" xfId="0" applyFont="1" applyFill="1" applyBorder="1" applyAlignment="1">
      <alignment horizontal="right"/>
    </xf>
    <xf numFmtId="0" fontId="2" fillId="16" borderId="46" xfId="0" applyFont="1" applyFill="1" applyBorder="1"/>
    <xf numFmtId="0" fontId="2" fillId="0" borderId="41" xfId="3" quotePrefix="1" applyBorder="1" applyAlignment="1">
      <alignment horizontal="right"/>
    </xf>
    <xf numFmtId="0" fontId="2" fillId="16" borderId="72" xfId="0" applyFont="1" applyFill="1" applyBorder="1"/>
    <xf numFmtId="11" fontId="87" fillId="0" borderId="0" xfId="0" applyNumberFormat="1" applyFont="1"/>
    <xf numFmtId="0" fontId="88" fillId="16" borderId="29" xfId="0" applyFont="1" applyFill="1" applyBorder="1"/>
    <xf numFmtId="0" fontId="58" fillId="16" borderId="80" xfId="0" applyFont="1" applyFill="1" applyBorder="1" applyAlignment="1">
      <alignment horizontal="right"/>
    </xf>
    <xf numFmtId="0" fontId="59" fillId="0" borderId="0" xfId="0" applyFont="1"/>
    <xf numFmtId="11" fontId="59" fillId="0" borderId="0" xfId="0" applyNumberFormat="1" applyFont="1"/>
    <xf numFmtId="1" fontId="59" fillId="0" borderId="0" xfId="0" applyNumberFormat="1" applyFont="1"/>
    <xf numFmtId="0" fontId="59" fillId="0" borderId="0" xfId="0" applyFont="1" applyAlignment="1">
      <alignment horizontal="center"/>
    </xf>
    <xf numFmtId="11" fontId="25" fillId="0" borderId="0" xfId="0" quotePrefix="1" applyNumberFormat="1" applyFont="1"/>
    <xf numFmtId="0" fontId="89" fillId="0" borderId="0" xfId="0" applyFont="1"/>
    <xf numFmtId="11" fontId="89" fillId="0" borderId="0" xfId="0" quotePrefix="1" applyNumberFormat="1" applyFont="1"/>
    <xf numFmtId="0" fontId="0" fillId="0" borderId="80" xfId="0" applyBorder="1"/>
    <xf numFmtId="0" fontId="90" fillId="27" borderId="0" xfId="6" applyNumberFormat="1"/>
    <xf numFmtId="11" fontId="90" fillId="27" borderId="0" xfId="6" applyNumberFormat="1"/>
    <xf numFmtId="181" fontId="90" fillId="27" borderId="0" xfId="6" applyNumberFormat="1"/>
    <xf numFmtId="0" fontId="7" fillId="0" borderId="80" xfId="0" applyFont="1" applyBorder="1"/>
    <xf numFmtId="0" fontId="2" fillId="19" borderId="0" xfId="0" applyFont="1" applyFill="1"/>
    <xf numFmtId="0" fontId="0" fillId="19" borderId="0" xfId="0" applyFill="1"/>
    <xf numFmtId="0" fontId="68" fillId="19" borderId="0" xfId="0" applyFont="1" applyFill="1"/>
    <xf numFmtId="11" fontId="0" fillId="19" borderId="0" xfId="0" applyNumberFormat="1" applyFill="1"/>
    <xf numFmtId="168" fontId="0" fillId="16" borderId="0" xfId="0" applyNumberFormat="1" applyFill="1"/>
    <xf numFmtId="1" fontId="2" fillId="0" borderId="8" xfId="3" applyNumberFormat="1" applyBorder="1"/>
    <xf numFmtId="11" fontId="2" fillId="0" borderId="8" xfId="3" applyNumberFormat="1" applyBorder="1"/>
    <xf numFmtId="167" fontId="2" fillId="8" borderId="8" xfId="3" applyNumberFormat="1" applyFill="1" applyBorder="1"/>
    <xf numFmtId="166" fontId="2" fillId="0" borderId="4" xfId="3" applyNumberFormat="1" applyBorder="1" applyAlignment="1">
      <alignment horizontal="center"/>
    </xf>
    <xf numFmtId="166" fontId="2" fillId="0" borderId="61" xfId="3" applyNumberFormat="1" applyBorder="1" applyAlignment="1">
      <alignment horizontal="center"/>
    </xf>
    <xf numFmtId="0" fontId="0" fillId="28" borderId="0" xfId="0" applyFill="1"/>
    <xf numFmtId="0" fontId="0" fillId="28" borderId="45" xfId="0" applyFill="1" applyBorder="1"/>
    <xf numFmtId="11" fontId="0" fillId="28" borderId="0" xfId="0" applyNumberFormat="1" applyFill="1"/>
    <xf numFmtId="11" fontId="2" fillId="8" borderId="8" xfId="3" applyNumberFormat="1" applyFill="1" applyBorder="1"/>
    <xf numFmtId="166" fontId="2" fillId="0" borderId="0" xfId="3" applyNumberFormat="1"/>
    <xf numFmtId="166" fontId="2" fillId="0" borderId="62" xfId="3" applyNumberFormat="1" applyBorder="1" applyAlignment="1">
      <alignment horizontal="center"/>
    </xf>
    <xf numFmtId="166" fontId="2" fillId="0" borderId="15" xfId="3" applyNumberFormat="1" applyBorder="1" applyAlignment="1">
      <alignment horizontal="center"/>
    </xf>
    <xf numFmtId="166" fontId="2" fillId="0" borderId="65" xfId="3" applyNumberFormat="1" applyBorder="1" applyAlignment="1">
      <alignment horizontal="center"/>
    </xf>
    <xf numFmtId="0" fontId="2" fillId="9" borderId="71" xfId="0" applyFont="1" applyFill="1" applyBorder="1"/>
    <xf numFmtId="0" fontId="2" fillId="9" borderId="4" xfId="0" applyFont="1" applyFill="1" applyBorder="1"/>
    <xf numFmtId="0" fontId="2" fillId="9" borderId="4" xfId="0" applyFont="1" applyFill="1" applyBorder="1" applyAlignment="1">
      <alignment horizontal="right" vertical="center"/>
    </xf>
    <xf numFmtId="0" fontId="60" fillId="0" borderId="80" xfId="0" applyFont="1" applyBorder="1"/>
    <xf numFmtId="11" fontId="0" fillId="0" borderId="0" xfId="0" applyNumberFormat="1" applyAlignment="1">
      <alignment horizontal="right"/>
    </xf>
    <xf numFmtId="2" fontId="0" fillId="4" borderId="0" xfId="5" applyNumberFormat="1" applyFont="1" applyFill="1" applyBorder="1"/>
    <xf numFmtId="0" fontId="54" fillId="16" borderId="0" xfId="0" applyFont="1" applyFill="1"/>
    <xf numFmtId="0" fontId="2" fillId="9" borderId="83" xfId="0" applyFont="1" applyFill="1" applyBorder="1"/>
    <xf numFmtId="0" fontId="17" fillId="3" borderId="0" xfId="3" applyFont="1" applyFill="1"/>
    <xf numFmtId="171" fontId="17" fillId="3" borderId="0" xfId="3" applyNumberFormat="1" applyFont="1" applyFill="1" applyAlignment="1">
      <alignment horizontal="center"/>
    </xf>
    <xf numFmtId="171" fontId="17" fillId="25" borderId="0" xfId="3" applyNumberFormat="1" applyFont="1" applyFill="1" applyAlignment="1">
      <alignment horizontal="center"/>
    </xf>
    <xf numFmtId="171" fontId="25" fillId="25" borderId="0" xfId="3" applyNumberFormat="1" applyFont="1" applyFill="1" applyAlignment="1">
      <alignment horizontal="center"/>
    </xf>
    <xf numFmtId="171" fontId="65" fillId="25" borderId="0" xfId="3" applyNumberFormat="1" applyFont="1" applyFill="1" applyAlignment="1">
      <alignment horizontal="center"/>
    </xf>
    <xf numFmtId="0" fontId="17" fillId="25" borderId="0" xfId="3" applyFont="1" applyFill="1"/>
    <xf numFmtId="0" fontId="2" fillId="16" borderId="41" xfId="3" applyFill="1" applyBorder="1"/>
    <xf numFmtId="0" fontId="3" fillId="9" borderId="46" xfId="3" applyFont="1" applyFill="1" applyBorder="1" applyAlignment="1">
      <alignment vertical="center"/>
    </xf>
    <xf numFmtId="0" fontId="3" fillId="16" borderId="45" xfId="3" applyFont="1" applyFill="1" applyBorder="1" applyAlignment="1">
      <alignment horizontal="right"/>
    </xf>
    <xf numFmtId="0" fontId="3" fillId="16" borderId="44" xfId="3" applyFont="1" applyFill="1" applyBorder="1"/>
    <xf numFmtId="0" fontId="2" fillId="16" borderId="29" xfId="3" applyFill="1" applyBorder="1"/>
    <xf numFmtId="0" fontId="3" fillId="9" borderId="45" xfId="3" applyFont="1" applyFill="1" applyBorder="1" applyAlignment="1">
      <alignment horizontal="right"/>
    </xf>
    <xf numFmtId="0" fontId="3" fillId="9" borderId="76" xfId="3" applyFont="1" applyFill="1" applyBorder="1"/>
    <xf numFmtId="0" fontId="3" fillId="16" borderId="41" xfId="3" applyFont="1" applyFill="1" applyBorder="1" applyAlignment="1">
      <alignment horizontal="right"/>
    </xf>
    <xf numFmtId="0" fontId="2" fillId="16" borderId="75" xfId="3" applyFill="1" applyBorder="1"/>
    <xf numFmtId="0" fontId="3" fillId="9" borderId="29" xfId="3" applyFont="1" applyFill="1" applyBorder="1"/>
    <xf numFmtId="0" fontId="3" fillId="9" borderId="0" xfId="3" applyFont="1" applyFill="1" applyAlignment="1">
      <alignment horizontal="right"/>
    </xf>
    <xf numFmtId="0" fontId="3" fillId="16" borderId="75" xfId="3" applyFont="1" applyFill="1" applyBorder="1"/>
    <xf numFmtId="0" fontId="91" fillId="9" borderId="0" xfId="3" applyFont="1" applyFill="1"/>
    <xf numFmtId="0" fontId="91" fillId="16" borderId="0" xfId="3" applyFont="1" applyFill="1"/>
    <xf numFmtId="0" fontId="2" fillId="16" borderId="45" xfId="3" applyFill="1" applyBorder="1"/>
    <xf numFmtId="0" fontId="2" fillId="9" borderId="46" xfId="3" applyFill="1" applyBorder="1" applyAlignment="1">
      <alignment vertical="center"/>
    </xf>
    <xf numFmtId="0" fontId="3" fillId="19" borderId="45" xfId="3" applyFont="1" applyFill="1" applyBorder="1" applyProtection="1">
      <protection locked="0"/>
    </xf>
    <xf numFmtId="0" fontId="2" fillId="16" borderId="45" xfId="3" applyFill="1" applyBorder="1" applyAlignment="1">
      <alignment horizontal="right"/>
    </xf>
    <xf numFmtId="2" fontId="2" fillId="9" borderId="45" xfId="3" applyNumberFormat="1" applyFill="1" applyBorder="1"/>
    <xf numFmtId="0" fontId="2" fillId="9" borderId="45" xfId="3" applyFill="1" applyBorder="1" applyAlignment="1">
      <alignment horizontal="right"/>
    </xf>
    <xf numFmtId="0" fontId="2" fillId="16" borderId="44" xfId="3" applyFill="1" applyBorder="1"/>
    <xf numFmtId="0" fontId="2" fillId="16" borderId="46" xfId="3" applyFill="1" applyBorder="1"/>
    <xf numFmtId="0" fontId="2" fillId="9" borderId="29" xfId="3" applyFill="1" applyBorder="1"/>
    <xf numFmtId="0" fontId="3" fillId="19" borderId="0" xfId="3" applyFont="1" applyFill="1" applyProtection="1">
      <protection locked="0"/>
    </xf>
    <xf numFmtId="0" fontId="2" fillId="16" borderId="0" xfId="3" applyFill="1" applyAlignment="1">
      <alignment horizontal="right"/>
    </xf>
    <xf numFmtId="0" fontId="2" fillId="9" borderId="0" xfId="3" applyFill="1" applyAlignment="1">
      <alignment horizontal="right"/>
    </xf>
    <xf numFmtId="0" fontId="2" fillId="16" borderId="80" xfId="3" applyFill="1" applyBorder="1"/>
    <xf numFmtId="0" fontId="2" fillId="9" borderId="76" xfId="3" applyFill="1" applyBorder="1"/>
    <xf numFmtId="0" fontId="3" fillId="19" borderId="41" xfId="3" applyFont="1" applyFill="1" applyBorder="1" applyProtection="1">
      <protection locked="0"/>
    </xf>
    <xf numFmtId="0" fontId="60" fillId="9" borderId="41" xfId="3" applyFont="1" applyFill="1" applyBorder="1" applyAlignment="1">
      <alignment horizontal="right"/>
    </xf>
    <xf numFmtId="0" fontId="2" fillId="16" borderId="76" xfId="3" applyFill="1" applyBorder="1"/>
    <xf numFmtId="0" fontId="92" fillId="16" borderId="41" xfId="3" applyFont="1" applyFill="1" applyBorder="1"/>
    <xf numFmtId="0" fontId="91" fillId="9" borderId="41" xfId="3" applyFont="1" applyFill="1" applyBorder="1"/>
    <xf numFmtId="0" fontId="91" fillId="9" borderId="41" xfId="3" applyFont="1" applyFill="1" applyBorder="1" applyAlignment="1">
      <alignment horizontal="right"/>
    </xf>
    <xf numFmtId="0" fontId="91" fillId="16" borderId="75" xfId="3" applyFont="1" applyFill="1" applyBorder="1"/>
    <xf numFmtId="0" fontId="27" fillId="25" borderId="45" xfId="3" applyFont="1" applyFill="1" applyBorder="1"/>
    <xf numFmtId="0" fontId="20" fillId="25" borderId="45" xfId="3" applyFont="1" applyFill="1" applyBorder="1"/>
    <xf numFmtId="0" fontId="31" fillId="25" borderId="45" xfId="3" applyFont="1" applyFill="1" applyBorder="1"/>
    <xf numFmtId="0" fontId="31" fillId="25" borderId="44" xfId="3" applyFont="1" applyFill="1" applyBorder="1"/>
    <xf numFmtId="0" fontId="29" fillId="25" borderId="0" xfId="3" applyFont="1" applyFill="1"/>
    <xf numFmtId="0" fontId="29" fillId="25" borderId="0" xfId="3" applyFont="1" applyFill="1" applyAlignment="1">
      <alignment vertical="center"/>
    </xf>
    <xf numFmtId="0" fontId="20" fillId="25" borderId="0" xfId="3" applyFont="1" applyFill="1" applyAlignment="1">
      <alignment vertical="center"/>
    </xf>
    <xf numFmtId="0" fontId="26" fillId="25" borderId="0" xfId="3" applyFont="1" applyFill="1" applyAlignment="1">
      <alignment horizontal="left"/>
    </xf>
    <xf numFmtId="0" fontId="24" fillId="25" borderId="0" xfId="3" quotePrefix="1" applyFont="1" applyFill="1" applyAlignment="1">
      <alignment vertical="center"/>
    </xf>
    <xf numFmtId="0" fontId="20" fillId="19" borderId="0" xfId="3" applyFont="1" applyFill="1" applyAlignment="1">
      <alignment vertical="center"/>
    </xf>
    <xf numFmtId="0" fontId="67" fillId="25" borderId="0" xfId="3" applyFont="1" applyFill="1" applyAlignment="1">
      <alignment horizontal="left" vertical="center"/>
    </xf>
    <xf numFmtId="0" fontId="24" fillId="25" borderId="0" xfId="3" applyFont="1" applyFill="1" applyAlignment="1">
      <alignment horizontal="left" vertical="center"/>
    </xf>
    <xf numFmtId="0" fontId="24" fillId="25" borderId="80" xfId="3" applyFont="1" applyFill="1" applyBorder="1" applyAlignment="1">
      <alignment horizontal="left" vertical="center"/>
    </xf>
    <xf numFmtId="0" fontId="26" fillId="25" borderId="80" xfId="3" applyFont="1" applyFill="1" applyBorder="1" applyAlignment="1">
      <alignment horizontal="left"/>
    </xf>
    <xf numFmtId="168" fontId="3" fillId="9" borderId="0" xfId="3" applyNumberFormat="1" applyFont="1" applyFill="1"/>
    <xf numFmtId="0" fontId="2" fillId="16" borderId="74" xfId="3" applyFill="1" applyBorder="1"/>
    <xf numFmtId="0" fontId="2" fillId="16" borderId="72" xfId="3" applyFill="1" applyBorder="1"/>
    <xf numFmtId="0" fontId="2" fillId="0" borderId="41" xfId="3" applyBorder="1"/>
    <xf numFmtId="0" fontId="2" fillId="16" borderId="0" xfId="3" quotePrefix="1" applyFill="1" applyAlignment="1">
      <alignment horizontal="right"/>
    </xf>
    <xf numFmtId="2" fontId="2" fillId="16" borderId="0" xfId="3" quotePrefix="1" applyNumberFormat="1" applyFill="1" applyAlignment="1">
      <alignment horizontal="right"/>
    </xf>
    <xf numFmtId="0" fontId="2" fillId="0" borderId="74" xfId="3" applyBorder="1"/>
    <xf numFmtId="2" fontId="2" fillId="9" borderId="45" xfId="3" applyNumberFormat="1" applyFill="1" applyBorder="1" applyAlignment="1">
      <alignment horizontal="right"/>
    </xf>
    <xf numFmtId="0" fontId="0" fillId="19" borderId="0" xfId="0" applyFill="1" applyProtection="1">
      <protection locked="0"/>
    </xf>
    <xf numFmtId="0" fontId="2" fillId="19" borderId="45" xfId="3" applyFill="1" applyBorder="1" applyAlignment="1" applyProtection="1">
      <alignment horizontal="right"/>
      <protection locked="0"/>
    </xf>
    <xf numFmtId="1" fontId="0" fillId="0" borderId="0" xfId="0" applyNumberFormat="1" applyAlignment="1">
      <alignment horizontal="left"/>
    </xf>
    <xf numFmtId="0" fontId="3" fillId="9" borderId="45" xfId="0" applyFont="1" applyFill="1" applyBorder="1" applyAlignment="1">
      <alignment horizontal="right" vertical="center"/>
    </xf>
    <xf numFmtId="168" fontId="3" fillId="9" borderId="45" xfId="3" applyNumberFormat="1" applyFont="1" applyFill="1" applyBorder="1"/>
    <xf numFmtId="168" fontId="3" fillId="16" borderId="41" xfId="3" applyNumberFormat="1" applyFont="1" applyFill="1" applyBorder="1"/>
    <xf numFmtId="168" fontId="3" fillId="16" borderId="45" xfId="3" applyNumberFormat="1" applyFont="1" applyFill="1" applyBorder="1"/>
    <xf numFmtId="168" fontId="91" fillId="9" borderId="0" xfId="3" applyNumberFormat="1" applyFont="1" applyFill="1"/>
    <xf numFmtId="168" fontId="2" fillId="9" borderId="4" xfId="0" applyNumberFormat="1" applyFont="1" applyFill="1" applyBorder="1" applyAlignment="1">
      <alignment vertical="center"/>
    </xf>
    <xf numFmtId="0" fontId="93" fillId="16" borderId="0" xfId="3" applyFont="1" applyFill="1" applyAlignment="1">
      <alignment horizontal="right"/>
    </xf>
    <xf numFmtId="168" fontId="74" fillId="16" borderId="0" xfId="3" applyNumberFormat="1" applyFont="1" applyFill="1"/>
    <xf numFmtId="0" fontId="74" fillId="16" borderId="0" xfId="3" applyFont="1" applyFill="1"/>
    <xf numFmtId="0" fontId="3" fillId="19" borderId="0" xfId="0" applyFont="1" applyFill="1"/>
    <xf numFmtId="0" fontId="58" fillId="0" borderId="0" xfId="0" quotePrefix="1" applyFont="1" applyProtection="1">
      <protection locked="0"/>
    </xf>
    <xf numFmtId="168" fontId="2" fillId="9" borderId="75" xfId="0" applyNumberFormat="1" applyFont="1" applyFill="1" applyBorder="1" applyAlignment="1">
      <alignment horizontal="right"/>
    </xf>
    <xf numFmtId="0" fontId="3" fillId="9" borderId="46" xfId="0" applyFont="1" applyFill="1" applyBorder="1" applyAlignment="1">
      <alignment vertical="center"/>
    </xf>
    <xf numFmtId="0" fontId="3" fillId="16" borderId="0" xfId="0" applyFont="1" applyFill="1" applyProtection="1">
      <protection locked="0"/>
    </xf>
    <xf numFmtId="168" fontId="3" fillId="19" borderId="45" xfId="0" applyNumberFormat="1" applyFont="1" applyFill="1" applyBorder="1" applyAlignment="1" applyProtection="1">
      <alignment vertical="center"/>
      <protection locked="0"/>
    </xf>
    <xf numFmtId="0" fontId="2" fillId="9" borderId="32" xfId="0" applyFont="1" applyFill="1" applyBorder="1" applyAlignment="1">
      <alignment vertical="top"/>
    </xf>
    <xf numFmtId="167" fontId="2" fillId="9" borderId="45" xfId="0" applyNumberFormat="1" applyFont="1" applyFill="1" applyBorder="1" applyAlignment="1">
      <alignment horizontal="right" vertical="center"/>
    </xf>
    <xf numFmtId="2" fontId="2" fillId="9" borderId="0" xfId="0" applyNumberFormat="1" applyFont="1" applyFill="1" applyAlignment="1">
      <alignment vertical="center"/>
    </xf>
    <xf numFmtId="0" fontId="63" fillId="9" borderId="0" xfId="0" applyFont="1" applyFill="1" applyAlignment="1">
      <alignment horizontal="left" vertical="center"/>
    </xf>
    <xf numFmtId="0" fontId="24" fillId="25" borderId="0" xfId="0" applyFont="1" applyFill="1" applyAlignment="1">
      <alignment horizontal="center" vertical="center"/>
    </xf>
    <xf numFmtId="0" fontId="49" fillId="17" borderId="43" xfId="0" applyFont="1" applyFill="1" applyBorder="1" applyAlignment="1">
      <alignment horizontal="left" vertical="center"/>
    </xf>
    <xf numFmtId="0" fontId="49" fillId="17" borderId="41" xfId="0" applyFont="1" applyFill="1" applyBorder="1" applyAlignment="1">
      <alignment horizontal="left" vertical="center"/>
    </xf>
    <xf numFmtId="0" fontId="2" fillId="9" borderId="0" xfId="0" applyFont="1" applyFill="1" applyAlignment="1">
      <alignment horizontal="left" vertical="top"/>
    </xf>
    <xf numFmtId="0" fontId="2" fillId="9" borderId="29" xfId="0" applyFont="1" applyFill="1" applyBorder="1" applyAlignment="1">
      <alignment horizontal="left" vertical="top"/>
    </xf>
    <xf numFmtId="0" fontId="3" fillId="9" borderId="0" xfId="0" applyFont="1" applyFill="1" applyAlignment="1">
      <alignment horizontal="left" vertical="center" wrapText="1"/>
    </xf>
    <xf numFmtId="0" fontId="3" fillId="9" borderId="29" xfId="0" applyFont="1" applyFill="1" applyBorder="1" applyAlignment="1">
      <alignment horizontal="left" vertical="center" wrapText="1"/>
    </xf>
    <xf numFmtId="0" fontId="49" fillId="17" borderId="75" xfId="3" applyFont="1" applyFill="1" applyBorder="1" applyAlignment="1">
      <alignment horizontal="left" vertical="top"/>
    </xf>
    <xf numFmtId="0" fontId="49" fillId="17" borderId="41" xfId="3" applyFont="1" applyFill="1" applyBorder="1" applyAlignment="1">
      <alignment horizontal="left" vertical="top"/>
    </xf>
    <xf numFmtId="0" fontId="24" fillId="25" borderId="0" xfId="3" applyFont="1" applyFill="1" applyAlignment="1">
      <alignment horizontal="center" vertical="center"/>
    </xf>
    <xf numFmtId="0" fontId="49" fillId="17" borderId="43" xfId="0" applyFont="1" applyFill="1" applyBorder="1" applyAlignment="1">
      <alignment horizontal="left" vertical="top"/>
    </xf>
    <xf numFmtId="0" fontId="49" fillId="17" borderId="41" xfId="0" applyFont="1" applyFill="1" applyBorder="1" applyAlignment="1">
      <alignment horizontal="left" vertical="top"/>
    </xf>
    <xf numFmtId="0" fontId="69" fillId="3" borderId="51" xfId="3" applyFont="1" applyFill="1" applyBorder="1" applyAlignment="1">
      <alignment horizontal="left" vertical="center"/>
    </xf>
    <xf numFmtId="0" fontId="69" fillId="3" borderId="52" xfId="3" applyFont="1" applyFill="1" applyBorder="1" applyAlignment="1">
      <alignment horizontal="left" vertical="center"/>
    </xf>
    <xf numFmtId="0" fontId="69" fillId="3" borderId="53" xfId="3" applyFont="1" applyFill="1" applyBorder="1" applyAlignment="1">
      <alignment horizontal="left" vertical="center"/>
    </xf>
    <xf numFmtId="188" fontId="2" fillId="16" borderId="8" xfId="3" applyNumberFormat="1" applyFill="1" applyBorder="1" applyAlignment="1">
      <alignment horizontal="left" vertical="center"/>
    </xf>
    <xf numFmtId="188" fontId="2" fillId="16" borderId="9" xfId="3" applyNumberFormat="1" applyFill="1" applyBorder="1" applyAlignment="1">
      <alignment horizontal="left" vertical="center"/>
    </xf>
    <xf numFmtId="188" fontId="2" fillId="16" borderId="15" xfId="3" applyNumberFormat="1" applyFill="1" applyBorder="1" applyAlignment="1">
      <alignment horizontal="left" vertical="center"/>
    </xf>
    <xf numFmtId="188" fontId="2" fillId="21" borderId="8" xfId="3" applyNumberFormat="1" applyFill="1" applyBorder="1" applyAlignment="1">
      <alignment horizontal="left" vertical="center"/>
    </xf>
    <xf numFmtId="188" fontId="2" fillId="21" borderId="9" xfId="3" applyNumberFormat="1" applyFill="1" applyBorder="1" applyAlignment="1">
      <alignment horizontal="left" vertical="center"/>
    </xf>
    <xf numFmtId="188" fontId="2" fillId="21" borderId="15" xfId="3" applyNumberFormat="1" applyFill="1" applyBorder="1" applyAlignment="1">
      <alignment horizontal="left" vertical="center"/>
    </xf>
    <xf numFmtId="182" fontId="2" fillId="16" borderId="8" xfId="3" applyNumberFormat="1" applyFill="1" applyBorder="1" applyAlignment="1">
      <alignment horizontal="left" vertical="center"/>
    </xf>
    <xf numFmtId="182" fontId="2" fillId="16" borderId="9" xfId="3" applyNumberFormat="1" applyFill="1" applyBorder="1" applyAlignment="1">
      <alignment horizontal="left" vertical="center"/>
    </xf>
    <xf numFmtId="182" fontId="2" fillId="16" borderId="15" xfId="3" applyNumberFormat="1" applyFill="1" applyBorder="1" applyAlignment="1">
      <alignment horizontal="left" vertical="center"/>
    </xf>
    <xf numFmtId="190" fontId="2" fillId="21" borderId="8" xfId="3" applyNumberFormat="1" applyFill="1" applyBorder="1" applyAlignment="1">
      <alignment horizontal="left" vertical="center"/>
    </xf>
    <xf numFmtId="190" fontId="2" fillId="21" borderId="9" xfId="3" applyNumberFormat="1" applyFill="1" applyBorder="1" applyAlignment="1">
      <alignment horizontal="left" vertical="center"/>
    </xf>
    <xf numFmtId="190" fontId="2" fillId="21" borderId="15" xfId="3" applyNumberFormat="1" applyFill="1" applyBorder="1" applyAlignment="1">
      <alignment horizontal="left" vertical="center"/>
    </xf>
    <xf numFmtId="177" fontId="2" fillId="20" borderId="8" xfId="3" applyNumberFormat="1" applyFill="1" applyBorder="1" applyAlignment="1">
      <alignment horizontal="left" vertical="center"/>
    </xf>
    <xf numFmtId="177" fontId="2" fillId="20" borderId="9" xfId="3" applyNumberFormat="1" applyFill="1" applyBorder="1" applyAlignment="1">
      <alignment horizontal="left" vertical="center"/>
    </xf>
    <xf numFmtId="177" fontId="2" fillId="20" borderId="15" xfId="3" applyNumberFormat="1" applyFill="1" applyBorder="1" applyAlignment="1">
      <alignment horizontal="left" vertical="center"/>
    </xf>
    <xf numFmtId="183" fontId="2" fillId="9" borderId="8" xfId="3" applyNumberFormat="1" applyFill="1" applyBorder="1" applyAlignment="1">
      <alignment horizontal="left" vertical="center"/>
    </xf>
    <xf numFmtId="183" fontId="2" fillId="9" borderId="9" xfId="3" applyNumberFormat="1" applyFill="1" applyBorder="1" applyAlignment="1">
      <alignment horizontal="left" vertical="center"/>
    </xf>
    <xf numFmtId="184" fontId="2" fillId="20" borderId="8" xfId="3" applyNumberFormat="1" applyFill="1" applyBorder="1" applyAlignment="1">
      <alignment horizontal="left" vertical="center"/>
    </xf>
    <xf numFmtId="184" fontId="2" fillId="20" borderId="9" xfId="3" applyNumberFormat="1" applyFill="1" applyBorder="1" applyAlignment="1">
      <alignment horizontal="left" vertical="center"/>
    </xf>
    <xf numFmtId="187" fontId="2" fillId="20" borderId="8" xfId="3" applyNumberFormat="1" applyFill="1" applyBorder="1" applyAlignment="1">
      <alignment horizontal="left" vertical="center"/>
    </xf>
    <xf numFmtId="187" fontId="2" fillId="20" borderId="9" xfId="3" applyNumberFormat="1" applyFill="1" applyBorder="1" applyAlignment="1">
      <alignment horizontal="left" vertical="center"/>
    </xf>
    <xf numFmtId="183" fontId="2" fillId="16" borderId="8" xfId="3" applyNumberFormat="1" applyFill="1" applyBorder="1" applyAlignment="1">
      <alignment horizontal="left" vertical="center"/>
    </xf>
    <xf numFmtId="183" fontId="2" fillId="16" borderId="9" xfId="3" applyNumberFormat="1" applyFill="1" applyBorder="1" applyAlignment="1">
      <alignment horizontal="left" vertical="center"/>
    </xf>
    <xf numFmtId="185" fontId="2" fillId="20" borderId="8" xfId="3" applyNumberFormat="1" applyFill="1" applyBorder="1" applyAlignment="1">
      <alignment horizontal="left" vertical="center"/>
    </xf>
    <xf numFmtId="185" fontId="2" fillId="20" borderId="9" xfId="3" applyNumberFormat="1" applyFill="1" applyBorder="1" applyAlignment="1">
      <alignment horizontal="left" vertical="center"/>
    </xf>
    <xf numFmtId="186" fontId="2" fillId="20" borderId="8" xfId="3" applyNumberFormat="1" applyFill="1" applyBorder="1" applyAlignment="1">
      <alignment horizontal="left" vertical="center"/>
    </xf>
    <xf numFmtId="186" fontId="2" fillId="20" borderId="9" xfId="3" applyNumberFormat="1" applyFill="1" applyBorder="1" applyAlignment="1">
      <alignment horizontal="left" vertical="center"/>
    </xf>
    <xf numFmtId="189" fontId="2" fillId="16" borderId="8" xfId="3" applyNumberFormat="1" applyFill="1" applyBorder="1" applyAlignment="1">
      <alignment horizontal="left" vertical="center"/>
    </xf>
    <xf numFmtId="189" fontId="2" fillId="16" borderId="9" xfId="3" applyNumberFormat="1" applyFill="1" applyBorder="1" applyAlignment="1">
      <alignment horizontal="left" vertical="center"/>
    </xf>
    <xf numFmtId="189" fontId="2" fillId="16" borderId="15" xfId="3" applyNumberFormat="1" applyFill="1" applyBorder="1" applyAlignment="1">
      <alignment horizontal="left" vertical="center"/>
    </xf>
    <xf numFmtId="0" fontId="3" fillId="9" borderId="79" xfId="3" applyFont="1" applyFill="1" applyBorder="1" applyAlignment="1">
      <alignment horizontal="center" vertical="center"/>
    </xf>
    <xf numFmtId="0" fontId="3" fillId="9" borderId="67" xfId="3" applyFont="1" applyFill="1" applyBorder="1" applyAlignment="1">
      <alignment horizontal="center" vertical="center"/>
    </xf>
    <xf numFmtId="0" fontId="58" fillId="9" borderId="14" xfId="3" applyFont="1" applyFill="1" applyBorder="1" applyAlignment="1">
      <alignment horizontal="left" vertical="center"/>
    </xf>
    <xf numFmtId="0" fontId="58" fillId="9" borderId="12" xfId="3" applyFont="1" applyFill="1" applyBorder="1" applyAlignment="1">
      <alignment horizontal="left" vertical="center"/>
    </xf>
    <xf numFmtId="0" fontId="2" fillId="9" borderId="78" xfId="3" applyFill="1" applyBorder="1" applyAlignment="1">
      <alignment horizontal="left" vertical="center"/>
    </xf>
    <xf numFmtId="0" fontId="2" fillId="9" borderId="10" xfId="3" applyFill="1" applyBorder="1" applyAlignment="1">
      <alignment horizontal="left" vertical="center"/>
    </xf>
    <xf numFmtId="0" fontId="2" fillId="9" borderId="16" xfId="3" applyFill="1" applyBorder="1" applyAlignment="1">
      <alignment horizontal="left" vertical="center"/>
    </xf>
    <xf numFmtId="0" fontId="2" fillId="9" borderId="69" xfId="3" applyFill="1" applyBorder="1" applyAlignment="1">
      <alignment horizontal="left" vertical="center"/>
    </xf>
    <xf numFmtId="0" fontId="2" fillId="9" borderId="4" xfId="3" applyFill="1" applyBorder="1" applyAlignment="1">
      <alignment horizontal="left" vertical="center"/>
    </xf>
    <xf numFmtId="0" fontId="2" fillId="9" borderId="17" xfId="3" applyFill="1" applyBorder="1" applyAlignment="1">
      <alignment horizontal="left" vertical="center"/>
    </xf>
    <xf numFmtId="0" fontId="58" fillId="9" borderId="14" xfId="3" applyFont="1" applyFill="1" applyBorder="1" applyAlignment="1">
      <alignment horizontal="center" vertical="center"/>
    </xf>
    <xf numFmtId="0" fontId="58" fillId="9" borderId="12" xfId="3" applyFont="1" applyFill="1" applyBorder="1" applyAlignment="1">
      <alignment horizontal="center" vertical="center"/>
    </xf>
    <xf numFmtId="0" fontId="3" fillId="9" borderId="14" xfId="3" applyFont="1" applyFill="1" applyBorder="1" applyAlignment="1">
      <alignment horizontal="left" vertical="center" wrapText="1"/>
    </xf>
    <xf numFmtId="0" fontId="3" fillId="9" borderId="12" xfId="3" applyFont="1" applyFill="1" applyBorder="1" applyAlignment="1">
      <alignment horizontal="left" vertical="center" wrapText="1"/>
    </xf>
    <xf numFmtId="0" fontId="3" fillId="9" borderId="14" xfId="3" applyFont="1" applyFill="1" applyBorder="1" applyAlignment="1">
      <alignment horizontal="left" vertical="center"/>
    </xf>
    <xf numFmtId="0" fontId="3" fillId="9" borderId="12" xfId="3" applyFont="1" applyFill="1" applyBorder="1" applyAlignment="1">
      <alignment horizontal="left" vertical="center"/>
    </xf>
    <xf numFmtId="0" fontId="47" fillId="16" borderId="28" xfId="0" applyFont="1" applyFill="1" applyBorder="1" applyAlignment="1">
      <alignment horizontal="left" vertical="center"/>
    </xf>
    <xf numFmtId="0" fontId="47" fillId="16" borderId="0" xfId="0" applyFont="1" applyFill="1" applyAlignment="1">
      <alignment horizontal="left" vertical="center"/>
    </xf>
    <xf numFmtId="0" fontId="3" fillId="0" borderId="0" xfId="0" applyFont="1" applyAlignment="1">
      <alignment horizontal="center"/>
    </xf>
    <xf numFmtId="0" fontId="4" fillId="3" borderId="0" xfId="0" applyFont="1" applyFill="1" applyAlignment="1">
      <alignment horizontal="center"/>
    </xf>
    <xf numFmtId="0" fontId="74" fillId="4" borderId="74" xfId="3" applyFont="1" applyFill="1" applyBorder="1" applyAlignment="1">
      <alignment horizontal="center" vertical="center"/>
    </xf>
    <xf numFmtId="0" fontId="74" fillId="4" borderId="66" xfId="3" applyFont="1" applyFill="1" applyBorder="1" applyAlignment="1">
      <alignment horizontal="center" vertical="center"/>
    </xf>
    <xf numFmtId="0" fontId="3" fillId="0" borderId="55" xfId="3" applyFont="1" applyBorder="1" applyAlignment="1">
      <alignment horizontal="center"/>
    </xf>
    <xf numFmtId="0" fontId="3" fillId="0" borderId="56" xfId="3" applyFont="1" applyBorder="1" applyAlignment="1">
      <alignment horizontal="center"/>
    </xf>
    <xf numFmtId="0" fontId="2" fillId="0" borderId="56" xfId="3" applyBorder="1" applyAlignment="1">
      <alignment horizontal="center"/>
    </xf>
    <xf numFmtId="0" fontId="2" fillId="0" borderId="57" xfId="3" applyBorder="1" applyAlignment="1">
      <alignment horizontal="center"/>
    </xf>
    <xf numFmtId="0" fontId="74" fillId="4" borderId="74" xfId="3" applyFont="1" applyFill="1" applyBorder="1" applyAlignment="1">
      <alignment horizontal="center" vertical="top" shrinkToFit="1"/>
    </xf>
    <xf numFmtId="0" fontId="2" fillId="4" borderId="73" xfId="3" applyFill="1" applyBorder="1" applyAlignment="1">
      <alignment horizontal="center" vertical="top" shrinkToFit="1"/>
    </xf>
    <xf numFmtId="0" fontId="2" fillId="4" borderId="72" xfId="3" applyFill="1" applyBorder="1" applyAlignment="1">
      <alignment horizontal="center" vertical="top" shrinkToFit="1"/>
    </xf>
    <xf numFmtId="0" fontId="74" fillId="4" borderId="60" xfId="3" applyFont="1" applyFill="1" applyBorder="1" applyAlignment="1">
      <alignment horizontal="center"/>
    </xf>
    <xf numFmtId="0" fontId="74" fillId="4" borderId="62" xfId="3" applyFont="1" applyFill="1" applyBorder="1" applyAlignment="1">
      <alignment horizontal="center"/>
    </xf>
    <xf numFmtId="0" fontId="3" fillId="0" borderId="57" xfId="3" applyFont="1" applyBorder="1" applyAlignment="1">
      <alignment horizontal="center"/>
    </xf>
    <xf numFmtId="0" fontId="3" fillId="0" borderId="64" xfId="3" applyFont="1" applyBorder="1" applyAlignment="1">
      <alignment horizontal="center"/>
    </xf>
    <xf numFmtId="0" fontId="3" fillId="0" borderId="65" xfId="3" applyFont="1" applyBorder="1" applyAlignment="1">
      <alignment horizontal="center"/>
    </xf>
    <xf numFmtId="0" fontId="74" fillId="4" borderId="55" xfId="3" applyFont="1" applyFill="1" applyBorder="1" applyAlignment="1">
      <alignment horizontal="center"/>
    </xf>
    <xf numFmtId="0" fontId="74" fillId="4" borderId="56" xfId="3" applyFont="1" applyFill="1" applyBorder="1" applyAlignment="1">
      <alignment horizontal="center"/>
    </xf>
    <xf numFmtId="0" fontId="74" fillId="4" borderId="57" xfId="3" applyFont="1" applyFill="1" applyBorder="1" applyAlignment="1">
      <alignment horizontal="center"/>
    </xf>
    <xf numFmtId="0" fontId="2" fillId="4" borderId="61" xfId="3" applyFill="1" applyBorder="1" applyAlignment="1">
      <alignment horizontal="center"/>
    </xf>
    <xf numFmtId="0" fontId="2" fillId="4" borderId="62" xfId="3" applyFill="1" applyBorder="1" applyAlignment="1">
      <alignment horizontal="center"/>
    </xf>
    <xf numFmtId="0" fontId="3" fillId="0" borderId="51" xfId="3" applyFont="1" applyBorder="1" applyAlignment="1">
      <alignment horizontal="center"/>
    </xf>
    <xf numFmtId="0" fontId="3" fillId="4" borderId="60" xfId="3" applyFont="1" applyFill="1" applyBorder="1"/>
    <xf numFmtId="0" fontId="3" fillId="4" borderId="62" xfId="3" applyFont="1" applyFill="1" applyBorder="1"/>
    <xf numFmtId="0" fontId="3" fillId="0" borderId="18" xfId="3" applyFont="1" applyBorder="1" applyAlignment="1">
      <alignment horizontal="center"/>
    </xf>
    <xf numFmtId="0" fontId="3" fillId="0" borderId="11" xfId="3" applyFont="1" applyBorder="1" applyAlignment="1">
      <alignment horizontal="center"/>
    </xf>
    <xf numFmtId="0" fontId="3" fillId="0" borderId="58" xfId="3" applyFont="1" applyBorder="1" applyAlignment="1">
      <alignment horizontal="center"/>
    </xf>
    <xf numFmtId="0" fontId="3" fillId="4" borderId="55" xfId="0" applyFont="1" applyFill="1" applyBorder="1" applyAlignment="1">
      <alignment horizontal="center"/>
    </xf>
    <xf numFmtId="0" fontId="3" fillId="4" borderId="56" xfId="0" applyFont="1" applyFill="1" applyBorder="1" applyAlignment="1">
      <alignment horizontal="center"/>
    </xf>
    <xf numFmtId="0" fontId="3" fillId="4" borderId="57" xfId="0" applyFont="1" applyFill="1" applyBorder="1" applyAlignment="1">
      <alignment horizontal="center"/>
    </xf>
    <xf numFmtId="0" fontId="13" fillId="3" borderId="0" xfId="0" applyFont="1" applyFill="1" applyAlignment="1">
      <alignment horizontal="left"/>
    </xf>
    <xf numFmtId="0" fontId="3" fillId="0" borderId="0" xfId="0" applyFont="1" applyAlignment="1">
      <alignment horizontal="left" wrapText="1"/>
    </xf>
    <xf numFmtId="169" fontId="3" fillId="4" borderId="55" xfId="0" applyNumberFormat="1" applyFont="1" applyFill="1" applyBorder="1" applyAlignment="1">
      <alignment horizontal="center"/>
    </xf>
    <xf numFmtId="169" fontId="3" fillId="4" borderId="56" xfId="0" applyNumberFormat="1" applyFont="1" applyFill="1" applyBorder="1" applyAlignment="1">
      <alignment horizontal="center"/>
    </xf>
    <xf numFmtId="169" fontId="3" fillId="4" borderId="57" xfId="0" applyNumberFormat="1" applyFont="1" applyFill="1" applyBorder="1" applyAlignment="1">
      <alignment horizontal="center"/>
    </xf>
    <xf numFmtId="0" fontId="3" fillId="24" borderId="0" xfId="0" applyFont="1" applyFill="1" applyAlignment="1">
      <alignment horizontal="center"/>
    </xf>
    <xf numFmtId="0" fontId="3" fillId="4" borderId="47" xfId="0" applyFont="1" applyFill="1" applyBorder="1" applyAlignment="1">
      <alignment horizontal="center"/>
    </xf>
    <xf numFmtId="0" fontId="3" fillId="4" borderId="48" xfId="0" applyFont="1" applyFill="1" applyBorder="1" applyAlignment="1">
      <alignment horizontal="center"/>
    </xf>
    <xf numFmtId="0" fontId="3" fillId="4" borderId="81" xfId="0" applyFont="1" applyFill="1" applyBorder="1" applyAlignment="1">
      <alignment horizontal="center"/>
    </xf>
    <xf numFmtId="0" fontId="3" fillId="4" borderId="20" xfId="0" applyFont="1" applyFill="1" applyBorder="1" applyAlignment="1">
      <alignment horizontal="center"/>
    </xf>
    <xf numFmtId="0" fontId="59" fillId="0" borderId="0" xfId="0" applyFont="1" applyAlignment="1">
      <alignment horizontal="center"/>
    </xf>
    <xf numFmtId="2" fontId="3" fillId="0" borderId="0" xfId="0" applyNumberFormat="1" applyFont="1" applyAlignment="1">
      <alignment horizontal="center"/>
    </xf>
    <xf numFmtId="2" fontId="2" fillId="0" borderId="0" xfId="0" applyNumberFormat="1" applyFont="1" applyAlignment="1">
      <alignment horizontal="center"/>
    </xf>
  </cellXfs>
  <cellStyles count="7">
    <cellStyle name="Bad" xfId="6" builtinId="27"/>
    <cellStyle name="Comma" xfId="1" builtinId="3"/>
    <cellStyle name="Comma 2" xfId="5" xr:uid="{00000000-0005-0000-0000-000002000000}"/>
    <cellStyle name="Hyperlink" xfId="2" builtinId="8"/>
    <cellStyle name="Normal" xfId="0" builtinId="0"/>
    <cellStyle name="Normal 2" xfId="3" xr:uid="{00000000-0005-0000-0000-000005000000}"/>
    <cellStyle name="Normal 3" xfId="4" xr:uid="{00000000-0005-0000-0000-000006000000}"/>
  </cellStyles>
  <dxfs count="35">
    <dxf>
      <font>
        <color theme="0"/>
      </font>
      <fill>
        <patternFill patternType="none">
          <bgColor auto="1"/>
        </patternFill>
      </fill>
    </dxf>
    <dxf>
      <font>
        <color theme="0"/>
      </font>
      <border>
        <left/>
        <right/>
        <top/>
        <bottom/>
      </border>
    </dxf>
    <dxf>
      <font>
        <color theme="0"/>
      </font>
      <fill>
        <patternFill patternType="solid">
          <bgColor theme="0"/>
        </patternFill>
      </fill>
      <border>
        <right/>
        <top/>
        <bottom/>
        <vertical/>
        <horizontal/>
      </border>
    </dxf>
    <dxf>
      <font>
        <color theme="0"/>
      </font>
      <border>
        <left/>
        <right/>
        <top/>
        <bottom/>
      </border>
    </dxf>
    <dxf>
      <font>
        <color theme="0"/>
      </font>
      <border>
        <left/>
        <right/>
        <top/>
        <bottom/>
      </border>
    </dxf>
    <dxf>
      <font>
        <color theme="0"/>
      </font>
      <fill>
        <patternFill patternType="solid">
          <bgColor theme="0"/>
        </patternFill>
      </fill>
      <border>
        <right/>
        <top/>
        <bottom/>
        <vertical/>
        <horizontal/>
      </border>
    </dxf>
    <dxf>
      <font>
        <color theme="0"/>
      </font>
      <border>
        <left/>
        <right/>
        <top/>
        <bottom/>
      </border>
    </dxf>
    <dxf>
      <font>
        <color theme="0"/>
      </font>
      <fill>
        <patternFill patternType="solid">
          <bgColor theme="0"/>
        </patternFill>
      </fill>
      <border>
        <right/>
        <top/>
        <bottom/>
        <vertical/>
        <horizontal/>
      </border>
    </dxf>
    <dxf>
      <font>
        <b/>
        <i val="0"/>
        <color rgb="FFC00000"/>
      </font>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border>
        <left/>
        <right/>
        <top style="thin">
          <color auto="1"/>
        </top>
        <bottom/>
        <vertical/>
        <horizontal/>
      </border>
    </dxf>
    <dxf>
      <font>
        <color rgb="FFC00000"/>
      </font>
    </dxf>
    <dxf>
      <font>
        <color theme="0"/>
      </font>
      <fill>
        <patternFill>
          <bgColor theme="0"/>
        </patternFill>
      </fill>
      <border>
        <right/>
        <top/>
        <bottom/>
        <vertical/>
        <horizontal/>
      </border>
    </dxf>
    <dxf>
      <font>
        <color theme="0"/>
      </font>
    </dxf>
    <dxf>
      <font>
        <color theme="0"/>
      </font>
      <fill>
        <patternFill>
          <bgColor theme="0"/>
        </patternFill>
      </fill>
    </dxf>
    <dxf>
      <font>
        <color theme="0"/>
      </font>
      <fill>
        <patternFill patternType="solid">
          <bgColor theme="0"/>
        </patternFill>
      </fill>
      <border>
        <right/>
        <top/>
        <bottom/>
        <vertical/>
        <horizontal/>
      </border>
    </dxf>
    <dxf>
      <font>
        <color theme="0"/>
      </font>
      <fill>
        <patternFill patternType="solid">
          <bgColor theme="0"/>
        </patternFill>
      </fill>
      <border>
        <right/>
        <bottom/>
        <vertical/>
        <horizontal/>
      </border>
    </dxf>
    <dxf>
      <font>
        <color rgb="FFFF0000"/>
      </font>
    </dxf>
    <dxf>
      <font>
        <color rgb="FFFF0000"/>
      </font>
    </dxf>
    <dxf>
      <font>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b/>
        <i val="0"/>
        <condense val="0"/>
        <extend val="0"/>
        <color indexed="10"/>
      </font>
    </dxf>
  </dxfs>
  <tableStyles count="0" defaultTableStyle="TableStyleMedium9" defaultPivotStyle="PivotStyleLight16"/>
  <colors>
    <mruColors>
      <color rgb="FFE8FCFE"/>
      <color rgb="FFC00000"/>
      <color rgb="FF99CC00"/>
      <color rgb="FFFF9900"/>
      <color rgb="FF0000FF"/>
      <color rgb="FFCC00FF"/>
      <color rgb="FFC0C0C0"/>
      <color rgb="FFFFFFCC"/>
      <color rgb="FFCCFF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LM5143-Q1 Bode Plot</a:t>
            </a:r>
          </a:p>
        </c:rich>
      </c:tx>
      <c:layout>
        <c:manualLayout>
          <c:xMode val="edge"/>
          <c:yMode val="edge"/>
          <c:x val="0.38532555879494657"/>
          <c:y val="2.4449846994932085E-2"/>
        </c:manualLayout>
      </c:layout>
      <c:overlay val="0"/>
      <c:spPr>
        <a:noFill/>
        <a:ln w="25400">
          <a:noFill/>
        </a:ln>
      </c:spPr>
    </c:title>
    <c:autoTitleDeleted val="0"/>
    <c:plotArea>
      <c:layout>
        <c:manualLayout>
          <c:layoutTarget val="inner"/>
          <c:xMode val="edge"/>
          <c:yMode val="edge"/>
          <c:x val="0.10349854227405264"/>
          <c:y val="9.5803642121931945E-2"/>
          <c:w val="0.80272108843537593"/>
          <c:h val="0.71734049943922984"/>
        </c:manualLayout>
      </c:layout>
      <c:scatterChart>
        <c:scatterStyle val="smoothMarker"/>
        <c:varyColors val="0"/>
        <c:ser>
          <c:idx val="0"/>
          <c:order val="0"/>
          <c:tx>
            <c:strRef>
              <c:f>'Stability Calculations'!$U$12</c:f>
              <c:strCache>
                <c:ptCount val="1"/>
                <c:pt idx="0">
                  <c:v>Gain (dB)</c:v>
                </c:pt>
              </c:strCache>
            </c:strRef>
          </c:tx>
          <c:spPr>
            <a:ln w="25400">
              <a:solidFill>
                <a:srgbClr val="FF0000"/>
              </a:solidFill>
              <a:prstDash val="solid"/>
            </a:ln>
          </c:spPr>
          <c:marker>
            <c:symbol val="none"/>
          </c:marker>
          <c:xVal>
            <c:numRef>
              <c:f>'Stability Calculations'!$A$13:$A$613</c:f>
              <c:numCache>
                <c:formatCode>General</c:formatCode>
                <c:ptCount val="601"/>
                <c:pt idx="0">
                  <c:v>1</c:v>
                </c:pt>
                <c:pt idx="1">
                  <c:v>1.0965</c:v>
                </c:pt>
                <c:pt idx="2">
                  <c:v>1.2022999999999999</c:v>
                </c:pt>
                <c:pt idx="3">
                  <c:v>1.3183</c:v>
                </c:pt>
                <c:pt idx="4">
                  <c:v>1.4454</c:v>
                </c:pt>
                <c:pt idx="5">
                  <c:v>1.5849</c:v>
                </c:pt>
                <c:pt idx="6">
                  <c:v>1.7378</c:v>
                </c:pt>
                <c:pt idx="7">
                  <c:v>1.9055</c:v>
                </c:pt>
                <c:pt idx="8">
                  <c:v>2.0893000000000002</c:v>
                </c:pt>
                <c:pt idx="9">
                  <c:v>2.2909000000000002</c:v>
                </c:pt>
                <c:pt idx="10">
                  <c:v>2.5118999999999998</c:v>
                </c:pt>
                <c:pt idx="11">
                  <c:v>2.7542</c:v>
                </c:pt>
                <c:pt idx="12">
                  <c:v>3.02</c:v>
                </c:pt>
                <c:pt idx="13">
                  <c:v>3.3113000000000001</c:v>
                </c:pt>
                <c:pt idx="14">
                  <c:v>3.6307999999999998</c:v>
                </c:pt>
                <c:pt idx="15">
                  <c:v>3.9811000000000001</c:v>
                </c:pt>
                <c:pt idx="16">
                  <c:v>4.3651999999999997</c:v>
                </c:pt>
                <c:pt idx="17">
                  <c:v>4.7862999999999998</c:v>
                </c:pt>
                <c:pt idx="18">
                  <c:v>5.2481</c:v>
                </c:pt>
                <c:pt idx="19">
                  <c:v>5.7544000000000004</c:v>
                </c:pt>
                <c:pt idx="20">
                  <c:v>6.3095999999999997</c:v>
                </c:pt>
                <c:pt idx="21">
                  <c:v>6.9183000000000003</c:v>
                </c:pt>
                <c:pt idx="22">
                  <c:v>7.5857999999999999</c:v>
                </c:pt>
                <c:pt idx="23">
                  <c:v>8.3176000000000005</c:v>
                </c:pt>
                <c:pt idx="24">
                  <c:v>9.1201000000000008</c:v>
                </c:pt>
                <c:pt idx="25">
                  <c:v>10</c:v>
                </c:pt>
                <c:pt idx="26">
                  <c:v>10.965</c:v>
                </c:pt>
                <c:pt idx="27">
                  <c:v>12.023</c:v>
                </c:pt>
                <c:pt idx="28">
                  <c:v>13.183</c:v>
                </c:pt>
                <c:pt idx="29">
                  <c:v>14.454000000000001</c:v>
                </c:pt>
                <c:pt idx="30">
                  <c:v>15.849</c:v>
                </c:pt>
                <c:pt idx="31">
                  <c:v>17.378</c:v>
                </c:pt>
                <c:pt idx="32">
                  <c:v>19.055</c:v>
                </c:pt>
                <c:pt idx="33">
                  <c:v>20.893000000000001</c:v>
                </c:pt>
                <c:pt idx="34">
                  <c:v>22.909000000000002</c:v>
                </c:pt>
                <c:pt idx="35">
                  <c:v>25.119</c:v>
                </c:pt>
                <c:pt idx="36">
                  <c:v>27.542000000000002</c:v>
                </c:pt>
                <c:pt idx="37">
                  <c:v>30.2</c:v>
                </c:pt>
                <c:pt idx="38">
                  <c:v>33.113</c:v>
                </c:pt>
                <c:pt idx="39">
                  <c:v>36.308</c:v>
                </c:pt>
                <c:pt idx="40">
                  <c:v>39.811</c:v>
                </c:pt>
                <c:pt idx="41">
                  <c:v>43.652000000000001</c:v>
                </c:pt>
                <c:pt idx="42">
                  <c:v>47.863</c:v>
                </c:pt>
                <c:pt idx="43">
                  <c:v>52.481000000000002</c:v>
                </c:pt>
                <c:pt idx="44">
                  <c:v>57.544000000000004</c:v>
                </c:pt>
                <c:pt idx="45">
                  <c:v>63.095999999999997</c:v>
                </c:pt>
                <c:pt idx="46">
                  <c:v>69.183000000000007</c:v>
                </c:pt>
                <c:pt idx="47">
                  <c:v>75.858000000000004</c:v>
                </c:pt>
                <c:pt idx="48">
                  <c:v>83.176000000000002</c:v>
                </c:pt>
                <c:pt idx="49">
                  <c:v>91.201000000000008</c:v>
                </c:pt>
                <c:pt idx="50">
                  <c:v>100</c:v>
                </c:pt>
                <c:pt idx="51">
                  <c:v>109.65</c:v>
                </c:pt>
                <c:pt idx="52">
                  <c:v>120.23</c:v>
                </c:pt>
                <c:pt idx="53">
                  <c:v>131.83000000000001</c:v>
                </c:pt>
                <c:pt idx="54">
                  <c:v>144.54</c:v>
                </c:pt>
                <c:pt idx="55">
                  <c:v>158.49</c:v>
                </c:pt>
                <c:pt idx="56">
                  <c:v>173.78</c:v>
                </c:pt>
                <c:pt idx="57">
                  <c:v>190.55</c:v>
                </c:pt>
                <c:pt idx="58">
                  <c:v>208.93</c:v>
                </c:pt>
                <c:pt idx="59">
                  <c:v>229.09</c:v>
                </c:pt>
                <c:pt idx="60">
                  <c:v>251.19</c:v>
                </c:pt>
                <c:pt idx="61">
                  <c:v>275.42</c:v>
                </c:pt>
                <c:pt idx="62">
                  <c:v>302</c:v>
                </c:pt>
                <c:pt idx="63">
                  <c:v>331.13</c:v>
                </c:pt>
                <c:pt idx="64">
                  <c:v>363.08</c:v>
                </c:pt>
                <c:pt idx="65">
                  <c:v>398.11</c:v>
                </c:pt>
                <c:pt idx="66">
                  <c:v>436.52</c:v>
                </c:pt>
                <c:pt idx="67">
                  <c:v>478.63</c:v>
                </c:pt>
                <c:pt idx="68">
                  <c:v>524.80999999999995</c:v>
                </c:pt>
                <c:pt idx="69">
                  <c:v>575.44000000000005</c:v>
                </c:pt>
                <c:pt idx="70">
                  <c:v>630.96</c:v>
                </c:pt>
                <c:pt idx="71">
                  <c:v>691.83</c:v>
                </c:pt>
                <c:pt idx="72">
                  <c:v>758.58</c:v>
                </c:pt>
                <c:pt idx="73">
                  <c:v>831.76</c:v>
                </c:pt>
                <c:pt idx="74">
                  <c:v>912.01</c:v>
                </c:pt>
                <c:pt idx="75">
                  <c:v>1000</c:v>
                </c:pt>
                <c:pt idx="76">
                  <c:v>1096.5</c:v>
                </c:pt>
                <c:pt idx="77">
                  <c:v>1202.3</c:v>
                </c:pt>
                <c:pt idx="78">
                  <c:v>1318.3</c:v>
                </c:pt>
                <c:pt idx="79">
                  <c:v>1445.4</c:v>
                </c:pt>
                <c:pt idx="80">
                  <c:v>1584.9</c:v>
                </c:pt>
                <c:pt idx="81">
                  <c:v>1737.8</c:v>
                </c:pt>
                <c:pt idx="82">
                  <c:v>1905.5</c:v>
                </c:pt>
                <c:pt idx="83">
                  <c:v>2089.3000000000002</c:v>
                </c:pt>
                <c:pt idx="84">
                  <c:v>2290.9</c:v>
                </c:pt>
                <c:pt idx="85">
                  <c:v>2511.9</c:v>
                </c:pt>
                <c:pt idx="86">
                  <c:v>2754.2</c:v>
                </c:pt>
                <c:pt idx="87">
                  <c:v>3020</c:v>
                </c:pt>
                <c:pt idx="88">
                  <c:v>3311.3</c:v>
                </c:pt>
                <c:pt idx="89">
                  <c:v>3630.8</c:v>
                </c:pt>
                <c:pt idx="90">
                  <c:v>3981.1</c:v>
                </c:pt>
                <c:pt idx="91">
                  <c:v>4365.2</c:v>
                </c:pt>
                <c:pt idx="92">
                  <c:v>4786.3</c:v>
                </c:pt>
                <c:pt idx="93">
                  <c:v>5248.1</c:v>
                </c:pt>
                <c:pt idx="94">
                  <c:v>5370.3</c:v>
                </c:pt>
                <c:pt idx="95">
                  <c:v>5432.85</c:v>
                </c:pt>
                <c:pt idx="96">
                  <c:v>5495.4</c:v>
                </c:pt>
                <c:pt idx="97">
                  <c:v>5559.4</c:v>
                </c:pt>
                <c:pt idx="98">
                  <c:v>5623.4</c:v>
                </c:pt>
                <c:pt idx="99">
                  <c:v>5688.9</c:v>
                </c:pt>
                <c:pt idx="100">
                  <c:v>5754.4</c:v>
                </c:pt>
                <c:pt idx="101">
                  <c:v>5821.4</c:v>
                </c:pt>
                <c:pt idx="102">
                  <c:v>5888.4</c:v>
                </c:pt>
                <c:pt idx="103">
                  <c:v>5957</c:v>
                </c:pt>
                <c:pt idx="104">
                  <c:v>6025.6</c:v>
                </c:pt>
                <c:pt idx="105">
                  <c:v>6095.8</c:v>
                </c:pt>
                <c:pt idx="106">
                  <c:v>6166</c:v>
                </c:pt>
                <c:pt idx="107">
                  <c:v>6237.8</c:v>
                </c:pt>
                <c:pt idx="108">
                  <c:v>6309.6</c:v>
                </c:pt>
                <c:pt idx="109">
                  <c:v>6383.05</c:v>
                </c:pt>
                <c:pt idx="110">
                  <c:v>6456.5</c:v>
                </c:pt>
                <c:pt idx="111">
                  <c:v>6531.7</c:v>
                </c:pt>
                <c:pt idx="112">
                  <c:v>6606.9</c:v>
                </c:pt>
                <c:pt idx="113">
                  <c:v>6683.85</c:v>
                </c:pt>
                <c:pt idx="114">
                  <c:v>6760.8</c:v>
                </c:pt>
                <c:pt idx="115">
                  <c:v>6839.55</c:v>
                </c:pt>
                <c:pt idx="116">
                  <c:v>6918.3</c:v>
                </c:pt>
                <c:pt idx="117">
                  <c:v>6998.9</c:v>
                </c:pt>
                <c:pt idx="118">
                  <c:v>7079.5</c:v>
                </c:pt>
                <c:pt idx="119">
                  <c:v>7161.95</c:v>
                </c:pt>
                <c:pt idx="120">
                  <c:v>7244.4</c:v>
                </c:pt>
                <c:pt idx="121">
                  <c:v>7328.75</c:v>
                </c:pt>
                <c:pt idx="122">
                  <c:v>7413.1</c:v>
                </c:pt>
                <c:pt idx="123">
                  <c:v>7499.45</c:v>
                </c:pt>
                <c:pt idx="124">
                  <c:v>7585.8</c:v>
                </c:pt>
                <c:pt idx="125">
                  <c:v>7674.15</c:v>
                </c:pt>
                <c:pt idx="126">
                  <c:v>7762.5</c:v>
                </c:pt>
                <c:pt idx="127">
                  <c:v>7852.9</c:v>
                </c:pt>
                <c:pt idx="128">
                  <c:v>7943.3</c:v>
                </c:pt>
                <c:pt idx="129">
                  <c:v>8035.8</c:v>
                </c:pt>
                <c:pt idx="130">
                  <c:v>8128.3</c:v>
                </c:pt>
                <c:pt idx="131">
                  <c:v>8222.9500000000007</c:v>
                </c:pt>
                <c:pt idx="132">
                  <c:v>8270.2750000000015</c:v>
                </c:pt>
                <c:pt idx="133">
                  <c:v>8317.6</c:v>
                </c:pt>
                <c:pt idx="134">
                  <c:v>8366.0499999999993</c:v>
                </c:pt>
                <c:pt idx="135">
                  <c:v>8414.5</c:v>
                </c:pt>
                <c:pt idx="136">
                  <c:v>8462.9500000000007</c:v>
                </c:pt>
                <c:pt idx="137">
                  <c:v>8511.4</c:v>
                </c:pt>
                <c:pt idx="138">
                  <c:v>8560.9500000000007</c:v>
                </c:pt>
                <c:pt idx="139">
                  <c:v>8610.5</c:v>
                </c:pt>
                <c:pt idx="140">
                  <c:v>8660.0499999999993</c:v>
                </c:pt>
                <c:pt idx="141">
                  <c:v>8709.6</c:v>
                </c:pt>
                <c:pt idx="142">
                  <c:v>8760.3250000000007</c:v>
                </c:pt>
                <c:pt idx="143">
                  <c:v>8811.0499999999993</c:v>
                </c:pt>
                <c:pt idx="144">
                  <c:v>8861.7749999999996</c:v>
                </c:pt>
                <c:pt idx="145">
                  <c:v>8912.5</c:v>
                </c:pt>
                <c:pt idx="146">
                  <c:v>8964.4</c:v>
                </c:pt>
                <c:pt idx="147">
                  <c:v>9016.2999999999993</c:v>
                </c:pt>
                <c:pt idx="148">
                  <c:v>9068.2000000000007</c:v>
                </c:pt>
                <c:pt idx="149">
                  <c:v>9120.1</c:v>
                </c:pt>
                <c:pt idx="150">
                  <c:v>9173.2000000000007</c:v>
                </c:pt>
                <c:pt idx="151">
                  <c:v>9226.2999999999993</c:v>
                </c:pt>
                <c:pt idx="152">
                  <c:v>9279.4</c:v>
                </c:pt>
                <c:pt idx="153">
                  <c:v>9332.5</c:v>
                </c:pt>
                <c:pt idx="154">
                  <c:v>9386.85</c:v>
                </c:pt>
                <c:pt idx="155">
                  <c:v>9441.2000000000007</c:v>
                </c:pt>
                <c:pt idx="156">
                  <c:v>9495.5499999999993</c:v>
                </c:pt>
                <c:pt idx="157">
                  <c:v>9549.9</c:v>
                </c:pt>
                <c:pt idx="158">
                  <c:v>9605.5249999999996</c:v>
                </c:pt>
                <c:pt idx="159">
                  <c:v>9661.15</c:v>
                </c:pt>
                <c:pt idx="160">
                  <c:v>9716.7749999999996</c:v>
                </c:pt>
                <c:pt idx="161">
                  <c:v>9772.4</c:v>
                </c:pt>
                <c:pt idx="162">
                  <c:v>9829.2999999999993</c:v>
                </c:pt>
                <c:pt idx="163">
                  <c:v>9886.2000000000007</c:v>
                </c:pt>
                <c:pt idx="164">
                  <c:v>9943.1</c:v>
                </c:pt>
                <c:pt idx="165">
                  <c:v>10000</c:v>
                </c:pt>
                <c:pt idx="166">
                  <c:v>10058.25</c:v>
                </c:pt>
                <c:pt idx="167">
                  <c:v>10116.5</c:v>
                </c:pt>
                <c:pt idx="168">
                  <c:v>10174.75</c:v>
                </c:pt>
                <c:pt idx="169">
                  <c:v>10233</c:v>
                </c:pt>
                <c:pt idx="170">
                  <c:v>10292.5</c:v>
                </c:pt>
                <c:pt idx="171">
                  <c:v>10352</c:v>
                </c:pt>
                <c:pt idx="172">
                  <c:v>10411.5</c:v>
                </c:pt>
                <c:pt idx="173">
                  <c:v>10471</c:v>
                </c:pt>
                <c:pt idx="174">
                  <c:v>10532</c:v>
                </c:pt>
                <c:pt idx="175">
                  <c:v>10593</c:v>
                </c:pt>
                <c:pt idx="176">
                  <c:v>10654</c:v>
                </c:pt>
                <c:pt idx="177">
                  <c:v>10715</c:v>
                </c:pt>
                <c:pt idx="178">
                  <c:v>10777.5</c:v>
                </c:pt>
                <c:pt idx="179">
                  <c:v>10840</c:v>
                </c:pt>
                <c:pt idx="180">
                  <c:v>10902.5</c:v>
                </c:pt>
                <c:pt idx="181">
                  <c:v>10965</c:v>
                </c:pt>
                <c:pt idx="182">
                  <c:v>11028.75</c:v>
                </c:pt>
                <c:pt idx="183">
                  <c:v>11092.5</c:v>
                </c:pt>
                <c:pt idx="184">
                  <c:v>11156.25</c:v>
                </c:pt>
                <c:pt idx="185">
                  <c:v>11220</c:v>
                </c:pt>
                <c:pt idx="186">
                  <c:v>11285.5</c:v>
                </c:pt>
                <c:pt idx="187">
                  <c:v>11351</c:v>
                </c:pt>
                <c:pt idx="188">
                  <c:v>11416.5</c:v>
                </c:pt>
                <c:pt idx="189">
                  <c:v>11482</c:v>
                </c:pt>
                <c:pt idx="190">
                  <c:v>11548.75</c:v>
                </c:pt>
                <c:pt idx="191">
                  <c:v>11615.5</c:v>
                </c:pt>
                <c:pt idx="192">
                  <c:v>11682.25</c:v>
                </c:pt>
                <c:pt idx="193">
                  <c:v>11749</c:v>
                </c:pt>
                <c:pt idx="194">
                  <c:v>11817.5</c:v>
                </c:pt>
                <c:pt idx="195">
                  <c:v>11886</c:v>
                </c:pt>
                <c:pt idx="196">
                  <c:v>11954.5</c:v>
                </c:pt>
                <c:pt idx="197">
                  <c:v>12023</c:v>
                </c:pt>
                <c:pt idx="198">
                  <c:v>12093</c:v>
                </c:pt>
                <c:pt idx="199">
                  <c:v>12163</c:v>
                </c:pt>
                <c:pt idx="200">
                  <c:v>12233</c:v>
                </c:pt>
                <c:pt idx="201">
                  <c:v>12303</c:v>
                </c:pt>
                <c:pt idx="202">
                  <c:v>12374.5</c:v>
                </c:pt>
                <c:pt idx="203">
                  <c:v>12446</c:v>
                </c:pt>
                <c:pt idx="204">
                  <c:v>12517.5</c:v>
                </c:pt>
                <c:pt idx="205">
                  <c:v>12589</c:v>
                </c:pt>
                <c:pt idx="206">
                  <c:v>12662.25</c:v>
                </c:pt>
                <c:pt idx="207">
                  <c:v>12735.5</c:v>
                </c:pt>
                <c:pt idx="208">
                  <c:v>12808.75</c:v>
                </c:pt>
                <c:pt idx="209">
                  <c:v>12882</c:v>
                </c:pt>
                <c:pt idx="210">
                  <c:v>12957.25</c:v>
                </c:pt>
                <c:pt idx="211">
                  <c:v>13032.5</c:v>
                </c:pt>
                <c:pt idx="212">
                  <c:v>13107.75</c:v>
                </c:pt>
                <c:pt idx="213">
                  <c:v>13183</c:v>
                </c:pt>
                <c:pt idx="214">
                  <c:v>13259.75</c:v>
                </c:pt>
                <c:pt idx="215">
                  <c:v>13336.5</c:v>
                </c:pt>
                <c:pt idx="216">
                  <c:v>13413.25</c:v>
                </c:pt>
                <c:pt idx="217">
                  <c:v>13490</c:v>
                </c:pt>
                <c:pt idx="218">
                  <c:v>13568.5</c:v>
                </c:pt>
                <c:pt idx="219">
                  <c:v>13647</c:v>
                </c:pt>
                <c:pt idx="220">
                  <c:v>13725.5</c:v>
                </c:pt>
                <c:pt idx="221">
                  <c:v>13804</c:v>
                </c:pt>
                <c:pt idx="222">
                  <c:v>13884.25</c:v>
                </c:pt>
                <c:pt idx="223">
                  <c:v>13964.5</c:v>
                </c:pt>
                <c:pt idx="224">
                  <c:v>14044.75</c:v>
                </c:pt>
                <c:pt idx="225">
                  <c:v>14125</c:v>
                </c:pt>
                <c:pt idx="226">
                  <c:v>14207.25</c:v>
                </c:pt>
                <c:pt idx="227">
                  <c:v>14289.5</c:v>
                </c:pt>
                <c:pt idx="228">
                  <c:v>14371.75</c:v>
                </c:pt>
                <c:pt idx="229">
                  <c:v>14454</c:v>
                </c:pt>
                <c:pt idx="230">
                  <c:v>14622.5</c:v>
                </c:pt>
                <c:pt idx="231">
                  <c:v>14706.75</c:v>
                </c:pt>
                <c:pt idx="232">
                  <c:v>14791</c:v>
                </c:pt>
                <c:pt idx="233">
                  <c:v>14877.25</c:v>
                </c:pt>
                <c:pt idx="234">
                  <c:v>14963.5</c:v>
                </c:pt>
                <c:pt idx="235">
                  <c:v>15049.75</c:v>
                </c:pt>
                <c:pt idx="236">
                  <c:v>15136</c:v>
                </c:pt>
                <c:pt idx="237">
                  <c:v>15224</c:v>
                </c:pt>
                <c:pt idx="238">
                  <c:v>15312</c:v>
                </c:pt>
                <c:pt idx="239">
                  <c:v>15400</c:v>
                </c:pt>
                <c:pt idx="240">
                  <c:v>15488</c:v>
                </c:pt>
                <c:pt idx="241">
                  <c:v>15578.25</c:v>
                </c:pt>
                <c:pt idx="242">
                  <c:v>15668.5</c:v>
                </c:pt>
                <c:pt idx="243">
                  <c:v>15758.75</c:v>
                </c:pt>
                <c:pt idx="244">
                  <c:v>15849</c:v>
                </c:pt>
                <c:pt idx="245">
                  <c:v>15941.25</c:v>
                </c:pt>
                <c:pt idx="246">
                  <c:v>16033.5</c:v>
                </c:pt>
                <c:pt idx="247">
                  <c:v>16125.75</c:v>
                </c:pt>
                <c:pt idx="248">
                  <c:v>16218</c:v>
                </c:pt>
                <c:pt idx="249">
                  <c:v>16312.5</c:v>
                </c:pt>
                <c:pt idx="250">
                  <c:v>16407</c:v>
                </c:pt>
                <c:pt idx="251">
                  <c:v>16501.5</c:v>
                </c:pt>
                <c:pt idx="252">
                  <c:v>16596</c:v>
                </c:pt>
                <c:pt idx="253">
                  <c:v>16692.5</c:v>
                </c:pt>
                <c:pt idx="254">
                  <c:v>16789</c:v>
                </c:pt>
                <c:pt idx="255">
                  <c:v>16885.5</c:v>
                </c:pt>
                <c:pt idx="256">
                  <c:v>16982</c:v>
                </c:pt>
                <c:pt idx="257">
                  <c:v>17081</c:v>
                </c:pt>
                <c:pt idx="258">
                  <c:v>17180</c:v>
                </c:pt>
                <c:pt idx="259">
                  <c:v>17279</c:v>
                </c:pt>
                <c:pt idx="260">
                  <c:v>17378</c:v>
                </c:pt>
                <c:pt idx="261">
                  <c:v>17479.25</c:v>
                </c:pt>
                <c:pt idx="262">
                  <c:v>17580.5</c:v>
                </c:pt>
                <c:pt idx="263">
                  <c:v>17681.75</c:v>
                </c:pt>
                <c:pt idx="264">
                  <c:v>17783</c:v>
                </c:pt>
                <c:pt idx="265">
                  <c:v>17886.5</c:v>
                </c:pt>
                <c:pt idx="266">
                  <c:v>17990</c:v>
                </c:pt>
                <c:pt idx="267">
                  <c:v>18093.5</c:v>
                </c:pt>
                <c:pt idx="268">
                  <c:v>18197</c:v>
                </c:pt>
                <c:pt idx="269">
                  <c:v>18303</c:v>
                </c:pt>
                <c:pt idx="270">
                  <c:v>18409</c:v>
                </c:pt>
                <c:pt idx="271">
                  <c:v>18515</c:v>
                </c:pt>
                <c:pt idx="272">
                  <c:v>18621</c:v>
                </c:pt>
                <c:pt idx="273">
                  <c:v>18729.5</c:v>
                </c:pt>
                <c:pt idx="274">
                  <c:v>18838</c:v>
                </c:pt>
                <c:pt idx="275">
                  <c:v>18946.5</c:v>
                </c:pt>
                <c:pt idx="276">
                  <c:v>19055</c:v>
                </c:pt>
                <c:pt idx="277">
                  <c:v>19165.75</c:v>
                </c:pt>
                <c:pt idx="278">
                  <c:v>19276.5</c:v>
                </c:pt>
                <c:pt idx="279">
                  <c:v>19387.25</c:v>
                </c:pt>
                <c:pt idx="280">
                  <c:v>19498</c:v>
                </c:pt>
                <c:pt idx="281">
                  <c:v>19611.75</c:v>
                </c:pt>
                <c:pt idx="282">
                  <c:v>19725.5</c:v>
                </c:pt>
                <c:pt idx="283">
                  <c:v>19839.25</c:v>
                </c:pt>
                <c:pt idx="284">
                  <c:v>19953</c:v>
                </c:pt>
                <c:pt idx="285">
                  <c:v>20069</c:v>
                </c:pt>
                <c:pt idx="286">
                  <c:v>20185</c:v>
                </c:pt>
                <c:pt idx="287">
                  <c:v>20301</c:v>
                </c:pt>
                <c:pt idx="288">
                  <c:v>20417</c:v>
                </c:pt>
                <c:pt idx="289">
                  <c:v>20536</c:v>
                </c:pt>
                <c:pt idx="290">
                  <c:v>20655</c:v>
                </c:pt>
                <c:pt idx="291">
                  <c:v>20774</c:v>
                </c:pt>
                <c:pt idx="292">
                  <c:v>20893</c:v>
                </c:pt>
                <c:pt idx="293">
                  <c:v>21014.75</c:v>
                </c:pt>
                <c:pt idx="294">
                  <c:v>21136.5</c:v>
                </c:pt>
                <c:pt idx="295">
                  <c:v>21258.25</c:v>
                </c:pt>
                <c:pt idx="296">
                  <c:v>21380</c:v>
                </c:pt>
                <c:pt idx="297">
                  <c:v>21504.5</c:v>
                </c:pt>
                <c:pt idx="298">
                  <c:v>21629</c:v>
                </c:pt>
                <c:pt idx="299">
                  <c:v>21753.5</c:v>
                </c:pt>
                <c:pt idx="300">
                  <c:v>21878</c:v>
                </c:pt>
                <c:pt idx="301">
                  <c:v>22005.25</c:v>
                </c:pt>
                <c:pt idx="302">
                  <c:v>22132.5</c:v>
                </c:pt>
                <c:pt idx="303">
                  <c:v>22259.75</c:v>
                </c:pt>
                <c:pt idx="304">
                  <c:v>22387</c:v>
                </c:pt>
                <c:pt idx="305">
                  <c:v>22517.5</c:v>
                </c:pt>
                <c:pt idx="306">
                  <c:v>22648</c:v>
                </c:pt>
                <c:pt idx="307">
                  <c:v>22778.5</c:v>
                </c:pt>
                <c:pt idx="308">
                  <c:v>22909</c:v>
                </c:pt>
                <c:pt idx="309">
                  <c:v>23042.25</c:v>
                </c:pt>
                <c:pt idx="310">
                  <c:v>23175.5</c:v>
                </c:pt>
                <c:pt idx="311">
                  <c:v>23308.75</c:v>
                </c:pt>
                <c:pt idx="312">
                  <c:v>23442</c:v>
                </c:pt>
                <c:pt idx="313">
                  <c:v>23578.5</c:v>
                </c:pt>
                <c:pt idx="314">
                  <c:v>23715</c:v>
                </c:pt>
                <c:pt idx="315">
                  <c:v>23851.5</c:v>
                </c:pt>
                <c:pt idx="316">
                  <c:v>23988</c:v>
                </c:pt>
                <c:pt idx="317">
                  <c:v>24127.75</c:v>
                </c:pt>
                <c:pt idx="318">
                  <c:v>24267.5</c:v>
                </c:pt>
                <c:pt idx="319">
                  <c:v>24407.25</c:v>
                </c:pt>
                <c:pt idx="320">
                  <c:v>24547</c:v>
                </c:pt>
                <c:pt idx="321">
                  <c:v>24690</c:v>
                </c:pt>
                <c:pt idx="322">
                  <c:v>24833</c:v>
                </c:pt>
                <c:pt idx="323">
                  <c:v>24976</c:v>
                </c:pt>
                <c:pt idx="324">
                  <c:v>25119</c:v>
                </c:pt>
                <c:pt idx="325">
                  <c:v>25265.25</c:v>
                </c:pt>
                <c:pt idx="326">
                  <c:v>25411.5</c:v>
                </c:pt>
                <c:pt idx="327">
                  <c:v>25557.75</c:v>
                </c:pt>
                <c:pt idx="328">
                  <c:v>25704</c:v>
                </c:pt>
                <c:pt idx="329">
                  <c:v>25853.75</c:v>
                </c:pt>
                <c:pt idx="330">
                  <c:v>26003.5</c:v>
                </c:pt>
                <c:pt idx="331">
                  <c:v>26153.25</c:v>
                </c:pt>
                <c:pt idx="332">
                  <c:v>26303</c:v>
                </c:pt>
                <c:pt idx="333">
                  <c:v>26456</c:v>
                </c:pt>
                <c:pt idx="334">
                  <c:v>26609</c:v>
                </c:pt>
                <c:pt idx="335">
                  <c:v>26762</c:v>
                </c:pt>
                <c:pt idx="336">
                  <c:v>26915</c:v>
                </c:pt>
                <c:pt idx="337">
                  <c:v>27071.75</c:v>
                </c:pt>
                <c:pt idx="338">
                  <c:v>27228.5</c:v>
                </c:pt>
                <c:pt idx="339">
                  <c:v>27385.25</c:v>
                </c:pt>
                <c:pt idx="340">
                  <c:v>27542</c:v>
                </c:pt>
                <c:pt idx="341">
                  <c:v>27702.5</c:v>
                </c:pt>
                <c:pt idx="342">
                  <c:v>27863</c:v>
                </c:pt>
                <c:pt idx="343">
                  <c:v>28023.5</c:v>
                </c:pt>
                <c:pt idx="344">
                  <c:v>28184</c:v>
                </c:pt>
                <c:pt idx="345">
                  <c:v>28348</c:v>
                </c:pt>
                <c:pt idx="346">
                  <c:v>28512</c:v>
                </c:pt>
                <c:pt idx="347">
                  <c:v>28676</c:v>
                </c:pt>
                <c:pt idx="348">
                  <c:v>28840</c:v>
                </c:pt>
                <c:pt idx="349">
                  <c:v>29008</c:v>
                </c:pt>
                <c:pt idx="350">
                  <c:v>29176</c:v>
                </c:pt>
                <c:pt idx="351">
                  <c:v>29344</c:v>
                </c:pt>
                <c:pt idx="352">
                  <c:v>29512</c:v>
                </c:pt>
                <c:pt idx="353">
                  <c:v>29684</c:v>
                </c:pt>
                <c:pt idx="354">
                  <c:v>29856</c:v>
                </c:pt>
                <c:pt idx="355">
                  <c:v>30028</c:v>
                </c:pt>
                <c:pt idx="356">
                  <c:v>30200</c:v>
                </c:pt>
                <c:pt idx="357">
                  <c:v>30375.75</c:v>
                </c:pt>
                <c:pt idx="358">
                  <c:v>30551.5</c:v>
                </c:pt>
                <c:pt idx="359">
                  <c:v>30727.25</c:v>
                </c:pt>
                <c:pt idx="360">
                  <c:v>30903</c:v>
                </c:pt>
                <c:pt idx="361">
                  <c:v>31083</c:v>
                </c:pt>
                <c:pt idx="362">
                  <c:v>31263</c:v>
                </c:pt>
                <c:pt idx="363">
                  <c:v>31443</c:v>
                </c:pt>
                <c:pt idx="364">
                  <c:v>31623</c:v>
                </c:pt>
                <c:pt idx="365">
                  <c:v>31807</c:v>
                </c:pt>
                <c:pt idx="366">
                  <c:v>31991</c:v>
                </c:pt>
                <c:pt idx="367">
                  <c:v>32175</c:v>
                </c:pt>
                <c:pt idx="368">
                  <c:v>32359</c:v>
                </c:pt>
                <c:pt idx="369">
                  <c:v>32547.5</c:v>
                </c:pt>
                <c:pt idx="370">
                  <c:v>32736</c:v>
                </c:pt>
                <c:pt idx="371">
                  <c:v>32924.5</c:v>
                </c:pt>
                <c:pt idx="372">
                  <c:v>33113</c:v>
                </c:pt>
                <c:pt idx="373">
                  <c:v>33305.75</c:v>
                </c:pt>
                <c:pt idx="374">
                  <c:v>33498.5</c:v>
                </c:pt>
                <c:pt idx="375">
                  <c:v>33691.25</c:v>
                </c:pt>
                <c:pt idx="376">
                  <c:v>33884</c:v>
                </c:pt>
                <c:pt idx="377">
                  <c:v>34081.5</c:v>
                </c:pt>
                <c:pt idx="378">
                  <c:v>34279</c:v>
                </c:pt>
                <c:pt idx="379">
                  <c:v>34476.5</c:v>
                </c:pt>
                <c:pt idx="380">
                  <c:v>34674</c:v>
                </c:pt>
                <c:pt idx="381">
                  <c:v>34875.75</c:v>
                </c:pt>
                <c:pt idx="382">
                  <c:v>35077.5</c:v>
                </c:pt>
                <c:pt idx="383">
                  <c:v>35279.25</c:v>
                </c:pt>
                <c:pt idx="384">
                  <c:v>35481</c:v>
                </c:pt>
                <c:pt idx="385">
                  <c:v>35687.75</c:v>
                </c:pt>
                <c:pt idx="386">
                  <c:v>35894.5</c:v>
                </c:pt>
                <c:pt idx="387">
                  <c:v>36101.25</c:v>
                </c:pt>
                <c:pt idx="388">
                  <c:v>36308</c:v>
                </c:pt>
                <c:pt idx="389">
                  <c:v>36519.5</c:v>
                </c:pt>
                <c:pt idx="390">
                  <c:v>36731</c:v>
                </c:pt>
                <c:pt idx="391">
                  <c:v>36942.5</c:v>
                </c:pt>
                <c:pt idx="392">
                  <c:v>37154</c:v>
                </c:pt>
                <c:pt idx="393">
                  <c:v>37370.25</c:v>
                </c:pt>
                <c:pt idx="394">
                  <c:v>37586.5</c:v>
                </c:pt>
                <c:pt idx="395">
                  <c:v>37802.75</c:v>
                </c:pt>
                <c:pt idx="396">
                  <c:v>38019</c:v>
                </c:pt>
                <c:pt idx="397">
                  <c:v>38240.5</c:v>
                </c:pt>
                <c:pt idx="398">
                  <c:v>38462</c:v>
                </c:pt>
                <c:pt idx="399">
                  <c:v>38683.5</c:v>
                </c:pt>
                <c:pt idx="400">
                  <c:v>38905</c:v>
                </c:pt>
                <c:pt idx="401">
                  <c:v>39131.5</c:v>
                </c:pt>
                <c:pt idx="402">
                  <c:v>39358</c:v>
                </c:pt>
                <c:pt idx="403">
                  <c:v>39584.5</c:v>
                </c:pt>
                <c:pt idx="404">
                  <c:v>39811</c:v>
                </c:pt>
                <c:pt idx="405">
                  <c:v>40042.75</c:v>
                </c:pt>
                <c:pt idx="406">
                  <c:v>40274.5</c:v>
                </c:pt>
                <c:pt idx="407">
                  <c:v>40506.25</c:v>
                </c:pt>
                <c:pt idx="408">
                  <c:v>40738</c:v>
                </c:pt>
                <c:pt idx="409">
                  <c:v>40975.25</c:v>
                </c:pt>
                <c:pt idx="410">
                  <c:v>41212.5</c:v>
                </c:pt>
                <c:pt idx="411">
                  <c:v>41449.75</c:v>
                </c:pt>
                <c:pt idx="412">
                  <c:v>41687</c:v>
                </c:pt>
                <c:pt idx="413">
                  <c:v>41929.75</c:v>
                </c:pt>
                <c:pt idx="414">
                  <c:v>42172.5</c:v>
                </c:pt>
                <c:pt idx="415">
                  <c:v>42415.25</c:v>
                </c:pt>
                <c:pt idx="416">
                  <c:v>42658</c:v>
                </c:pt>
                <c:pt idx="417">
                  <c:v>42906.5</c:v>
                </c:pt>
                <c:pt idx="418">
                  <c:v>43155</c:v>
                </c:pt>
                <c:pt idx="419">
                  <c:v>43403.5</c:v>
                </c:pt>
                <c:pt idx="420">
                  <c:v>43652</c:v>
                </c:pt>
                <c:pt idx="421">
                  <c:v>43906</c:v>
                </c:pt>
                <c:pt idx="422">
                  <c:v>44160</c:v>
                </c:pt>
                <c:pt idx="423">
                  <c:v>44414</c:v>
                </c:pt>
                <c:pt idx="424">
                  <c:v>44668</c:v>
                </c:pt>
                <c:pt idx="425">
                  <c:v>44928.25</c:v>
                </c:pt>
                <c:pt idx="426">
                  <c:v>45188.5</c:v>
                </c:pt>
                <c:pt idx="427">
                  <c:v>45448.75</c:v>
                </c:pt>
                <c:pt idx="428">
                  <c:v>45709</c:v>
                </c:pt>
                <c:pt idx="429">
                  <c:v>45975.25</c:v>
                </c:pt>
                <c:pt idx="430">
                  <c:v>46241.5</c:v>
                </c:pt>
                <c:pt idx="431">
                  <c:v>46507.75</c:v>
                </c:pt>
                <c:pt idx="432">
                  <c:v>46774</c:v>
                </c:pt>
                <c:pt idx="433">
                  <c:v>47046.25</c:v>
                </c:pt>
                <c:pt idx="434">
                  <c:v>47318.5</c:v>
                </c:pt>
                <c:pt idx="435">
                  <c:v>47590.75</c:v>
                </c:pt>
                <c:pt idx="436">
                  <c:v>47863</c:v>
                </c:pt>
                <c:pt idx="437">
                  <c:v>48141.75</c:v>
                </c:pt>
                <c:pt idx="438">
                  <c:v>48420.5</c:v>
                </c:pt>
                <c:pt idx="439">
                  <c:v>48699.25</c:v>
                </c:pt>
                <c:pt idx="440">
                  <c:v>48978</c:v>
                </c:pt>
                <c:pt idx="441">
                  <c:v>49263.25</c:v>
                </c:pt>
                <c:pt idx="442">
                  <c:v>49548.5</c:v>
                </c:pt>
                <c:pt idx="443">
                  <c:v>49833.75</c:v>
                </c:pt>
                <c:pt idx="444">
                  <c:v>50119</c:v>
                </c:pt>
                <c:pt idx="445">
                  <c:v>50410.75</c:v>
                </c:pt>
                <c:pt idx="446">
                  <c:v>50702.5</c:v>
                </c:pt>
                <c:pt idx="447">
                  <c:v>50994.25</c:v>
                </c:pt>
                <c:pt idx="448">
                  <c:v>51286</c:v>
                </c:pt>
                <c:pt idx="449">
                  <c:v>51584.75</c:v>
                </c:pt>
                <c:pt idx="450">
                  <c:v>51883.5</c:v>
                </c:pt>
                <c:pt idx="451">
                  <c:v>52182.25</c:v>
                </c:pt>
                <c:pt idx="452">
                  <c:v>52481</c:v>
                </c:pt>
                <c:pt idx="453">
                  <c:v>52786.5</c:v>
                </c:pt>
                <c:pt idx="454">
                  <c:v>53092</c:v>
                </c:pt>
                <c:pt idx="455">
                  <c:v>53397.5</c:v>
                </c:pt>
                <c:pt idx="456">
                  <c:v>53703</c:v>
                </c:pt>
                <c:pt idx="457">
                  <c:v>54015.75</c:v>
                </c:pt>
                <c:pt idx="458">
                  <c:v>54328.5</c:v>
                </c:pt>
                <c:pt idx="459">
                  <c:v>54641.25</c:v>
                </c:pt>
                <c:pt idx="460">
                  <c:v>54954</c:v>
                </c:pt>
                <c:pt idx="461">
                  <c:v>55274</c:v>
                </c:pt>
                <c:pt idx="462">
                  <c:v>55594</c:v>
                </c:pt>
                <c:pt idx="463">
                  <c:v>55914</c:v>
                </c:pt>
                <c:pt idx="464">
                  <c:v>56234</c:v>
                </c:pt>
                <c:pt idx="465">
                  <c:v>56561.5</c:v>
                </c:pt>
                <c:pt idx="466">
                  <c:v>56889</c:v>
                </c:pt>
                <c:pt idx="467">
                  <c:v>57216.5</c:v>
                </c:pt>
                <c:pt idx="468">
                  <c:v>57544</c:v>
                </c:pt>
                <c:pt idx="469">
                  <c:v>57879</c:v>
                </c:pt>
                <c:pt idx="470">
                  <c:v>58214</c:v>
                </c:pt>
                <c:pt idx="471">
                  <c:v>58549</c:v>
                </c:pt>
                <c:pt idx="472">
                  <c:v>58884</c:v>
                </c:pt>
                <c:pt idx="473">
                  <c:v>59227</c:v>
                </c:pt>
                <c:pt idx="474">
                  <c:v>59570</c:v>
                </c:pt>
                <c:pt idx="475">
                  <c:v>59913</c:v>
                </c:pt>
                <c:pt idx="476">
                  <c:v>60256</c:v>
                </c:pt>
                <c:pt idx="477">
                  <c:v>60607</c:v>
                </c:pt>
                <c:pt idx="478">
                  <c:v>60958</c:v>
                </c:pt>
                <c:pt idx="479">
                  <c:v>61309</c:v>
                </c:pt>
                <c:pt idx="480">
                  <c:v>61660</c:v>
                </c:pt>
                <c:pt idx="481">
                  <c:v>62019</c:v>
                </c:pt>
                <c:pt idx="482">
                  <c:v>62378</c:v>
                </c:pt>
                <c:pt idx="483">
                  <c:v>62737</c:v>
                </c:pt>
                <c:pt idx="484">
                  <c:v>63096</c:v>
                </c:pt>
                <c:pt idx="485">
                  <c:v>63463.25</c:v>
                </c:pt>
                <c:pt idx="486">
                  <c:v>63830.5</c:v>
                </c:pt>
                <c:pt idx="487">
                  <c:v>64197.75</c:v>
                </c:pt>
                <c:pt idx="488">
                  <c:v>64565</c:v>
                </c:pt>
                <c:pt idx="489">
                  <c:v>64941</c:v>
                </c:pt>
                <c:pt idx="490">
                  <c:v>65317</c:v>
                </c:pt>
                <c:pt idx="491">
                  <c:v>65693</c:v>
                </c:pt>
                <c:pt idx="492">
                  <c:v>66069</c:v>
                </c:pt>
                <c:pt idx="493">
                  <c:v>66453.75</c:v>
                </c:pt>
                <c:pt idx="494">
                  <c:v>66838.5</c:v>
                </c:pt>
                <c:pt idx="495">
                  <c:v>67223.25</c:v>
                </c:pt>
                <c:pt idx="496">
                  <c:v>67608</c:v>
                </c:pt>
                <c:pt idx="497">
                  <c:v>68001.75</c:v>
                </c:pt>
                <c:pt idx="498">
                  <c:v>68395.5</c:v>
                </c:pt>
                <c:pt idx="499">
                  <c:v>68789.25</c:v>
                </c:pt>
                <c:pt idx="500">
                  <c:v>69183</c:v>
                </c:pt>
                <c:pt idx="501">
                  <c:v>69586</c:v>
                </c:pt>
                <c:pt idx="502">
                  <c:v>69989</c:v>
                </c:pt>
                <c:pt idx="503">
                  <c:v>70392</c:v>
                </c:pt>
                <c:pt idx="504">
                  <c:v>70795</c:v>
                </c:pt>
                <c:pt idx="505">
                  <c:v>71207.25</c:v>
                </c:pt>
                <c:pt idx="506">
                  <c:v>71619.5</c:v>
                </c:pt>
                <c:pt idx="507">
                  <c:v>72031.75</c:v>
                </c:pt>
                <c:pt idx="508">
                  <c:v>72444</c:v>
                </c:pt>
                <c:pt idx="509">
                  <c:v>72865.75</c:v>
                </c:pt>
                <c:pt idx="510">
                  <c:v>73287.5</c:v>
                </c:pt>
                <c:pt idx="511">
                  <c:v>73709.25</c:v>
                </c:pt>
                <c:pt idx="512">
                  <c:v>74131</c:v>
                </c:pt>
                <c:pt idx="513">
                  <c:v>74562.75</c:v>
                </c:pt>
                <c:pt idx="514">
                  <c:v>74994.5</c:v>
                </c:pt>
                <c:pt idx="515">
                  <c:v>75426.25</c:v>
                </c:pt>
                <c:pt idx="516">
                  <c:v>75858</c:v>
                </c:pt>
                <c:pt idx="517">
                  <c:v>76299.75</c:v>
                </c:pt>
                <c:pt idx="518">
                  <c:v>76741.5</c:v>
                </c:pt>
                <c:pt idx="519">
                  <c:v>77183.25</c:v>
                </c:pt>
                <c:pt idx="520">
                  <c:v>77625</c:v>
                </c:pt>
                <c:pt idx="521">
                  <c:v>78077</c:v>
                </c:pt>
                <c:pt idx="522">
                  <c:v>78529</c:v>
                </c:pt>
                <c:pt idx="523">
                  <c:v>78981</c:v>
                </c:pt>
                <c:pt idx="524">
                  <c:v>79433</c:v>
                </c:pt>
                <c:pt idx="525">
                  <c:v>79895.5</c:v>
                </c:pt>
                <c:pt idx="526">
                  <c:v>80358</c:v>
                </c:pt>
                <c:pt idx="527">
                  <c:v>80820.5</c:v>
                </c:pt>
                <c:pt idx="528">
                  <c:v>81283</c:v>
                </c:pt>
                <c:pt idx="529">
                  <c:v>81756.25</c:v>
                </c:pt>
                <c:pt idx="530">
                  <c:v>82229.5</c:v>
                </c:pt>
                <c:pt idx="531">
                  <c:v>82702.75</c:v>
                </c:pt>
                <c:pt idx="532">
                  <c:v>83176</c:v>
                </c:pt>
                <c:pt idx="533">
                  <c:v>83660.5</c:v>
                </c:pt>
                <c:pt idx="534">
                  <c:v>84145</c:v>
                </c:pt>
                <c:pt idx="535">
                  <c:v>84629.5</c:v>
                </c:pt>
                <c:pt idx="536">
                  <c:v>85114</c:v>
                </c:pt>
                <c:pt idx="537">
                  <c:v>85609.5</c:v>
                </c:pt>
                <c:pt idx="538">
                  <c:v>86105</c:v>
                </c:pt>
                <c:pt idx="539">
                  <c:v>86600.5</c:v>
                </c:pt>
                <c:pt idx="540">
                  <c:v>87096</c:v>
                </c:pt>
                <c:pt idx="541">
                  <c:v>87603.25</c:v>
                </c:pt>
                <c:pt idx="542">
                  <c:v>88110.5</c:v>
                </c:pt>
                <c:pt idx="543">
                  <c:v>88617.75</c:v>
                </c:pt>
                <c:pt idx="544">
                  <c:v>89125</c:v>
                </c:pt>
                <c:pt idx="545">
                  <c:v>89644</c:v>
                </c:pt>
                <c:pt idx="546">
                  <c:v>90163</c:v>
                </c:pt>
                <c:pt idx="547">
                  <c:v>90682</c:v>
                </c:pt>
                <c:pt idx="548">
                  <c:v>91201</c:v>
                </c:pt>
                <c:pt idx="549">
                  <c:v>91732</c:v>
                </c:pt>
                <c:pt idx="550">
                  <c:v>92263</c:v>
                </c:pt>
                <c:pt idx="551">
                  <c:v>92794</c:v>
                </c:pt>
                <c:pt idx="552">
                  <c:v>93325</c:v>
                </c:pt>
                <c:pt idx="553">
                  <c:v>93868.5</c:v>
                </c:pt>
                <c:pt idx="554">
                  <c:v>94412</c:v>
                </c:pt>
                <c:pt idx="555">
                  <c:v>94955.5</c:v>
                </c:pt>
                <c:pt idx="556">
                  <c:v>95499</c:v>
                </c:pt>
                <c:pt idx="557">
                  <c:v>96611.5</c:v>
                </c:pt>
                <c:pt idx="558">
                  <c:v>97724</c:v>
                </c:pt>
                <c:pt idx="559">
                  <c:v>98862</c:v>
                </c:pt>
                <c:pt idx="560">
                  <c:v>100000</c:v>
                </c:pt>
                <c:pt idx="561">
                  <c:v>101165</c:v>
                </c:pt>
                <c:pt idx="562">
                  <c:v>102330</c:v>
                </c:pt>
                <c:pt idx="563">
                  <c:v>103520</c:v>
                </c:pt>
                <c:pt idx="564">
                  <c:v>104710</c:v>
                </c:pt>
                <c:pt idx="565">
                  <c:v>105930</c:v>
                </c:pt>
                <c:pt idx="566">
                  <c:v>107150</c:v>
                </c:pt>
                <c:pt idx="567">
                  <c:v>108400</c:v>
                </c:pt>
                <c:pt idx="568">
                  <c:v>109650</c:v>
                </c:pt>
                <c:pt idx="569">
                  <c:v>110925</c:v>
                </c:pt>
                <c:pt idx="570">
                  <c:v>112200</c:v>
                </c:pt>
                <c:pt idx="571">
                  <c:v>113510</c:v>
                </c:pt>
                <c:pt idx="572">
                  <c:v>114820</c:v>
                </c:pt>
                <c:pt idx="573">
                  <c:v>116155</c:v>
                </c:pt>
                <c:pt idx="574">
                  <c:v>117490</c:v>
                </c:pt>
                <c:pt idx="575">
                  <c:v>118860</c:v>
                </c:pt>
                <c:pt idx="576">
                  <c:v>120230</c:v>
                </c:pt>
                <c:pt idx="577">
                  <c:v>126030</c:v>
                </c:pt>
                <c:pt idx="578">
                  <c:v>131830</c:v>
                </c:pt>
                <c:pt idx="579">
                  <c:v>144540</c:v>
                </c:pt>
                <c:pt idx="580">
                  <c:v>158490</c:v>
                </c:pt>
                <c:pt idx="581">
                  <c:v>173780</c:v>
                </c:pt>
                <c:pt idx="582">
                  <c:v>190550</c:v>
                </c:pt>
                <c:pt idx="583">
                  <c:v>208930</c:v>
                </c:pt>
                <c:pt idx="584">
                  <c:v>229090</c:v>
                </c:pt>
                <c:pt idx="585">
                  <c:v>251190</c:v>
                </c:pt>
                <c:pt idx="586">
                  <c:v>275420</c:v>
                </c:pt>
                <c:pt idx="587">
                  <c:v>302000</c:v>
                </c:pt>
                <c:pt idx="588">
                  <c:v>331130</c:v>
                </c:pt>
                <c:pt idx="589">
                  <c:v>363080</c:v>
                </c:pt>
                <c:pt idx="590">
                  <c:v>398110</c:v>
                </c:pt>
                <c:pt idx="591">
                  <c:v>436520</c:v>
                </c:pt>
                <c:pt idx="592">
                  <c:v>478630</c:v>
                </c:pt>
                <c:pt idx="593">
                  <c:v>524810</c:v>
                </c:pt>
                <c:pt idx="594">
                  <c:v>575440</c:v>
                </c:pt>
                <c:pt idx="595">
                  <c:v>630960</c:v>
                </c:pt>
                <c:pt idx="596">
                  <c:v>691830</c:v>
                </c:pt>
                <c:pt idx="597">
                  <c:v>758580</c:v>
                </c:pt>
                <c:pt idx="598">
                  <c:v>831760</c:v>
                </c:pt>
                <c:pt idx="599">
                  <c:v>912010</c:v>
                </c:pt>
                <c:pt idx="600">
                  <c:v>1000000</c:v>
                </c:pt>
              </c:numCache>
            </c:numRef>
          </c:xVal>
          <c:yVal>
            <c:numRef>
              <c:f>'Stability Calculations'!$U$13:$U$613</c:f>
              <c:numCache>
                <c:formatCode>0.00</c:formatCode>
                <c:ptCount val="601"/>
                <c:pt idx="0">
                  <c:v>97.910120864692971</c:v>
                </c:pt>
                <c:pt idx="1">
                  <c:v>97.382974754612306</c:v>
                </c:pt>
                <c:pt idx="2">
                  <c:v>96.823801482384383</c:v>
                </c:pt>
                <c:pt idx="3">
                  <c:v>96.234846201076479</c:v>
                </c:pt>
                <c:pt idx="4">
                  <c:v>95.618982119407946</c:v>
                </c:pt>
                <c:pt idx="5">
                  <c:v>94.977739423056349</c:v>
                </c:pt>
                <c:pt idx="6">
                  <c:v>94.314585839193455</c:v>
                </c:pt>
                <c:pt idx="7">
                  <c:v>93.631600897245804</c:v>
                </c:pt>
                <c:pt idx="8">
                  <c:v>92.9316693489627</c:v>
                </c:pt>
                <c:pt idx="9">
                  <c:v>92.216477074933536</c:v>
                </c:pt>
                <c:pt idx="10">
                  <c:v>91.488451340513848</c:v>
                </c:pt>
                <c:pt idx="11">
                  <c:v>90.749307946608951</c:v>
                </c:pt>
                <c:pt idx="12">
                  <c:v>90.000259911093309</c:v>
                </c:pt>
                <c:pt idx="13">
                  <c:v>89.24344071920423</c:v>
                </c:pt>
                <c:pt idx="14">
                  <c:v>88.479479006104199</c:v>
                </c:pt>
                <c:pt idx="15">
                  <c:v>87.709729064206172</c:v>
                </c:pt>
                <c:pt idx="16">
                  <c:v>86.93504182683013</c:v>
                </c:pt>
                <c:pt idx="17">
                  <c:v>86.156307188711708</c:v>
                </c:pt>
                <c:pt idx="18">
                  <c:v>85.373960880515881</c:v>
                </c:pt>
                <c:pt idx="19">
                  <c:v>84.58877322767195</c:v>
                </c:pt>
                <c:pt idx="20">
                  <c:v>83.801060553881882</c:v>
                </c:pt>
                <c:pt idx="21">
                  <c:v>83.011381276878723</c:v>
                </c:pt>
                <c:pt idx="22">
                  <c:v>82.219900558489201</c:v>
                </c:pt>
                <c:pt idx="23">
                  <c:v>81.427093935125598</c:v>
                </c:pt>
                <c:pt idx="24">
                  <c:v>80.63299358079199</c:v>
                </c:pt>
                <c:pt idx="25">
                  <c:v>79.837917610135349</c:v>
                </c:pt>
                <c:pt idx="26">
                  <c:v>79.041843528781556</c:v>
                </c:pt>
                <c:pt idx="27">
                  <c:v>78.245160440505359</c:v>
                </c:pt>
                <c:pt idx="28">
                  <c:v>77.44795052300519</c:v>
                </c:pt>
                <c:pt idx="29">
                  <c:v>76.650803439246971</c:v>
                </c:pt>
                <c:pt idx="30">
                  <c:v>75.85244900974385</c:v>
                </c:pt>
                <c:pt idx="31">
                  <c:v>75.054067130034028</c:v>
                </c:pt>
                <c:pt idx="32">
                  <c:v>74.255169854259179</c:v>
                </c:pt>
                <c:pt idx="33">
                  <c:v>73.456370665305599</c:v>
                </c:pt>
                <c:pt idx="34">
                  <c:v>72.657089842253953</c:v>
                </c:pt>
                <c:pt idx="35">
                  <c:v>71.857806682539177</c:v>
                </c:pt>
                <c:pt idx="36">
                  <c:v>71.058422529554178</c:v>
                </c:pt>
                <c:pt idx="37">
                  <c:v>70.258525250797391</c:v>
                </c:pt>
                <c:pt idx="38">
                  <c:v>69.458890278822565</c:v>
                </c:pt>
                <c:pt idx="39">
                  <c:v>68.658882606316425</c:v>
                </c:pt>
                <c:pt idx="40">
                  <c:v>67.858809470775611</c:v>
                </c:pt>
                <c:pt idx="41">
                  <c:v>67.058602163885638</c:v>
                </c:pt>
                <c:pt idx="42">
                  <c:v>66.258366236335902</c:v>
                </c:pt>
                <c:pt idx="43">
                  <c:v>65.457856606127422</c:v>
                </c:pt>
                <c:pt idx="44">
                  <c:v>64.657270718298662</c:v>
                </c:pt>
                <c:pt idx="45">
                  <c:v>63.856425720145367</c:v>
                </c:pt>
                <c:pt idx="46">
                  <c:v>63.055455449753772</c:v>
                </c:pt>
                <c:pt idx="47">
                  <c:v>62.254152171995386</c:v>
                </c:pt>
                <c:pt idx="48">
                  <c:v>61.452669356393926</c:v>
                </c:pt>
                <c:pt idx="49">
                  <c:v>60.650748696386984</c:v>
                </c:pt>
                <c:pt idx="50">
                  <c:v>59.848448753605112</c:v>
                </c:pt>
                <c:pt idx="51">
                  <c:v>59.04550372548168</c:v>
                </c:pt>
                <c:pt idx="52">
                  <c:v>58.242074715398374</c:v>
                </c:pt>
                <c:pt idx="53">
                  <c:v>57.438017588337836</c:v>
                </c:pt>
                <c:pt idx="54">
                  <c:v>56.633697650294614</c:v>
                </c:pt>
                <c:pt idx="55">
                  <c:v>55.827593156974046</c:v>
                </c:pt>
                <c:pt idx="56">
                  <c:v>55.020637323587735</c:v>
                </c:pt>
                <c:pt idx="57">
                  <c:v>54.212053789282777</c:v>
                </c:pt>
                <c:pt idx="58">
                  <c:v>53.402146641542686</c:v>
                </c:pt>
                <c:pt idx="59">
                  <c:v>52.589968044149408</c:v>
                </c:pt>
                <c:pt idx="60">
                  <c:v>51.775591676376315</c:v>
                </c:pt>
                <c:pt idx="61">
                  <c:v>50.958441496758752</c:v>
                </c:pt>
                <c:pt idx="62">
                  <c:v>50.137542754669731</c:v>
                </c:pt>
                <c:pt idx="63">
                  <c:v>49.313052691433953</c:v>
                </c:pt>
                <c:pt idx="64">
                  <c:v>48.483579190393975</c:v>
                </c:pt>
                <c:pt idx="65">
                  <c:v>47.648589038630639</c:v>
                </c:pt>
                <c:pt idx="66">
                  <c:v>46.807038010399907</c:v>
                </c:pt>
                <c:pt idx="67">
                  <c:v>45.957933868015701</c:v>
                </c:pt>
                <c:pt idx="68">
                  <c:v>45.099775154820072</c:v>
                </c:pt>
                <c:pt idx="69">
                  <c:v>44.231396846329496</c:v>
                </c:pt>
                <c:pt idx="70">
                  <c:v>43.351099906815264</c:v>
                </c:pt>
                <c:pt idx="71">
                  <c:v>42.457428738639479</c:v>
                </c:pt>
                <c:pt idx="72">
                  <c:v>41.548483880723346</c:v>
                </c:pt>
                <c:pt idx="73">
                  <c:v>40.622764448413385</c:v>
                </c:pt>
                <c:pt idx="74">
                  <c:v>39.678365184079261</c:v>
                </c:pt>
                <c:pt idx="75">
                  <c:v>38.713911571433478</c:v>
                </c:pt>
                <c:pt idx="76">
                  <c:v>37.727920113789303</c:v>
                </c:pt>
                <c:pt idx="77">
                  <c:v>36.719838969166673</c:v>
                </c:pt>
                <c:pt idx="78">
                  <c:v>35.689291292314934</c:v>
                </c:pt>
                <c:pt idx="79">
                  <c:v>34.637235829266217</c:v>
                </c:pt>
                <c:pt idx="80">
                  <c:v>33.562906752457437</c:v>
                </c:pt>
                <c:pt idx="81">
                  <c:v>32.469593580267428</c:v>
                </c:pt>
                <c:pt idx="82">
                  <c:v>31.359153858241505</c:v>
                </c:pt>
                <c:pt idx="83">
                  <c:v>30.235708344947767</c:v>
                </c:pt>
                <c:pt idx="84">
                  <c:v>29.102337739069682</c:v>
                </c:pt>
                <c:pt idx="85">
                  <c:v>27.964075096928479</c:v>
                </c:pt>
                <c:pt idx="86">
                  <c:v>26.825392460092612</c:v>
                </c:pt>
                <c:pt idx="87">
                  <c:v>25.690345464924029</c:v>
                </c:pt>
                <c:pt idx="88">
                  <c:v>24.56447481727221</c:v>
                </c:pt>
                <c:pt idx="89">
                  <c:v>23.450915165273216</c:v>
                </c:pt>
                <c:pt idx="90">
                  <c:v>22.353543958901327</c:v>
                </c:pt>
                <c:pt idx="91">
                  <c:v>21.274999937012446</c:v>
                </c:pt>
                <c:pt idx="92">
                  <c:v>20.217377392680035</c:v>
                </c:pt>
                <c:pt idx="93">
                  <c:v>19.181521791650635</c:v>
                </c:pt>
                <c:pt idx="94">
                  <c:v>18.926153040044305</c:v>
                </c:pt>
                <c:pt idx="95">
                  <c:v>18.798206881707912</c:v>
                </c:pt>
                <c:pt idx="96">
                  <c:v>18.672072929988143</c:v>
                </c:pt>
                <c:pt idx="97">
                  <c:v>18.544843397922634</c:v>
                </c:pt>
                <c:pt idx="98">
                  <c:v>18.419416572863035</c:v>
                </c:pt>
                <c:pt idx="99">
                  <c:v>18.292869238453001</c:v>
                </c:pt>
                <c:pt idx="100">
                  <c:v>18.168115458566703</c:v>
                </c:pt>
                <c:pt idx="101">
                  <c:v>18.042312950442188</c:v>
                </c:pt>
                <c:pt idx="102">
                  <c:v>17.918292469146884</c:v>
                </c:pt>
                <c:pt idx="103">
                  <c:v>17.793109234814231</c:v>
                </c:pt>
                <c:pt idx="104">
                  <c:v>17.669699432805203</c:v>
                </c:pt>
                <c:pt idx="105">
                  <c:v>17.545199784958953</c:v>
                </c:pt>
                <c:pt idx="106">
                  <c:v>17.422462580690329</c:v>
                </c:pt>
                <c:pt idx="107">
                  <c:v>17.298703764971002</c:v>
                </c:pt>
                <c:pt idx="108">
                  <c:v>17.176694223018046</c:v>
                </c:pt>
                <c:pt idx="109">
                  <c:v>17.053643682436061</c:v>
                </c:pt>
                <c:pt idx="110">
                  <c:v>16.932329605776079</c:v>
                </c:pt>
                <c:pt idx="111">
                  <c:v>16.809877046962075</c:v>
                </c:pt>
                <c:pt idx="112">
                  <c:v>16.689150696421219</c:v>
                </c:pt>
                <c:pt idx="113">
                  <c:v>16.567354842666113</c:v>
                </c:pt>
                <c:pt idx="114">
                  <c:v>16.44727277800477</c:v>
                </c:pt>
                <c:pt idx="115">
                  <c:v>16.326109355810459</c:v>
                </c:pt>
                <c:pt idx="116">
                  <c:v>16.206647481957646</c:v>
                </c:pt>
                <c:pt idx="117">
                  <c:v>16.086094546141091</c:v>
                </c:pt>
                <c:pt idx="118">
                  <c:v>15.967231048963042</c:v>
                </c:pt>
                <c:pt idx="119">
                  <c:v>15.847340953347022</c:v>
                </c:pt>
                <c:pt idx="120">
                  <c:v>15.729126271437943</c:v>
                </c:pt>
                <c:pt idx="121">
                  <c:v>15.609875081052074</c:v>
                </c:pt>
                <c:pt idx="122">
                  <c:v>15.492285509760386</c:v>
                </c:pt>
                <c:pt idx="123">
                  <c:v>15.37358311996627</c:v>
                </c:pt>
                <c:pt idx="124">
                  <c:v>15.256530630500533</c:v>
                </c:pt>
                <c:pt idx="125">
                  <c:v>15.138429091673638</c:v>
                </c:pt>
                <c:pt idx="126">
                  <c:v>15.021963899693953</c:v>
                </c:pt>
                <c:pt idx="127">
                  <c:v>14.904444802698457</c:v>
                </c:pt>
                <c:pt idx="128">
                  <c:v>14.788548632745984</c:v>
                </c:pt>
                <c:pt idx="129">
                  <c:v>14.671595140135329</c:v>
                </c:pt>
                <c:pt idx="130">
                  <c:v>14.556251264066475</c:v>
                </c:pt>
                <c:pt idx="131">
                  <c:v>14.43984796587312</c:v>
                </c:pt>
                <c:pt idx="132">
                  <c:v>14.382247656627356</c:v>
                </c:pt>
                <c:pt idx="133">
                  <c:v>14.325041062669893</c:v>
                </c:pt>
                <c:pt idx="134">
                  <c:v>14.266876943442707</c:v>
                </c:pt>
                <c:pt idx="135">
                  <c:v>14.209114439460384</c:v>
                </c:pt>
                <c:pt idx="136">
                  <c:v>14.151748124273331</c:v>
                </c:pt>
                <c:pt idx="137">
                  <c:v>14.094772675004936</c:v>
                </c:pt>
                <c:pt idx="138">
                  <c:v>14.036902502132119</c:v>
                </c:pt>
                <c:pt idx="139">
                  <c:v>13.979430204970399</c:v>
                </c:pt>
                <c:pt idx="140">
                  <c:v>13.922350410090802</c:v>
                </c:pt>
                <c:pt idx="141">
                  <c:v>13.865657846911308</c:v>
                </c:pt>
                <c:pt idx="142">
                  <c:v>13.808016626304854</c:v>
                </c:pt>
                <c:pt idx="143">
                  <c:v>13.750770361975722</c:v>
                </c:pt>
                <c:pt idx="144">
                  <c:v>13.69391371848312</c:v>
                </c:pt>
                <c:pt idx="145">
                  <c:v>13.637441462855699</c:v>
                </c:pt>
                <c:pt idx="146">
                  <c:v>13.580053570982669</c:v>
                </c:pt>
                <c:pt idx="147">
                  <c:v>13.523057315842186</c:v>
                </c:pt>
                <c:pt idx="148">
                  <c:v>13.466447409514879</c:v>
                </c:pt>
                <c:pt idx="149">
                  <c:v>13.410218665897244</c:v>
                </c:pt>
                <c:pt idx="150">
                  <c:v>13.353079015313069</c:v>
                </c:pt>
                <c:pt idx="151">
                  <c:v>13.296327690122604</c:v>
                </c:pt>
                <c:pt idx="152">
                  <c:v>13.239959451152551</c:v>
                </c:pt>
                <c:pt idx="153">
                  <c:v>13.183969160327365</c:v>
                </c:pt>
                <c:pt idx="154">
                  <c:v>13.127046969996179</c:v>
                </c:pt>
                <c:pt idx="155">
                  <c:v>13.07051015294681</c:v>
                </c:pt>
                <c:pt idx="156">
                  <c:v>13.014353512827883</c:v>
                </c:pt>
                <c:pt idx="157">
                  <c:v>12.958571953787644</c:v>
                </c:pt>
                <c:pt idx="158">
                  <c:v>12.901864979648662</c:v>
                </c:pt>
                <c:pt idx="159">
                  <c:v>12.845540402317797</c:v>
                </c:pt>
                <c:pt idx="160">
                  <c:v>12.789593070009527</c:v>
                </c:pt>
                <c:pt idx="161">
                  <c:v>12.734017930764121</c:v>
                </c:pt>
                <c:pt idx="162">
                  <c:v>12.677548857147949</c:v>
                </c:pt>
                <c:pt idx="163">
                  <c:v>12.621458850198518</c:v>
                </c:pt>
                <c:pt idx="164">
                  <c:v>12.565742810995991</c:v>
                </c:pt>
                <c:pt idx="165">
                  <c:v>12.510395739528061</c:v>
                </c:pt>
                <c:pt idx="166">
                  <c:v>12.454112596250983</c:v>
                </c:pt>
                <c:pt idx="167">
                  <c:v>12.398205839169133</c:v>
                </c:pt>
                <c:pt idx="168">
                  <c:v>12.34267041027449</c:v>
                </c:pt>
                <c:pt idx="169">
                  <c:v>12.287501349827037</c:v>
                </c:pt>
                <c:pt idx="170">
                  <c:v>12.23152159275805</c:v>
                </c:pt>
                <c:pt idx="171">
                  <c:v>12.175913939140607</c:v>
                </c:pt>
                <c:pt idx="172">
                  <c:v>12.120673405056353</c:v>
                </c:pt>
                <c:pt idx="173">
                  <c:v>12.065795103330132</c:v>
                </c:pt>
                <c:pt idx="174">
                  <c:v>12.009904343538125</c:v>
                </c:pt>
                <c:pt idx="175">
                  <c:v>11.95438420886212</c:v>
                </c:pt>
                <c:pt idx="176">
                  <c:v>11.899229734244843</c:v>
                </c:pt>
                <c:pt idx="177">
                  <c:v>11.844436051246095</c:v>
                </c:pt>
                <c:pt idx="178">
                  <c:v>11.7886641994206</c:v>
                </c:pt>
                <c:pt idx="179">
                  <c:v>11.733261054559224</c:v>
                </c:pt>
                <c:pt idx="180">
                  <c:v>11.678221680204759</c:v>
                </c:pt>
                <c:pt idx="181">
                  <c:v>11.623541236114765</c:v>
                </c:pt>
                <c:pt idx="182">
                  <c:v>11.568132031204021</c:v>
                </c:pt>
                <c:pt idx="183">
                  <c:v>11.513086380539532</c:v>
                </c:pt>
                <c:pt idx="184">
                  <c:v>11.458399441706611</c:v>
                </c:pt>
                <c:pt idx="185">
                  <c:v>11.404066466384432</c:v>
                </c:pt>
                <c:pt idx="186">
                  <c:v>11.348605775661802</c:v>
                </c:pt>
                <c:pt idx="187">
                  <c:v>11.293508880817519</c:v>
                </c:pt>
                <c:pt idx="188">
                  <c:v>11.238770926667856</c:v>
                </c:pt>
                <c:pt idx="189">
                  <c:v>11.184387152741257</c:v>
                </c:pt>
                <c:pt idx="190">
                  <c:v>11.129325071275527</c:v>
                </c:pt>
                <c:pt idx="191">
                  <c:v>11.07462112527082</c:v>
                </c:pt>
                <c:pt idx="192">
                  <c:v>11.020270564991804</c:v>
                </c:pt>
                <c:pt idx="193">
                  <c:v>10.966268732952303</c:v>
                </c:pt>
                <c:pt idx="194">
                  <c:v>10.911208895027524</c:v>
                </c:pt>
                <c:pt idx="195">
                  <c:v>10.856506660322967</c:v>
                </c:pt>
                <c:pt idx="196">
                  <c:v>10.802157283307434</c:v>
                </c:pt>
                <c:pt idx="197">
                  <c:v>10.748156110832053</c:v>
                </c:pt>
                <c:pt idx="198">
                  <c:v>10.693327408353943</c:v>
                </c:pt>
                <c:pt idx="199">
                  <c:v>10.638852787657187</c:v>
                </c:pt>
                <c:pt idx="200">
                  <c:v>10.584727567276706</c:v>
                </c:pt>
                <c:pt idx="201">
                  <c:v>10.530947156695447</c:v>
                </c:pt>
                <c:pt idx="202">
                  <c:v>10.476365600572873</c:v>
                </c:pt>
                <c:pt idx="203">
                  <c:v>10.422134389171731</c:v>
                </c:pt>
                <c:pt idx="204">
                  <c:v>10.368248909753282</c:v>
                </c:pt>
                <c:pt idx="205">
                  <c:v>10.314704638954396</c:v>
                </c:pt>
                <c:pt idx="206">
                  <c:v>10.260199044334877</c:v>
                </c:pt>
                <c:pt idx="207">
                  <c:v>10.206042231988192</c:v>
                </c:pt>
                <c:pt idx="208">
                  <c:v>10.152229615519371</c:v>
                </c:pt>
                <c:pt idx="209">
                  <c:v>10.098756697411059</c:v>
                </c:pt>
                <c:pt idx="210">
                  <c:v>10.044172871060358</c:v>
                </c:pt>
                <c:pt idx="211">
                  <c:v>9.9899382024275241</c:v>
                </c:pt>
                <c:pt idx="212">
                  <c:v>9.936048093836634</c:v>
                </c:pt>
                <c:pt idx="213">
                  <c:v>9.8824980369448028</c:v>
                </c:pt>
                <c:pt idx="214">
                  <c:v>9.8282262398072788</c:v>
                </c:pt>
                <c:pt idx="215">
                  <c:v>9.7742989873295603</c:v>
                </c:pt>
                <c:pt idx="216">
                  <c:v>9.7207117689785871</c:v>
                </c:pt>
                <c:pt idx="217">
                  <c:v>9.6674601614565354</c:v>
                </c:pt>
                <c:pt idx="218">
                  <c:v>9.6133370031333971</c:v>
                </c:pt>
                <c:pt idx="219">
                  <c:v>9.5595558446768649</c:v>
                </c:pt>
                <c:pt idx="220">
                  <c:v>9.5061122223424892</c:v>
                </c:pt>
                <c:pt idx="221">
                  <c:v>9.4530017585493695</c:v>
                </c:pt>
                <c:pt idx="222">
                  <c:v>9.3990472147675757</c:v>
                </c:pt>
                <c:pt idx="223">
                  <c:v>9.345431863703821</c:v>
                </c:pt>
                <c:pt idx="224">
                  <c:v>9.2921512937494306</c:v>
                </c:pt>
                <c:pt idx="225">
                  <c:v>9.2392011782377779</c:v>
                </c:pt>
                <c:pt idx="226">
                  <c:v>9.1852699042950761</c:v>
                </c:pt>
                <c:pt idx="227">
                  <c:v>9.1316768224468277</c:v>
                </c:pt>
                <c:pt idx="228">
                  <c:v>9.0784175383282033</c:v>
                </c:pt>
                <c:pt idx="229">
                  <c:v>9.0254877421753683</c:v>
                </c:pt>
                <c:pt idx="230">
                  <c:v>8.9180652429699077</c:v>
                </c:pt>
                <c:pt idx="231">
                  <c:v>8.8648548473224693</c:v>
                </c:pt>
                <c:pt idx="232">
                  <c:v>8.8119726122877573</c:v>
                </c:pt>
                <c:pt idx="233">
                  <c:v>8.758170562546189</c:v>
                </c:pt>
                <c:pt idx="234">
                  <c:v>8.7047036100795339</c:v>
                </c:pt>
                <c:pt idx="235">
                  <c:v>8.6515674169699199</c:v>
                </c:pt>
                <c:pt idx="236">
                  <c:v>8.5987577286205568</c:v>
                </c:pt>
                <c:pt idx="237">
                  <c:v>8.5452087184910486</c:v>
                </c:pt>
                <c:pt idx="238">
                  <c:v>8.4919909051625062</c:v>
                </c:pt>
                <c:pt idx="239">
                  <c:v>8.4391000245820766</c:v>
                </c:pt>
                <c:pt idx="240">
                  <c:v>8.3865318942002745</c:v>
                </c:pt>
                <c:pt idx="241">
                  <c:v>8.3329506285996899</c:v>
                </c:pt>
                <c:pt idx="242">
                  <c:v>8.2797001718808954</c:v>
                </c:pt>
                <c:pt idx="243">
                  <c:v>8.226776266221826</c:v>
                </c:pt>
                <c:pt idx="244">
                  <c:v>8.1741747351980525</c:v>
                </c:pt>
                <c:pt idx="245">
                  <c:v>8.1207364240203876</c:v>
                </c:pt>
                <c:pt idx="246">
                  <c:v>8.0676263614626578</c:v>
                </c:pt>
                <c:pt idx="247">
                  <c:v>8.0148403377971711</c:v>
                </c:pt>
                <c:pt idx="248">
                  <c:v>7.9623742235167194</c:v>
                </c:pt>
                <c:pt idx="249">
                  <c:v>7.9089559220633907</c:v>
                </c:pt>
                <c:pt idx="250">
                  <c:v>7.8558648025433842</c:v>
                </c:pt>
                <c:pt idx="251">
                  <c:v>7.8030966746990575</c:v>
                </c:pt>
                <c:pt idx="252">
                  <c:v>7.7506474280342399</c:v>
                </c:pt>
                <c:pt idx="253">
                  <c:v>7.6974130296042063</c:v>
                </c:pt>
                <c:pt idx="254">
                  <c:v>7.6445027351594241</c:v>
                </c:pt>
                <c:pt idx="255">
                  <c:v>7.5919124123688766</c:v>
                </c:pt>
                <c:pt idx="256">
                  <c:v>7.5396380072260873</c:v>
                </c:pt>
                <c:pt idx="257">
                  <c:v>7.4863334744004177</c:v>
                </c:pt>
                <c:pt idx="258">
                  <c:v>7.4333530405264447</c:v>
                </c:pt>
                <c:pt idx="259">
                  <c:v>7.3806925725426398</c:v>
                </c:pt>
                <c:pt idx="260">
                  <c:v>7.3283480157483982</c:v>
                </c:pt>
                <c:pt idx="261">
                  <c:v>7.2751364267269807</c:v>
                </c:pt>
                <c:pt idx="262">
                  <c:v>7.222246935583688</c:v>
                </c:pt>
                <c:pt idx="263">
                  <c:v>7.1696754465572088</c:v>
                </c:pt>
                <c:pt idx="264">
                  <c:v>7.1174179413197365</c:v>
                </c:pt>
                <c:pt idx="265">
                  <c:v>7.0643195806377799</c:v>
                </c:pt>
                <c:pt idx="266">
                  <c:v>7.0115410618201697</c:v>
                </c:pt>
                <c:pt idx="267">
                  <c:v>6.9590783311336359</c:v>
                </c:pt>
                <c:pt idx="268">
                  <c:v>6.9069274112290868</c:v>
                </c:pt>
                <c:pt idx="269">
                  <c:v>6.8538359289751565</c:v>
                </c:pt>
                <c:pt idx="270">
                  <c:v>6.8010632957318347</c:v>
                </c:pt>
                <c:pt idx="271">
                  <c:v>6.7486054757518268</c:v>
                </c:pt>
                <c:pt idx="272">
                  <c:v>6.6964585092213555</c:v>
                </c:pt>
                <c:pt idx="273">
                  <c:v>6.6433995429694273</c:v>
                </c:pt>
                <c:pt idx="274">
                  <c:v>6.5906581061291645</c:v>
                </c:pt>
                <c:pt idx="275">
                  <c:v>6.5382301870411208</c:v>
                </c:pt>
                <c:pt idx="276">
                  <c:v>6.4861118493721603</c:v>
                </c:pt>
                <c:pt idx="277">
                  <c:v>6.4332279834808297</c:v>
                </c:pt>
                <c:pt idx="278">
                  <c:v>6.3806586161599244</c:v>
                </c:pt>
                <c:pt idx="279">
                  <c:v>6.3283997919513491</c:v>
                </c:pt>
                <c:pt idx="280">
                  <c:v>6.2764476293142826</c:v>
                </c:pt>
                <c:pt idx="281">
                  <c:v>6.2234034180435138</c:v>
                </c:pt>
                <c:pt idx="282">
                  <c:v>6.1706746384781921</c:v>
                </c:pt>
                <c:pt idx="283">
                  <c:v>6.1182573165828105</c:v>
                </c:pt>
                <c:pt idx="284">
                  <c:v>6.066147552687351</c:v>
                </c:pt>
                <c:pt idx="285">
                  <c:v>6.0133198226464293</c:v>
                </c:pt>
                <c:pt idx="286">
                  <c:v>5.9608039752113751</c:v>
                </c:pt>
                <c:pt idx="287">
                  <c:v>5.9085961019101951</c:v>
                </c:pt>
                <c:pt idx="288">
                  <c:v>5.8566923669934559</c:v>
                </c:pt>
                <c:pt idx="289">
                  <c:v>5.8037583872850433</c:v>
                </c:pt>
                <c:pt idx="290">
                  <c:v>5.7511365300116033</c:v>
                </c:pt>
                <c:pt idx="291">
                  <c:v>5.6988228809667945</c:v>
                </c:pt>
                <c:pt idx="292">
                  <c:v>5.646813598789068</c:v>
                </c:pt>
                <c:pt idx="293">
                  <c:v>5.5939134884489725</c:v>
                </c:pt>
                <c:pt idx="294">
                  <c:v>5.5413240658442087</c:v>
                </c:pt>
                <c:pt idx="295">
                  <c:v>5.489041442262506</c:v>
                </c:pt>
                <c:pt idx="296">
                  <c:v>5.4370618011845897</c:v>
                </c:pt>
                <c:pt idx="297">
                  <c:v>5.3842175043381468</c:v>
                </c:pt>
                <c:pt idx="298">
                  <c:v>5.3316821832182759</c:v>
                </c:pt>
                <c:pt idx="299">
                  <c:v>5.2794519795826114</c:v>
                </c:pt>
                <c:pt idx="300">
                  <c:v>5.227523106607209</c:v>
                </c:pt>
                <c:pt idx="301">
                  <c:v>5.1747547292306608</c:v>
                </c:pt>
                <c:pt idx="302">
                  <c:v>5.1222933627826839</c:v>
                </c:pt>
                <c:pt idx="303">
                  <c:v>5.0701351839628668</c:v>
                </c:pt>
                <c:pt idx="304">
                  <c:v>5.0182764400057822</c:v>
                </c:pt>
                <c:pt idx="305">
                  <c:v>4.9654003550411989</c:v>
                </c:pt>
                <c:pt idx="306">
                  <c:v>4.912831421125369</c:v>
                </c:pt>
                <c:pt idx="307">
                  <c:v>4.8605658104691809</c:v>
                </c:pt>
                <c:pt idx="308">
                  <c:v>4.8085997659023763</c:v>
                </c:pt>
                <c:pt idx="309">
                  <c:v>4.7558439210268419</c:v>
                </c:pt>
                <c:pt idx="310">
                  <c:v>4.7033927014188652</c:v>
                </c:pt>
                <c:pt idx="311">
                  <c:v>4.6512423242031211</c:v>
                </c:pt>
                <c:pt idx="312">
                  <c:v>4.5993890759971814</c:v>
                </c:pt>
                <c:pt idx="313">
                  <c:v>4.5465753920263978</c:v>
                </c:pt>
                <c:pt idx="314">
                  <c:v>4.4940658356715879</c:v>
                </c:pt>
                <c:pt idx="315">
                  <c:v>4.4418566310291254</c:v>
                </c:pt>
                <c:pt idx="316">
                  <c:v>4.3899440714909259</c:v>
                </c:pt>
                <c:pt idx="317">
                  <c:v>4.3370990227766848</c:v>
                </c:pt>
                <c:pt idx="318">
                  <c:v>4.284557265653131</c:v>
                </c:pt>
                <c:pt idx="319">
                  <c:v>4.2323150372436134</c:v>
                </c:pt>
                <c:pt idx="320">
                  <c:v>4.1803686436222698</c:v>
                </c:pt>
                <c:pt idx="321">
                  <c:v>4.1275166460903181</c:v>
                </c:pt>
                <c:pt idx="322">
                  <c:v>4.0749667915876584</c:v>
                </c:pt>
                <c:pt idx="323">
                  <c:v>4.0227153358202861</c:v>
                </c:pt>
                <c:pt idx="324">
                  <c:v>3.970758602965911</c:v>
                </c:pt>
                <c:pt idx="325">
                  <c:v>3.9179221207998811</c:v>
                </c:pt>
                <c:pt idx="326">
                  <c:v>3.8653863453996555</c:v>
                </c:pt>
                <c:pt idx="327">
                  <c:v>3.8131475561247101</c:v>
                </c:pt>
                <c:pt idx="328">
                  <c:v>3.7612021002056939</c:v>
                </c:pt>
                <c:pt idx="329">
                  <c:v>3.7083137068811256</c:v>
                </c:pt>
                <c:pt idx="330">
                  <c:v>3.6557253147451396</c:v>
                </c:pt>
                <c:pt idx="331">
                  <c:v>3.603433213030546</c:v>
                </c:pt>
                <c:pt idx="332">
                  <c:v>3.5514337585767959</c:v>
                </c:pt>
                <c:pt idx="333">
                  <c:v>3.4986042906295687</c:v>
                </c:pt>
                <c:pt idx="334">
                  <c:v>3.4460728306345279</c:v>
                </c:pt>
                <c:pt idx="335">
                  <c:v>3.3938357012299658</c:v>
                </c:pt>
                <c:pt idx="336">
                  <c:v>3.3418892918291125</c:v>
                </c:pt>
                <c:pt idx="337">
                  <c:v>3.2889674752147853</c:v>
                </c:pt>
                <c:pt idx="338">
                  <c:v>3.2363433398044821</c:v>
                </c:pt>
                <c:pt idx="339">
                  <c:v>3.1840132106021968</c:v>
                </c:pt>
                <c:pt idx="340">
                  <c:v>3.1319734793072849</c:v>
                </c:pt>
                <c:pt idx="341">
                  <c:v>3.0789859800948403</c:v>
                </c:pt>
                <c:pt idx="342">
                  <c:v>3.026295490470102</c:v>
                </c:pt>
                <c:pt idx="343">
                  <c:v>2.9738983439008693</c:v>
                </c:pt>
                <c:pt idx="344">
                  <c:v>2.9217909403254252</c:v>
                </c:pt>
                <c:pt idx="345">
                  <c:v>2.8688428498362266</c:v>
                </c:pt>
                <c:pt idx="346">
                  <c:v>2.8161898827960172</c:v>
                </c:pt>
                <c:pt idx="347">
                  <c:v>2.7638284032671017</c:v>
                </c:pt>
                <c:pt idx="348">
                  <c:v>2.7117548410273509</c:v>
                </c:pt>
                <c:pt idx="349">
                  <c:v>2.6587060638365196</c:v>
                </c:pt>
                <c:pt idx="350">
                  <c:v>2.6059520401939902</c:v>
                </c:pt>
                <c:pt idx="351">
                  <c:v>2.5534891365310797</c:v>
                </c:pt>
                <c:pt idx="352">
                  <c:v>2.5013137849213338</c:v>
                </c:pt>
                <c:pt idx="353">
                  <c:v>2.4481904079006989</c:v>
                </c:pt>
                <c:pt idx="354">
                  <c:v>2.3953610742175759</c:v>
                </c:pt>
                <c:pt idx="355">
                  <c:v>2.3428221586673503</c:v>
                </c:pt>
                <c:pt idx="356">
                  <c:v>2.2905701014728859</c:v>
                </c:pt>
                <c:pt idx="357">
                  <c:v>2.2374714987522952</c:v>
                </c:pt>
                <c:pt idx="358">
                  <c:v>2.1846650869392708</c:v>
                </c:pt>
                <c:pt idx="359">
                  <c:v>2.1321472699622386</c:v>
                </c:pt>
                <c:pt idx="360">
                  <c:v>2.0799145164679986</c:v>
                </c:pt>
                <c:pt idx="361">
                  <c:v>2.0267105299052974</c:v>
                </c:pt>
                <c:pt idx="362">
                  <c:v>1.9737982638162033</c:v>
                </c:pt>
                <c:pt idx="363">
                  <c:v>1.9211741255395189</c:v>
                </c:pt>
                <c:pt idx="364">
                  <c:v>1.8688345870427598</c:v>
                </c:pt>
                <c:pt idx="365">
                  <c:v>1.8156224969311969</c:v>
                </c:pt>
                <c:pt idx="366">
                  <c:v>1.7627005409953014</c:v>
                </c:pt>
                <c:pt idx="367">
                  <c:v>1.7100651502523025</c:v>
                </c:pt>
                <c:pt idx="368">
                  <c:v>1.6577128197777478</c:v>
                </c:pt>
                <c:pt idx="369">
                  <c:v>1.6043700639075937</c:v>
                </c:pt>
                <c:pt idx="370">
                  <c:v>1.5513171356297828</c:v>
                </c:pt>
                <c:pt idx="371">
                  <c:v>1.4985504658187381</c:v>
                </c:pt>
                <c:pt idx="372">
                  <c:v>1.4460665494093337</c:v>
                </c:pt>
                <c:pt idx="373">
                  <c:v>1.3926881102869084</c:v>
                </c:pt>
                <c:pt idx="374">
                  <c:v>1.3395981045180791</c:v>
                </c:pt>
                <c:pt idx="375">
                  <c:v>1.2867929825862947</c:v>
                </c:pt>
                <c:pt idx="376">
                  <c:v>1.234269258570476</c:v>
                </c:pt>
                <c:pt idx="377">
                  <c:v>1.1807394806101721</c:v>
                </c:pt>
                <c:pt idx="378">
                  <c:v>1.1274979289684914</c:v>
                </c:pt>
                <c:pt idx="379">
                  <c:v>1.0745410516159122</c:v>
                </c:pt>
                <c:pt idx="380">
                  <c:v>1.0218653601848462</c:v>
                </c:pt>
                <c:pt idx="381">
                  <c:v>0.9683429058603743</c:v>
                </c:pt>
                <c:pt idx="382">
                  <c:v>0.91510670748074829</c:v>
                </c:pt>
                <c:pt idx="383">
                  <c:v>0.86215324271917004</c:v>
                </c:pt>
                <c:pt idx="384">
                  <c:v>0.80947905221485694</c:v>
                </c:pt>
                <c:pt idx="385">
                  <c:v>0.75578561747203543</c:v>
                </c:pt>
                <c:pt idx="386">
                  <c:v>0.7023783115434068</c:v>
                </c:pt>
                <c:pt idx="387">
                  <c:v>0.64925360761646511</c:v>
                </c:pt>
                <c:pt idx="388">
                  <c:v>0.59640804196680497</c:v>
                </c:pt>
                <c:pt idx="389">
                  <c:v>0.54263365493233517</c:v>
                </c:pt>
                <c:pt idx="390">
                  <c:v>0.48914424276281515</c:v>
                </c:pt>
                <c:pt idx="391">
                  <c:v>0.43593629282559337</c:v>
                </c:pt>
                <c:pt idx="392">
                  <c:v>0.38300635525946813</c:v>
                </c:pt>
                <c:pt idx="393">
                  <c:v>0.32917160256404282</c:v>
                </c:pt>
                <c:pt idx="394">
                  <c:v>0.2756203904046664</c:v>
                </c:pt>
                <c:pt idx="395">
                  <c:v>0.22234922527010134</c:v>
                </c:pt>
                <c:pt idx="396">
                  <c:v>0.16935467599205137</c:v>
                </c:pt>
                <c:pt idx="397">
                  <c:v>0.11535680259415962</c:v>
                </c:pt>
                <c:pt idx="398">
                  <c:v>6.1642046356384456E-2</c:v>
                </c:pt>
                <c:pt idx="399">
                  <c:v>8.2069140353326544E-3</c:v>
                </c:pt>
                <c:pt idx="400">
                  <c:v>-4.4952025244939145E-2</c:v>
                </c:pt>
                <c:pt idx="401">
                  <c:v>-9.9028836076645518E-2</c:v>
                </c:pt>
                <c:pt idx="402">
                  <c:v>-0.15282390660537035</c:v>
                </c:pt>
                <c:pt idx="403">
                  <c:v>-0.20634071243151311</c:v>
                </c:pt>
                <c:pt idx="404">
                  <c:v>-0.25958266716989309</c:v>
                </c:pt>
                <c:pt idx="405">
                  <c:v>-0.31377772297218565</c:v>
                </c:pt>
                <c:pt idx="406">
                  <c:v>-0.36769207631686962</c:v>
                </c:pt>
                <c:pt idx="407">
                  <c:v>-0.42132919160094295</c:v>
                </c:pt>
                <c:pt idx="408">
                  <c:v>-0.47469247145881244</c:v>
                </c:pt>
                <c:pt idx="409">
                  <c:v>-0.52904202230983366</c:v>
                </c:pt>
                <c:pt idx="410">
                  <c:v>-0.58311161055952476</c:v>
                </c:pt>
                <c:pt idx="411">
                  <c:v>-0.63690469507963698</c:v>
                </c:pt>
                <c:pt idx="412">
                  <c:v>-0.69042467306133437</c:v>
                </c:pt>
                <c:pt idx="413">
                  <c:v>-0.74490617051826247</c:v>
                </c:pt>
                <c:pt idx="414">
                  <c:v>-0.79910875613357413</c:v>
                </c:pt>
                <c:pt idx="415">
                  <c:v>-0.8530358776711443</c:v>
                </c:pt>
                <c:pt idx="416">
                  <c:v>-0.90669092142182772</c:v>
                </c:pt>
                <c:pt idx="417">
                  <c:v>-0.96133853900889599</c:v>
                </c:pt>
                <c:pt idx="418">
                  <c:v>-1.0157080268715701</c:v>
                </c:pt>
                <c:pt idx="419">
                  <c:v>-1.0698028267706934</c:v>
                </c:pt>
                <c:pt idx="420">
                  <c:v>-1.1236263190736575</c:v>
                </c:pt>
                <c:pt idx="421">
                  <c:v>-1.1783641509866543</c:v>
                </c:pt>
                <c:pt idx="422">
                  <c:v>-1.2328254841745032</c:v>
                </c:pt>
                <c:pt idx="423">
                  <c:v>-1.2870137387996203</c:v>
                </c:pt>
                <c:pt idx="424">
                  <c:v>-1.3409322740729461</c:v>
                </c:pt>
                <c:pt idx="425">
                  <c:v>-1.3959012389255243</c:v>
                </c:pt>
                <c:pt idx="426">
                  <c:v>-1.4505939973431126</c:v>
                </c:pt>
                <c:pt idx="427">
                  <c:v>-1.5050139727531473</c:v>
                </c:pt>
                <c:pt idx="428">
                  <c:v>-1.5591645274764987</c:v>
                </c:pt>
                <c:pt idx="429">
                  <c:v>-1.6142881441872521</c:v>
                </c:pt>
                <c:pt idx="430">
                  <c:v>-1.6691367038394493</c:v>
                </c:pt>
                <c:pt idx="431">
                  <c:v>-1.7237136173223457</c:v>
                </c:pt>
                <c:pt idx="432">
                  <c:v>-1.7780222346302363</c:v>
                </c:pt>
                <c:pt idx="433">
                  <c:v>-1.8332807024352882</c:v>
                </c:pt>
                <c:pt idx="434">
                  <c:v>-1.8882655410838323</c:v>
                </c:pt>
                <c:pt idx="435">
                  <c:v>-1.9429801437826151</c:v>
                </c:pt>
                <c:pt idx="436">
                  <c:v>-1.9974278431689063</c:v>
                </c:pt>
                <c:pt idx="437">
                  <c:v>-2.0529023679958378</c:v>
                </c:pt>
                <c:pt idx="438">
                  <c:v>-2.1081039749113732</c:v>
                </c:pt>
                <c:pt idx="439">
                  <c:v>-2.1630360527251016</c:v>
                </c:pt>
                <c:pt idx="440">
                  <c:v>-2.2177019296787313</c:v>
                </c:pt>
                <c:pt idx="441">
                  <c:v>-2.2733703526066047</c:v>
                </c:pt>
                <c:pt idx="442">
                  <c:v>-2.3287668787715856</c:v>
                </c:pt>
                <c:pt idx="443">
                  <c:v>-2.383894886799947</c:v>
                </c:pt>
                <c:pt idx="444">
                  <c:v>-2.438757694880044</c:v>
                </c:pt>
                <c:pt idx="445">
                  <c:v>-2.4945997265402777</c:v>
                </c:pt>
                <c:pt idx="446">
                  <c:v>-2.5501711681379917</c:v>
                </c:pt>
                <c:pt idx="447">
                  <c:v>-2.6054753827258099</c:v>
                </c:pt>
                <c:pt idx="448">
                  <c:v>-2.6605156731674944</c:v>
                </c:pt>
                <c:pt idx="449">
                  <c:v>-2.7166064428837453</c:v>
                </c:pt>
                <c:pt idx="450">
                  <c:v>-2.7724272939794243</c:v>
                </c:pt>
                <c:pt idx="451">
                  <c:v>-2.8279815856206145</c:v>
                </c:pt>
                <c:pt idx="452">
                  <c:v>-2.8832726167458778</c:v>
                </c:pt>
                <c:pt idx="453">
                  <c:v>-2.9395440270061597</c:v>
                </c:pt>
                <c:pt idx="454">
                  <c:v>-2.9955469366109631</c:v>
                </c:pt>
                <c:pt idx="455">
                  <c:v>-3.051284686784308</c:v>
                </c:pt>
                <c:pt idx="456">
                  <c:v>-3.1067605588091234</c:v>
                </c:pt>
                <c:pt idx="457">
                  <c:v>-3.1632850516919979</c:v>
                </c:pt>
                <c:pt idx="458">
                  <c:v>-3.2195418622158298</c:v>
                </c:pt>
                <c:pt idx="459">
                  <c:v>-3.2755343246019892</c:v>
                </c:pt>
                <c:pt idx="460">
                  <c:v>-3.3312657131462888</c:v>
                </c:pt>
                <c:pt idx="461">
                  <c:v>-3.3880221680744151</c:v>
                </c:pt>
                <c:pt idx="462">
                  <c:v>-3.4445120537373946</c:v>
                </c:pt>
                <c:pt idx="463">
                  <c:v>-3.5007386915963479</c:v>
                </c:pt>
                <c:pt idx="464">
                  <c:v>-3.5567053433294609</c:v>
                </c:pt>
                <c:pt idx="465">
                  <c:v>-3.6137178581294096</c:v>
                </c:pt>
                <c:pt idx="466">
                  <c:v>-3.6704647840684439</c:v>
                </c:pt>
                <c:pt idx="467">
                  <c:v>-3.7269494319921597</c:v>
                </c:pt>
                <c:pt idx="468">
                  <c:v>-3.7831750530439994</c:v>
                </c:pt>
                <c:pt idx="469">
                  <c:v>-3.8404236192873786</c:v>
                </c:pt>
                <c:pt idx="470">
                  <c:v>-3.8974078550696016</c:v>
                </c:pt>
                <c:pt idx="471">
                  <c:v>-3.9541310550513358</c:v>
                </c:pt>
                <c:pt idx="472">
                  <c:v>-4.0105964543948254</c:v>
                </c:pt>
                <c:pt idx="473">
                  <c:v>-4.0681464899867006</c:v>
                </c:pt>
                <c:pt idx="474">
                  <c:v>-4.1254329438764596</c:v>
                </c:pt>
                <c:pt idx="475">
                  <c:v>-4.1824591035905438</c:v>
                </c:pt>
                <c:pt idx="476">
                  <c:v>-4.2392281971323929</c:v>
                </c:pt>
                <c:pt idx="477">
                  <c:v>-4.2970585282894955</c:v>
                </c:pt>
                <c:pt idx="478">
                  <c:v>-4.3546263165264918</c:v>
                </c:pt>
                <c:pt idx="479">
                  <c:v>-4.4119348363137103</c:v>
                </c:pt>
                <c:pt idx="480">
                  <c:v>-4.4689873027051732</c:v>
                </c:pt>
                <c:pt idx="481">
                  <c:v>-4.5270785265853322</c:v>
                </c:pt>
                <c:pt idx="482">
                  <c:v>-4.5849085109338503</c:v>
                </c:pt>
                <c:pt idx="483">
                  <c:v>-4.6424805116438508</c:v>
                </c:pt>
                <c:pt idx="484">
                  <c:v>-4.699797725421381</c:v>
                </c:pt>
                <c:pt idx="485">
                  <c:v>-4.7581717530616263</c:v>
                </c:pt>
                <c:pt idx="486">
                  <c:v>-4.8162857326907602</c:v>
                </c:pt>
                <c:pt idx="487">
                  <c:v>-4.8741429030520589</c:v>
                </c:pt>
                <c:pt idx="488">
                  <c:v>-4.9317464438860723</c:v>
                </c:pt>
                <c:pt idx="489">
                  <c:v>-4.9904629252620287</c:v>
                </c:pt>
                <c:pt idx="490">
                  <c:v>-5.0489201092183507</c:v>
                </c:pt>
                <c:pt idx="491">
                  <c:v>-5.1071212248258524</c:v>
                </c:pt>
                <c:pt idx="492">
                  <c:v>-5.1650694421449721</c:v>
                </c:pt>
                <c:pt idx="493">
                  <c:v>-5.2241076403466362</c:v>
                </c:pt>
                <c:pt idx="494">
                  <c:v>-5.2828875652845708</c:v>
                </c:pt>
                <c:pt idx="495">
                  <c:v>-5.3414124304484121</c:v>
                </c:pt>
                <c:pt idx="496">
                  <c:v>-5.3996853904422517</c:v>
                </c:pt>
                <c:pt idx="497">
                  <c:v>-5.4590638790054014</c:v>
                </c:pt>
                <c:pt idx="498">
                  <c:v>-5.5181850415969684</c:v>
                </c:pt>
                <c:pt idx="499">
                  <c:v>-5.5770520766591947</c:v>
                </c:pt>
                <c:pt idx="500">
                  <c:v>-5.6356681238503405</c:v>
                </c:pt>
                <c:pt idx="501">
                  <c:v>-5.6954044978312046</c:v>
                </c:pt>
                <c:pt idx="502">
                  <c:v>-5.7548844252832252</c:v>
                </c:pt>
                <c:pt idx="503">
                  <c:v>-5.8141110898799777</c:v>
                </c:pt>
                <c:pt idx="504">
                  <c:v>-5.8730876165956634</c:v>
                </c:pt>
                <c:pt idx="505">
                  <c:v>-5.9331622050686406</c:v>
                </c:pt>
                <c:pt idx="506">
                  <c:v>-5.9929814741077809</c:v>
                </c:pt>
                <c:pt idx="507">
                  <c:v>-6.052548586959098</c:v>
                </c:pt>
                <c:pt idx="508">
                  <c:v>-6.1118666483832378</c:v>
                </c:pt>
                <c:pt idx="509">
                  <c:v>-6.1722971024997619</c:v>
                </c:pt>
                <c:pt idx="510">
                  <c:v>-6.2324732868065871</c:v>
                </c:pt>
                <c:pt idx="511">
                  <c:v>-6.2923983444184204</c:v>
                </c:pt>
                <c:pt idx="512">
                  <c:v>-6.3520753601629822</c:v>
                </c:pt>
                <c:pt idx="513">
                  <c:v>-6.4129135888741402</c:v>
                </c:pt>
                <c:pt idx="514">
                  <c:v>-6.4734982347967742</c:v>
                </c:pt>
                <c:pt idx="515">
                  <c:v>-6.5338324263777992</c:v>
                </c:pt>
                <c:pt idx="516">
                  <c:v>-6.5939192338327155</c:v>
                </c:pt>
                <c:pt idx="517">
                  <c:v>-6.6551448423956359</c:v>
                </c:pt>
                <c:pt idx="518">
                  <c:v>-6.7161177962821608</c:v>
                </c:pt>
                <c:pt idx="519">
                  <c:v>-6.7768412034938414</c:v>
                </c:pt>
                <c:pt idx="520">
                  <c:v>-6.8373181139918948</c:v>
                </c:pt>
                <c:pt idx="521">
                  <c:v>-6.8989462600432363</c:v>
                </c:pt>
                <c:pt idx="522">
                  <c:v>-6.9603226177649935</c:v>
                </c:pt>
                <c:pt idx="523">
                  <c:v>-7.0214502744457254</c:v>
                </c:pt>
                <c:pt idx="524">
                  <c:v>-7.0823322595254243</c:v>
                </c:pt>
                <c:pt idx="525">
                  <c:v>-7.1443773409951117</c:v>
                </c:pt>
                <c:pt idx="526">
                  <c:v>-7.2061714419983423</c:v>
                </c:pt>
                <c:pt idx="527">
                  <c:v>-7.2677176286932745</c:v>
                </c:pt>
                <c:pt idx="528">
                  <c:v>-7.3290189095868374</c:v>
                </c:pt>
                <c:pt idx="529">
                  <c:v>-7.3914945997779471</c:v>
                </c:pt>
                <c:pt idx="530">
                  <c:v>-7.453720061184085</c:v>
                </c:pt>
                <c:pt idx="531">
                  <c:v>-7.5156983382862643</c:v>
                </c:pt>
                <c:pt idx="532">
                  <c:v>-7.5774324181217665</c:v>
                </c:pt>
                <c:pt idx="533">
                  <c:v>-7.6403841138191755</c:v>
                </c:pt>
                <c:pt idx="534">
                  <c:v>-7.7030860214839691</c:v>
                </c:pt>
                <c:pt idx="535">
                  <c:v>-7.7655411679024251</c:v>
                </c:pt>
                <c:pt idx="536">
                  <c:v>-7.8277525225220499</c:v>
                </c:pt>
                <c:pt idx="537">
                  <c:v>-7.8911271912151628</c:v>
                </c:pt>
                <c:pt idx="538">
                  <c:v>-7.9542529767983519</c:v>
                </c:pt>
                <c:pt idx="539">
                  <c:v>-8.0171328782246469</c:v>
                </c:pt>
                <c:pt idx="540">
                  <c:v>-8.0797698374681044</c:v>
                </c:pt>
                <c:pt idx="541">
                  <c:v>-8.1436434944290266</c:v>
                </c:pt>
                <c:pt idx="542">
                  <c:v>-8.2072686128890098</c:v>
                </c:pt>
                <c:pt idx="543">
                  <c:v>-8.2706481722712919</c:v>
                </c:pt>
                <c:pt idx="544">
                  <c:v>-8.3337850951715744</c:v>
                </c:pt>
                <c:pt idx="545">
                  <c:v>-8.3981363871732757</c:v>
                </c:pt>
                <c:pt idx="546">
                  <c:v>-8.4622396851920456</c:v>
                </c:pt>
                <c:pt idx="547">
                  <c:v>-8.5260979436499333</c:v>
                </c:pt>
                <c:pt idx="548">
                  <c:v>-8.5897140604345381</c:v>
                </c:pt>
                <c:pt idx="549">
                  <c:v>-8.6545534301210871</c:v>
                </c:pt>
                <c:pt idx="550">
                  <c:v>-8.7191452929743587</c:v>
                </c:pt>
                <c:pt idx="551">
                  <c:v>-8.7834925775266584</c:v>
                </c:pt>
                <c:pt idx="552">
                  <c:v>-8.8475981560971029</c:v>
                </c:pt>
                <c:pt idx="553">
                  <c:v>-8.9129654438924319</c:v>
                </c:pt>
                <c:pt idx="554">
                  <c:v>-8.9780854265105656</c:v>
                </c:pt>
                <c:pt idx="555">
                  <c:v>-9.0429610096613846</c:v>
                </c:pt>
                <c:pt idx="556">
                  <c:v>-9.1075950430920951</c:v>
                </c:pt>
                <c:pt idx="557">
                  <c:v>-9.239154069245501</c:v>
                </c:pt>
                <c:pt idx="558">
                  <c:v>-9.3697359686040382</c:v>
                </c:pt>
                <c:pt idx="559">
                  <c:v>-9.5023233429101861</c:v>
                </c:pt>
                <c:pt idx="560">
                  <c:v>-9.6339347613253583</c:v>
                </c:pt>
                <c:pt idx="561">
                  <c:v>-9.7676809445565933</c:v>
                </c:pt>
                <c:pt idx="562">
                  <c:v>-9.9004504071822872</c:v>
                </c:pt>
                <c:pt idx="563">
                  <c:v>-10.035083474181846</c:v>
                </c:pt>
                <c:pt idx="564">
                  <c:v>-10.16874292438712</c:v>
                </c:pt>
                <c:pt idx="565">
                  <c:v>-10.304783873094831</c:v>
                </c:pt>
                <c:pt idx="566">
                  <c:v>-10.439846712183041</c:v>
                </c:pt>
                <c:pt idx="567">
                  <c:v>-10.57723884621759</c:v>
                </c:pt>
                <c:pt idx="568">
                  <c:v>-10.713649140572535</c:v>
                </c:pt>
                <c:pt idx="569">
                  <c:v>-10.851798390752458</c:v>
                </c:pt>
                <c:pt idx="570">
                  <c:v>-10.98897033216986</c:v>
                </c:pt>
                <c:pt idx="571">
                  <c:v>-11.12891196551557</c:v>
                </c:pt>
                <c:pt idx="572">
                  <c:v>-11.267866037683083</c:v>
                </c:pt>
                <c:pt idx="573">
                  <c:v>-11.408477720008214</c:v>
                </c:pt>
                <c:pt idx="574">
                  <c:v>-11.548107133528063</c:v>
                </c:pt>
                <c:pt idx="575">
                  <c:v>-11.690397630816383</c:v>
                </c:pt>
                <c:pt idx="576">
                  <c:v>-11.831696819487895</c:v>
                </c:pt>
                <c:pt idx="577">
                  <c:v>-12.41937545742088</c:v>
                </c:pt>
                <c:pt idx="578">
                  <c:v>-12.99105428535211</c:v>
                </c:pt>
                <c:pt idx="579">
                  <c:v>-14.193551304825123</c:v>
                </c:pt>
                <c:pt idx="580">
                  <c:v>-15.443401892668531</c:v>
                </c:pt>
                <c:pt idx="581">
                  <c:v>-16.740542708066513</c:v>
                </c:pt>
                <c:pt idx="582">
                  <c:v>-18.086913931113362</c:v>
                </c:pt>
                <c:pt idx="583">
                  <c:v>-19.482008602899377</c:v>
                </c:pt>
                <c:pt idx="584">
                  <c:v>-20.926742958648394</c:v>
                </c:pt>
                <c:pt idx="585">
                  <c:v>-22.419543729196366</c:v>
                </c:pt>
                <c:pt idx="586">
                  <c:v>-23.95923838172234</c:v>
                </c:pt>
                <c:pt idx="587">
                  <c:v>-25.544695219303598</c:v>
                </c:pt>
                <c:pt idx="588">
                  <c:v>-27.171809609675485</c:v>
                </c:pt>
                <c:pt idx="589">
                  <c:v>-28.838686884659822</c:v>
                </c:pt>
                <c:pt idx="590">
                  <c:v>-30.540935454094299</c:v>
                </c:pt>
                <c:pt idx="591">
                  <c:v>-32.274386392737014</c:v>
                </c:pt>
                <c:pt idx="592">
                  <c:v>-34.034029009753183</c:v>
                </c:pt>
                <c:pt idx="593">
                  <c:v>-35.815283499248615</c:v>
                </c:pt>
                <c:pt idx="594">
                  <c:v>-37.612415315823853</c:v>
                </c:pt>
                <c:pt idx="595">
                  <c:v>-39.4205566477236</c:v>
                </c:pt>
                <c:pt idx="596">
                  <c:v>-41.234360368044719</c:v>
                </c:pt>
                <c:pt idx="597">
                  <c:v>-43.049691365825694</c:v>
                </c:pt>
                <c:pt idx="598">
                  <c:v>-44.862217856742035</c:v>
                </c:pt>
                <c:pt idx="599">
                  <c:v>-46.669296513244561</c:v>
                </c:pt>
                <c:pt idx="600">
                  <c:v>-48.468405259593879</c:v>
                </c:pt>
              </c:numCache>
            </c:numRef>
          </c:yVal>
          <c:smooth val="0"/>
          <c:extLst>
            <c:ext xmlns:c16="http://schemas.microsoft.com/office/drawing/2014/chart" uri="{C3380CC4-5D6E-409C-BE32-E72D297353CC}">
              <c16:uniqueId val="{00000000-1839-4D61-A0B5-FA68D8BCC26F}"/>
            </c:ext>
          </c:extLst>
        </c:ser>
        <c:dLbls>
          <c:showLegendKey val="0"/>
          <c:showVal val="0"/>
          <c:showCatName val="0"/>
          <c:showSerName val="0"/>
          <c:showPercent val="0"/>
          <c:showBubbleSize val="0"/>
        </c:dLbls>
        <c:axId val="235397888"/>
        <c:axId val="235399808"/>
      </c:scatterChart>
      <c:scatterChart>
        <c:scatterStyle val="lineMarker"/>
        <c:varyColors val="0"/>
        <c:ser>
          <c:idx val="1"/>
          <c:order val="1"/>
          <c:tx>
            <c:strRef>
              <c:f>'Stability Calculations'!$W$12</c:f>
              <c:strCache>
                <c:ptCount val="1"/>
                <c:pt idx="0">
                  <c:v>Phase Margin (°)</c:v>
                </c:pt>
              </c:strCache>
            </c:strRef>
          </c:tx>
          <c:spPr>
            <a:ln w="25400">
              <a:solidFill>
                <a:srgbClr val="0000FF"/>
              </a:solidFill>
              <a:prstDash val="solid"/>
            </a:ln>
          </c:spPr>
          <c:marker>
            <c:symbol val="none"/>
          </c:marker>
          <c:xVal>
            <c:numRef>
              <c:f>'Stability Calculations'!$A$13:$A$613</c:f>
              <c:numCache>
                <c:formatCode>General</c:formatCode>
                <c:ptCount val="601"/>
                <c:pt idx="0">
                  <c:v>1</c:v>
                </c:pt>
                <c:pt idx="1">
                  <c:v>1.0965</c:v>
                </c:pt>
                <c:pt idx="2">
                  <c:v>1.2022999999999999</c:v>
                </c:pt>
                <c:pt idx="3">
                  <c:v>1.3183</c:v>
                </c:pt>
                <c:pt idx="4">
                  <c:v>1.4454</c:v>
                </c:pt>
                <c:pt idx="5">
                  <c:v>1.5849</c:v>
                </c:pt>
                <c:pt idx="6">
                  <c:v>1.7378</c:v>
                </c:pt>
                <c:pt idx="7">
                  <c:v>1.9055</c:v>
                </c:pt>
                <c:pt idx="8">
                  <c:v>2.0893000000000002</c:v>
                </c:pt>
                <c:pt idx="9">
                  <c:v>2.2909000000000002</c:v>
                </c:pt>
                <c:pt idx="10">
                  <c:v>2.5118999999999998</c:v>
                </c:pt>
                <c:pt idx="11">
                  <c:v>2.7542</c:v>
                </c:pt>
                <c:pt idx="12">
                  <c:v>3.02</c:v>
                </c:pt>
                <c:pt idx="13">
                  <c:v>3.3113000000000001</c:v>
                </c:pt>
                <c:pt idx="14">
                  <c:v>3.6307999999999998</c:v>
                </c:pt>
                <c:pt idx="15">
                  <c:v>3.9811000000000001</c:v>
                </c:pt>
                <c:pt idx="16">
                  <c:v>4.3651999999999997</c:v>
                </c:pt>
                <c:pt idx="17">
                  <c:v>4.7862999999999998</c:v>
                </c:pt>
                <c:pt idx="18">
                  <c:v>5.2481</c:v>
                </c:pt>
                <c:pt idx="19">
                  <c:v>5.7544000000000004</c:v>
                </c:pt>
                <c:pt idx="20">
                  <c:v>6.3095999999999997</c:v>
                </c:pt>
                <c:pt idx="21">
                  <c:v>6.9183000000000003</c:v>
                </c:pt>
                <c:pt idx="22">
                  <c:v>7.5857999999999999</c:v>
                </c:pt>
                <c:pt idx="23">
                  <c:v>8.3176000000000005</c:v>
                </c:pt>
                <c:pt idx="24">
                  <c:v>9.1201000000000008</c:v>
                </c:pt>
                <c:pt idx="25">
                  <c:v>10</c:v>
                </c:pt>
                <c:pt idx="26">
                  <c:v>10.965</c:v>
                </c:pt>
                <c:pt idx="27">
                  <c:v>12.023</c:v>
                </c:pt>
                <c:pt idx="28">
                  <c:v>13.183</c:v>
                </c:pt>
                <c:pt idx="29">
                  <c:v>14.454000000000001</c:v>
                </c:pt>
                <c:pt idx="30">
                  <c:v>15.849</c:v>
                </c:pt>
                <c:pt idx="31">
                  <c:v>17.378</c:v>
                </c:pt>
                <c:pt idx="32">
                  <c:v>19.055</c:v>
                </c:pt>
                <c:pt idx="33">
                  <c:v>20.893000000000001</c:v>
                </c:pt>
                <c:pt idx="34">
                  <c:v>22.909000000000002</c:v>
                </c:pt>
                <c:pt idx="35">
                  <c:v>25.119</c:v>
                </c:pt>
                <c:pt idx="36">
                  <c:v>27.542000000000002</c:v>
                </c:pt>
                <c:pt idx="37">
                  <c:v>30.2</c:v>
                </c:pt>
                <c:pt idx="38">
                  <c:v>33.113</c:v>
                </c:pt>
                <c:pt idx="39">
                  <c:v>36.308</c:v>
                </c:pt>
                <c:pt idx="40">
                  <c:v>39.811</c:v>
                </c:pt>
                <c:pt idx="41">
                  <c:v>43.652000000000001</c:v>
                </c:pt>
                <c:pt idx="42">
                  <c:v>47.863</c:v>
                </c:pt>
                <c:pt idx="43">
                  <c:v>52.481000000000002</c:v>
                </c:pt>
                <c:pt idx="44">
                  <c:v>57.544000000000004</c:v>
                </c:pt>
                <c:pt idx="45">
                  <c:v>63.095999999999997</c:v>
                </c:pt>
                <c:pt idx="46">
                  <c:v>69.183000000000007</c:v>
                </c:pt>
                <c:pt idx="47">
                  <c:v>75.858000000000004</c:v>
                </c:pt>
                <c:pt idx="48">
                  <c:v>83.176000000000002</c:v>
                </c:pt>
                <c:pt idx="49">
                  <c:v>91.201000000000008</c:v>
                </c:pt>
                <c:pt idx="50">
                  <c:v>100</c:v>
                </c:pt>
                <c:pt idx="51">
                  <c:v>109.65</c:v>
                </c:pt>
                <c:pt idx="52">
                  <c:v>120.23</c:v>
                </c:pt>
                <c:pt idx="53">
                  <c:v>131.83000000000001</c:v>
                </c:pt>
                <c:pt idx="54">
                  <c:v>144.54</c:v>
                </c:pt>
                <c:pt idx="55">
                  <c:v>158.49</c:v>
                </c:pt>
                <c:pt idx="56">
                  <c:v>173.78</c:v>
                </c:pt>
                <c:pt idx="57">
                  <c:v>190.55</c:v>
                </c:pt>
                <c:pt idx="58">
                  <c:v>208.93</c:v>
                </c:pt>
                <c:pt idx="59">
                  <c:v>229.09</c:v>
                </c:pt>
                <c:pt idx="60">
                  <c:v>251.19</c:v>
                </c:pt>
                <c:pt idx="61">
                  <c:v>275.42</c:v>
                </c:pt>
                <c:pt idx="62">
                  <c:v>302</c:v>
                </c:pt>
                <c:pt idx="63">
                  <c:v>331.13</c:v>
                </c:pt>
                <c:pt idx="64">
                  <c:v>363.08</c:v>
                </c:pt>
                <c:pt idx="65">
                  <c:v>398.11</c:v>
                </c:pt>
                <c:pt idx="66">
                  <c:v>436.52</c:v>
                </c:pt>
                <c:pt idx="67">
                  <c:v>478.63</c:v>
                </c:pt>
                <c:pt idx="68">
                  <c:v>524.80999999999995</c:v>
                </c:pt>
                <c:pt idx="69">
                  <c:v>575.44000000000005</c:v>
                </c:pt>
                <c:pt idx="70">
                  <c:v>630.96</c:v>
                </c:pt>
                <c:pt idx="71">
                  <c:v>691.83</c:v>
                </c:pt>
                <c:pt idx="72">
                  <c:v>758.58</c:v>
                </c:pt>
                <c:pt idx="73">
                  <c:v>831.76</c:v>
                </c:pt>
                <c:pt idx="74">
                  <c:v>912.01</c:v>
                </c:pt>
                <c:pt idx="75">
                  <c:v>1000</c:v>
                </c:pt>
                <c:pt idx="76">
                  <c:v>1096.5</c:v>
                </c:pt>
                <c:pt idx="77">
                  <c:v>1202.3</c:v>
                </c:pt>
                <c:pt idx="78">
                  <c:v>1318.3</c:v>
                </c:pt>
                <c:pt idx="79">
                  <c:v>1445.4</c:v>
                </c:pt>
                <c:pt idx="80">
                  <c:v>1584.9</c:v>
                </c:pt>
                <c:pt idx="81">
                  <c:v>1737.8</c:v>
                </c:pt>
                <c:pt idx="82">
                  <c:v>1905.5</c:v>
                </c:pt>
                <c:pt idx="83">
                  <c:v>2089.3000000000002</c:v>
                </c:pt>
                <c:pt idx="84">
                  <c:v>2290.9</c:v>
                </c:pt>
                <c:pt idx="85">
                  <c:v>2511.9</c:v>
                </c:pt>
                <c:pt idx="86">
                  <c:v>2754.2</c:v>
                </c:pt>
                <c:pt idx="87">
                  <c:v>3020</c:v>
                </c:pt>
                <c:pt idx="88">
                  <c:v>3311.3</c:v>
                </c:pt>
                <c:pt idx="89">
                  <c:v>3630.8</c:v>
                </c:pt>
                <c:pt idx="90">
                  <c:v>3981.1</c:v>
                </c:pt>
                <c:pt idx="91">
                  <c:v>4365.2</c:v>
                </c:pt>
                <c:pt idx="92">
                  <c:v>4786.3</c:v>
                </c:pt>
                <c:pt idx="93">
                  <c:v>5248.1</c:v>
                </c:pt>
                <c:pt idx="94">
                  <c:v>5370.3</c:v>
                </c:pt>
                <c:pt idx="95">
                  <c:v>5432.85</c:v>
                </c:pt>
                <c:pt idx="96">
                  <c:v>5495.4</c:v>
                </c:pt>
                <c:pt idx="97">
                  <c:v>5559.4</c:v>
                </c:pt>
                <c:pt idx="98">
                  <c:v>5623.4</c:v>
                </c:pt>
                <c:pt idx="99">
                  <c:v>5688.9</c:v>
                </c:pt>
                <c:pt idx="100">
                  <c:v>5754.4</c:v>
                </c:pt>
                <c:pt idx="101">
                  <c:v>5821.4</c:v>
                </c:pt>
                <c:pt idx="102">
                  <c:v>5888.4</c:v>
                </c:pt>
                <c:pt idx="103">
                  <c:v>5957</c:v>
                </c:pt>
                <c:pt idx="104">
                  <c:v>6025.6</c:v>
                </c:pt>
                <c:pt idx="105">
                  <c:v>6095.8</c:v>
                </c:pt>
                <c:pt idx="106">
                  <c:v>6166</c:v>
                </c:pt>
                <c:pt idx="107">
                  <c:v>6237.8</c:v>
                </c:pt>
                <c:pt idx="108">
                  <c:v>6309.6</c:v>
                </c:pt>
                <c:pt idx="109">
                  <c:v>6383.05</c:v>
                </c:pt>
                <c:pt idx="110">
                  <c:v>6456.5</c:v>
                </c:pt>
                <c:pt idx="111">
                  <c:v>6531.7</c:v>
                </c:pt>
                <c:pt idx="112">
                  <c:v>6606.9</c:v>
                </c:pt>
                <c:pt idx="113">
                  <c:v>6683.85</c:v>
                </c:pt>
                <c:pt idx="114">
                  <c:v>6760.8</c:v>
                </c:pt>
                <c:pt idx="115">
                  <c:v>6839.55</c:v>
                </c:pt>
                <c:pt idx="116">
                  <c:v>6918.3</c:v>
                </c:pt>
                <c:pt idx="117">
                  <c:v>6998.9</c:v>
                </c:pt>
                <c:pt idx="118">
                  <c:v>7079.5</c:v>
                </c:pt>
                <c:pt idx="119">
                  <c:v>7161.95</c:v>
                </c:pt>
                <c:pt idx="120">
                  <c:v>7244.4</c:v>
                </c:pt>
                <c:pt idx="121">
                  <c:v>7328.75</c:v>
                </c:pt>
                <c:pt idx="122">
                  <c:v>7413.1</c:v>
                </c:pt>
                <c:pt idx="123">
                  <c:v>7499.45</c:v>
                </c:pt>
                <c:pt idx="124">
                  <c:v>7585.8</c:v>
                </c:pt>
                <c:pt idx="125">
                  <c:v>7674.15</c:v>
                </c:pt>
                <c:pt idx="126">
                  <c:v>7762.5</c:v>
                </c:pt>
                <c:pt idx="127">
                  <c:v>7852.9</c:v>
                </c:pt>
                <c:pt idx="128">
                  <c:v>7943.3</c:v>
                </c:pt>
                <c:pt idx="129">
                  <c:v>8035.8</c:v>
                </c:pt>
                <c:pt idx="130">
                  <c:v>8128.3</c:v>
                </c:pt>
                <c:pt idx="131">
                  <c:v>8222.9500000000007</c:v>
                </c:pt>
                <c:pt idx="132">
                  <c:v>8270.2750000000015</c:v>
                </c:pt>
                <c:pt idx="133">
                  <c:v>8317.6</c:v>
                </c:pt>
                <c:pt idx="134">
                  <c:v>8366.0499999999993</c:v>
                </c:pt>
                <c:pt idx="135">
                  <c:v>8414.5</c:v>
                </c:pt>
                <c:pt idx="136">
                  <c:v>8462.9500000000007</c:v>
                </c:pt>
                <c:pt idx="137">
                  <c:v>8511.4</c:v>
                </c:pt>
                <c:pt idx="138">
                  <c:v>8560.9500000000007</c:v>
                </c:pt>
                <c:pt idx="139">
                  <c:v>8610.5</c:v>
                </c:pt>
                <c:pt idx="140">
                  <c:v>8660.0499999999993</c:v>
                </c:pt>
                <c:pt idx="141">
                  <c:v>8709.6</c:v>
                </c:pt>
                <c:pt idx="142">
                  <c:v>8760.3250000000007</c:v>
                </c:pt>
                <c:pt idx="143">
                  <c:v>8811.0499999999993</c:v>
                </c:pt>
                <c:pt idx="144">
                  <c:v>8861.7749999999996</c:v>
                </c:pt>
                <c:pt idx="145">
                  <c:v>8912.5</c:v>
                </c:pt>
                <c:pt idx="146">
                  <c:v>8964.4</c:v>
                </c:pt>
                <c:pt idx="147">
                  <c:v>9016.2999999999993</c:v>
                </c:pt>
                <c:pt idx="148">
                  <c:v>9068.2000000000007</c:v>
                </c:pt>
                <c:pt idx="149">
                  <c:v>9120.1</c:v>
                </c:pt>
                <c:pt idx="150">
                  <c:v>9173.2000000000007</c:v>
                </c:pt>
                <c:pt idx="151">
                  <c:v>9226.2999999999993</c:v>
                </c:pt>
                <c:pt idx="152">
                  <c:v>9279.4</c:v>
                </c:pt>
                <c:pt idx="153">
                  <c:v>9332.5</c:v>
                </c:pt>
                <c:pt idx="154">
                  <c:v>9386.85</c:v>
                </c:pt>
                <c:pt idx="155">
                  <c:v>9441.2000000000007</c:v>
                </c:pt>
                <c:pt idx="156">
                  <c:v>9495.5499999999993</c:v>
                </c:pt>
                <c:pt idx="157">
                  <c:v>9549.9</c:v>
                </c:pt>
                <c:pt idx="158">
                  <c:v>9605.5249999999996</c:v>
                </c:pt>
                <c:pt idx="159">
                  <c:v>9661.15</c:v>
                </c:pt>
                <c:pt idx="160">
                  <c:v>9716.7749999999996</c:v>
                </c:pt>
                <c:pt idx="161">
                  <c:v>9772.4</c:v>
                </c:pt>
                <c:pt idx="162">
                  <c:v>9829.2999999999993</c:v>
                </c:pt>
                <c:pt idx="163">
                  <c:v>9886.2000000000007</c:v>
                </c:pt>
                <c:pt idx="164">
                  <c:v>9943.1</c:v>
                </c:pt>
                <c:pt idx="165">
                  <c:v>10000</c:v>
                </c:pt>
                <c:pt idx="166">
                  <c:v>10058.25</c:v>
                </c:pt>
                <c:pt idx="167">
                  <c:v>10116.5</c:v>
                </c:pt>
                <c:pt idx="168">
                  <c:v>10174.75</c:v>
                </c:pt>
                <c:pt idx="169">
                  <c:v>10233</c:v>
                </c:pt>
                <c:pt idx="170">
                  <c:v>10292.5</c:v>
                </c:pt>
                <c:pt idx="171">
                  <c:v>10352</c:v>
                </c:pt>
                <c:pt idx="172">
                  <c:v>10411.5</c:v>
                </c:pt>
                <c:pt idx="173">
                  <c:v>10471</c:v>
                </c:pt>
                <c:pt idx="174">
                  <c:v>10532</c:v>
                </c:pt>
                <c:pt idx="175">
                  <c:v>10593</c:v>
                </c:pt>
                <c:pt idx="176">
                  <c:v>10654</c:v>
                </c:pt>
                <c:pt idx="177">
                  <c:v>10715</c:v>
                </c:pt>
                <c:pt idx="178">
                  <c:v>10777.5</c:v>
                </c:pt>
                <c:pt idx="179">
                  <c:v>10840</c:v>
                </c:pt>
                <c:pt idx="180">
                  <c:v>10902.5</c:v>
                </c:pt>
                <c:pt idx="181">
                  <c:v>10965</c:v>
                </c:pt>
                <c:pt idx="182">
                  <c:v>11028.75</c:v>
                </c:pt>
                <c:pt idx="183">
                  <c:v>11092.5</c:v>
                </c:pt>
                <c:pt idx="184">
                  <c:v>11156.25</c:v>
                </c:pt>
                <c:pt idx="185">
                  <c:v>11220</c:v>
                </c:pt>
                <c:pt idx="186">
                  <c:v>11285.5</c:v>
                </c:pt>
                <c:pt idx="187">
                  <c:v>11351</c:v>
                </c:pt>
                <c:pt idx="188">
                  <c:v>11416.5</c:v>
                </c:pt>
                <c:pt idx="189">
                  <c:v>11482</c:v>
                </c:pt>
                <c:pt idx="190">
                  <c:v>11548.75</c:v>
                </c:pt>
                <c:pt idx="191">
                  <c:v>11615.5</c:v>
                </c:pt>
                <c:pt idx="192">
                  <c:v>11682.25</c:v>
                </c:pt>
                <c:pt idx="193">
                  <c:v>11749</c:v>
                </c:pt>
                <c:pt idx="194">
                  <c:v>11817.5</c:v>
                </c:pt>
                <c:pt idx="195">
                  <c:v>11886</c:v>
                </c:pt>
                <c:pt idx="196">
                  <c:v>11954.5</c:v>
                </c:pt>
                <c:pt idx="197">
                  <c:v>12023</c:v>
                </c:pt>
                <c:pt idx="198">
                  <c:v>12093</c:v>
                </c:pt>
                <c:pt idx="199">
                  <c:v>12163</c:v>
                </c:pt>
                <c:pt idx="200">
                  <c:v>12233</c:v>
                </c:pt>
                <c:pt idx="201">
                  <c:v>12303</c:v>
                </c:pt>
                <c:pt idx="202">
                  <c:v>12374.5</c:v>
                </c:pt>
                <c:pt idx="203">
                  <c:v>12446</c:v>
                </c:pt>
                <c:pt idx="204">
                  <c:v>12517.5</c:v>
                </c:pt>
                <c:pt idx="205">
                  <c:v>12589</c:v>
                </c:pt>
                <c:pt idx="206">
                  <c:v>12662.25</c:v>
                </c:pt>
                <c:pt idx="207">
                  <c:v>12735.5</c:v>
                </c:pt>
                <c:pt idx="208">
                  <c:v>12808.75</c:v>
                </c:pt>
                <c:pt idx="209">
                  <c:v>12882</c:v>
                </c:pt>
                <c:pt idx="210">
                  <c:v>12957.25</c:v>
                </c:pt>
                <c:pt idx="211">
                  <c:v>13032.5</c:v>
                </c:pt>
                <c:pt idx="212">
                  <c:v>13107.75</c:v>
                </c:pt>
                <c:pt idx="213">
                  <c:v>13183</c:v>
                </c:pt>
                <c:pt idx="214">
                  <c:v>13259.75</c:v>
                </c:pt>
                <c:pt idx="215">
                  <c:v>13336.5</c:v>
                </c:pt>
                <c:pt idx="216">
                  <c:v>13413.25</c:v>
                </c:pt>
                <c:pt idx="217">
                  <c:v>13490</c:v>
                </c:pt>
                <c:pt idx="218">
                  <c:v>13568.5</c:v>
                </c:pt>
                <c:pt idx="219">
                  <c:v>13647</c:v>
                </c:pt>
                <c:pt idx="220">
                  <c:v>13725.5</c:v>
                </c:pt>
                <c:pt idx="221">
                  <c:v>13804</c:v>
                </c:pt>
                <c:pt idx="222">
                  <c:v>13884.25</c:v>
                </c:pt>
                <c:pt idx="223">
                  <c:v>13964.5</c:v>
                </c:pt>
                <c:pt idx="224">
                  <c:v>14044.75</c:v>
                </c:pt>
                <c:pt idx="225">
                  <c:v>14125</c:v>
                </c:pt>
                <c:pt idx="226">
                  <c:v>14207.25</c:v>
                </c:pt>
                <c:pt idx="227">
                  <c:v>14289.5</c:v>
                </c:pt>
                <c:pt idx="228">
                  <c:v>14371.75</c:v>
                </c:pt>
                <c:pt idx="229">
                  <c:v>14454</c:v>
                </c:pt>
                <c:pt idx="230">
                  <c:v>14622.5</c:v>
                </c:pt>
                <c:pt idx="231">
                  <c:v>14706.75</c:v>
                </c:pt>
                <c:pt idx="232">
                  <c:v>14791</c:v>
                </c:pt>
                <c:pt idx="233">
                  <c:v>14877.25</c:v>
                </c:pt>
                <c:pt idx="234">
                  <c:v>14963.5</c:v>
                </c:pt>
                <c:pt idx="235">
                  <c:v>15049.75</c:v>
                </c:pt>
                <c:pt idx="236">
                  <c:v>15136</c:v>
                </c:pt>
                <c:pt idx="237">
                  <c:v>15224</c:v>
                </c:pt>
                <c:pt idx="238">
                  <c:v>15312</c:v>
                </c:pt>
                <c:pt idx="239">
                  <c:v>15400</c:v>
                </c:pt>
                <c:pt idx="240">
                  <c:v>15488</c:v>
                </c:pt>
                <c:pt idx="241">
                  <c:v>15578.25</c:v>
                </c:pt>
                <c:pt idx="242">
                  <c:v>15668.5</c:v>
                </c:pt>
                <c:pt idx="243">
                  <c:v>15758.75</c:v>
                </c:pt>
                <c:pt idx="244">
                  <c:v>15849</c:v>
                </c:pt>
                <c:pt idx="245">
                  <c:v>15941.25</c:v>
                </c:pt>
                <c:pt idx="246">
                  <c:v>16033.5</c:v>
                </c:pt>
                <c:pt idx="247">
                  <c:v>16125.75</c:v>
                </c:pt>
                <c:pt idx="248">
                  <c:v>16218</c:v>
                </c:pt>
                <c:pt idx="249">
                  <c:v>16312.5</c:v>
                </c:pt>
                <c:pt idx="250">
                  <c:v>16407</c:v>
                </c:pt>
                <c:pt idx="251">
                  <c:v>16501.5</c:v>
                </c:pt>
                <c:pt idx="252">
                  <c:v>16596</c:v>
                </c:pt>
                <c:pt idx="253">
                  <c:v>16692.5</c:v>
                </c:pt>
                <c:pt idx="254">
                  <c:v>16789</c:v>
                </c:pt>
                <c:pt idx="255">
                  <c:v>16885.5</c:v>
                </c:pt>
                <c:pt idx="256">
                  <c:v>16982</c:v>
                </c:pt>
                <c:pt idx="257">
                  <c:v>17081</c:v>
                </c:pt>
                <c:pt idx="258">
                  <c:v>17180</c:v>
                </c:pt>
                <c:pt idx="259">
                  <c:v>17279</c:v>
                </c:pt>
                <c:pt idx="260">
                  <c:v>17378</c:v>
                </c:pt>
                <c:pt idx="261">
                  <c:v>17479.25</c:v>
                </c:pt>
                <c:pt idx="262">
                  <c:v>17580.5</c:v>
                </c:pt>
                <c:pt idx="263">
                  <c:v>17681.75</c:v>
                </c:pt>
                <c:pt idx="264">
                  <c:v>17783</c:v>
                </c:pt>
                <c:pt idx="265">
                  <c:v>17886.5</c:v>
                </c:pt>
                <c:pt idx="266">
                  <c:v>17990</c:v>
                </c:pt>
                <c:pt idx="267">
                  <c:v>18093.5</c:v>
                </c:pt>
                <c:pt idx="268">
                  <c:v>18197</c:v>
                </c:pt>
                <c:pt idx="269">
                  <c:v>18303</c:v>
                </c:pt>
                <c:pt idx="270">
                  <c:v>18409</c:v>
                </c:pt>
                <c:pt idx="271">
                  <c:v>18515</c:v>
                </c:pt>
                <c:pt idx="272">
                  <c:v>18621</c:v>
                </c:pt>
                <c:pt idx="273">
                  <c:v>18729.5</c:v>
                </c:pt>
                <c:pt idx="274">
                  <c:v>18838</c:v>
                </c:pt>
                <c:pt idx="275">
                  <c:v>18946.5</c:v>
                </c:pt>
                <c:pt idx="276">
                  <c:v>19055</c:v>
                </c:pt>
                <c:pt idx="277">
                  <c:v>19165.75</c:v>
                </c:pt>
                <c:pt idx="278">
                  <c:v>19276.5</c:v>
                </c:pt>
                <c:pt idx="279">
                  <c:v>19387.25</c:v>
                </c:pt>
                <c:pt idx="280">
                  <c:v>19498</c:v>
                </c:pt>
                <c:pt idx="281">
                  <c:v>19611.75</c:v>
                </c:pt>
                <c:pt idx="282">
                  <c:v>19725.5</c:v>
                </c:pt>
                <c:pt idx="283">
                  <c:v>19839.25</c:v>
                </c:pt>
                <c:pt idx="284">
                  <c:v>19953</c:v>
                </c:pt>
                <c:pt idx="285">
                  <c:v>20069</c:v>
                </c:pt>
                <c:pt idx="286">
                  <c:v>20185</c:v>
                </c:pt>
                <c:pt idx="287">
                  <c:v>20301</c:v>
                </c:pt>
                <c:pt idx="288">
                  <c:v>20417</c:v>
                </c:pt>
                <c:pt idx="289">
                  <c:v>20536</c:v>
                </c:pt>
                <c:pt idx="290">
                  <c:v>20655</c:v>
                </c:pt>
                <c:pt idx="291">
                  <c:v>20774</c:v>
                </c:pt>
                <c:pt idx="292">
                  <c:v>20893</c:v>
                </c:pt>
                <c:pt idx="293">
                  <c:v>21014.75</c:v>
                </c:pt>
                <c:pt idx="294">
                  <c:v>21136.5</c:v>
                </c:pt>
                <c:pt idx="295">
                  <c:v>21258.25</c:v>
                </c:pt>
                <c:pt idx="296">
                  <c:v>21380</c:v>
                </c:pt>
                <c:pt idx="297">
                  <c:v>21504.5</c:v>
                </c:pt>
                <c:pt idx="298">
                  <c:v>21629</c:v>
                </c:pt>
                <c:pt idx="299">
                  <c:v>21753.5</c:v>
                </c:pt>
                <c:pt idx="300">
                  <c:v>21878</c:v>
                </c:pt>
                <c:pt idx="301">
                  <c:v>22005.25</c:v>
                </c:pt>
                <c:pt idx="302">
                  <c:v>22132.5</c:v>
                </c:pt>
                <c:pt idx="303">
                  <c:v>22259.75</c:v>
                </c:pt>
                <c:pt idx="304">
                  <c:v>22387</c:v>
                </c:pt>
                <c:pt idx="305">
                  <c:v>22517.5</c:v>
                </c:pt>
                <c:pt idx="306">
                  <c:v>22648</c:v>
                </c:pt>
                <c:pt idx="307">
                  <c:v>22778.5</c:v>
                </c:pt>
                <c:pt idx="308">
                  <c:v>22909</c:v>
                </c:pt>
                <c:pt idx="309">
                  <c:v>23042.25</c:v>
                </c:pt>
                <c:pt idx="310">
                  <c:v>23175.5</c:v>
                </c:pt>
                <c:pt idx="311">
                  <c:v>23308.75</c:v>
                </c:pt>
                <c:pt idx="312">
                  <c:v>23442</c:v>
                </c:pt>
                <c:pt idx="313">
                  <c:v>23578.5</c:v>
                </c:pt>
                <c:pt idx="314">
                  <c:v>23715</c:v>
                </c:pt>
                <c:pt idx="315">
                  <c:v>23851.5</c:v>
                </c:pt>
                <c:pt idx="316">
                  <c:v>23988</c:v>
                </c:pt>
                <c:pt idx="317">
                  <c:v>24127.75</c:v>
                </c:pt>
                <c:pt idx="318">
                  <c:v>24267.5</c:v>
                </c:pt>
                <c:pt idx="319">
                  <c:v>24407.25</c:v>
                </c:pt>
                <c:pt idx="320">
                  <c:v>24547</c:v>
                </c:pt>
                <c:pt idx="321">
                  <c:v>24690</c:v>
                </c:pt>
                <c:pt idx="322">
                  <c:v>24833</c:v>
                </c:pt>
                <c:pt idx="323">
                  <c:v>24976</c:v>
                </c:pt>
                <c:pt idx="324">
                  <c:v>25119</c:v>
                </c:pt>
                <c:pt idx="325">
                  <c:v>25265.25</c:v>
                </c:pt>
                <c:pt idx="326">
                  <c:v>25411.5</c:v>
                </c:pt>
                <c:pt idx="327">
                  <c:v>25557.75</c:v>
                </c:pt>
                <c:pt idx="328">
                  <c:v>25704</c:v>
                </c:pt>
                <c:pt idx="329">
                  <c:v>25853.75</c:v>
                </c:pt>
                <c:pt idx="330">
                  <c:v>26003.5</c:v>
                </c:pt>
                <c:pt idx="331">
                  <c:v>26153.25</c:v>
                </c:pt>
                <c:pt idx="332">
                  <c:v>26303</c:v>
                </c:pt>
                <c:pt idx="333">
                  <c:v>26456</c:v>
                </c:pt>
                <c:pt idx="334">
                  <c:v>26609</c:v>
                </c:pt>
                <c:pt idx="335">
                  <c:v>26762</c:v>
                </c:pt>
                <c:pt idx="336">
                  <c:v>26915</c:v>
                </c:pt>
                <c:pt idx="337">
                  <c:v>27071.75</c:v>
                </c:pt>
                <c:pt idx="338">
                  <c:v>27228.5</c:v>
                </c:pt>
                <c:pt idx="339">
                  <c:v>27385.25</c:v>
                </c:pt>
                <c:pt idx="340">
                  <c:v>27542</c:v>
                </c:pt>
                <c:pt idx="341">
                  <c:v>27702.5</c:v>
                </c:pt>
                <c:pt idx="342">
                  <c:v>27863</c:v>
                </c:pt>
                <c:pt idx="343">
                  <c:v>28023.5</c:v>
                </c:pt>
                <c:pt idx="344">
                  <c:v>28184</c:v>
                </c:pt>
                <c:pt idx="345">
                  <c:v>28348</c:v>
                </c:pt>
                <c:pt idx="346">
                  <c:v>28512</c:v>
                </c:pt>
                <c:pt idx="347">
                  <c:v>28676</c:v>
                </c:pt>
                <c:pt idx="348">
                  <c:v>28840</c:v>
                </c:pt>
                <c:pt idx="349">
                  <c:v>29008</c:v>
                </c:pt>
                <c:pt idx="350">
                  <c:v>29176</c:v>
                </c:pt>
                <c:pt idx="351">
                  <c:v>29344</c:v>
                </c:pt>
                <c:pt idx="352">
                  <c:v>29512</c:v>
                </c:pt>
                <c:pt idx="353">
                  <c:v>29684</c:v>
                </c:pt>
                <c:pt idx="354">
                  <c:v>29856</c:v>
                </c:pt>
                <c:pt idx="355">
                  <c:v>30028</c:v>
                </c:pt>
                <c:pt idx="356">
                  <c:v>30200</c:v>
                </c:pt>
                <c:pt idx="357">
                  <c:v>30375.75</c:v>
                </c:pt>
                <c:pt idx="358">
                  <c:v>30551.5</c:v>
                </c:pt>
                <c:pt idx="359">
                  <c:v>30727.25</c:v>
                </c:pt>
                <c:pt idx="360">
                  <c:v>30903</c:v>
                </c:pt>
                <c:pt idx="361">
                  <c:v>31083</c:v>
                </c:pt>
                <c:pt idx="362">
                  <c:v>31263</c:v>
                </c:pt>
                <c:pt idx="363">
                  <c:v>31443</c:v>
                </c:pt>
                <c:pt idx="364">
                  <c:v>31623</c:v>
                </c:pt>
                <c:pt idx="365">
                  <c:v>31807</c:v>
                </c:pt>
                <c:pt idx="366">
                  <c:v>31991</c:v>
                </c:pt>
                <c:pt idx="367">
                  <c:v>32175</c:v>
                </c:pt>
                <c:pt idx="368">
                  <c:v>32359</c:v>
                </c:pt>
                <c:pt idx="369">
                  <c:v>32547.5</c:v>
                </c:pt>
                <c:pt idx="370">
                  <c:v>32736</c:v>
                </c:pt>
                <c:pt idx="371">
                  <c:v>32924.5</c:v>
                </c:pt>
                <c:pt idx="372">
                  <c:v>33113</c:v>
                </c:pt>
                <c:pt idx="373">
                  <c:v>33305.75</c:v>
                </c:pt>
                <c:pt idx="374">
                  <c:v>33498.5</c:v>
                </c:pt>
                <c:pt idx="375">
                  <c:v>33691.25</c:v>
                </c:pt>
                <c:pt idx="376">
                  <c:v>33884</c:v>
                </c:pt>
                <c:pt idx="377">
                  <c:v>34081.5</c:v>
                </c:pt>
                <c:pt idx="378">
                  <c:v>34279</c:v>
                </c:pt>
                <c:pt idx="379">
                  <c:v>34476.5</c:v>
                </c:pt>
                <c:pt idx="380">
                  <c:v>34674</c:v>
                </c:pt>
                <c:pt idx="381">
                  <c:v>34875.75</c:v>
                </c:pt>
                <c:pt idx="382">
                  <c:v>35077.5</c:v>
                </c:pt>
                <c:pt idx="383">
                  <c:v>35279.25</c:v>
                </c:pt>
                <c:pt idx="384">
                  <c:v>35481</c:v>
                </c:pt>
                <c:pt idx="385">
                  <c:v>35687.75</c:v>
                </c:pt>
                <c:pt idx="386">
                  <c:v>35894.5</c:v>
                </c:pt>
                <c:pt idx="387">
                  <c:v>36101.25</c:v>
                </c:pt>
                <c:pt idx="388">
                  <c:v>36308</c:v>
                </c:pt>
                <c:pt idx="389">
                  <c:v>36519.5</c:v>
                </c:pt>
                <c:pt idx="390">
                  <c:v>36731</c:v>
                </c:pt>
                <c:pt idx="391">
                  <c:v>36942.5</c:v>
                </c:pt>
                <c:pt idx="392">
                  <c:v>37154</c:v>
                </c:pt>
                <c:pt idx="393">
                  <c:v>37370.25</c:v>
                </c:pt>
                <c:pt idx="394">
                  <c:v>37586.5</c:v>
                </c:pt>
                <c:pt idx="395">
                  <c:v>37802.75</c:v>
                </c:pt>
                <c:pt idx="396">
                  <c:v>38019</c:v>
                </c:pt>
                <c:pt idx="397">
                  <c:v>38240.5</c:v>
                </c:pt>
                <c:pt idx="398">
                  <c:v>38462</c:v>
                </c:pt>
                <c:pt idx="399">
                  <c:v>38683.5</c:v>
                </c:pt>
                <c:pt idx="400">
                  <c:v>38905</c:v>
                </c:pt>
                <c:pt idx="401">
                  <c:v>39131.5</c:v>
                </c:pt>
                <c:pt idx="402">
                  <c:v>39358</c:v>
                </c:pt>
                <c:pt idx="403">
                  <c:v>39584.5</c:v>
                </c:pt>
                <c:pt idx="404">
                  <c:v>39811</c:v>
                </c:pt>
                <c:pt idx="405">
                  <c:v>40042.75</c:v>
                </c:pt>
                <c:pt idx="406">
                  <c:v>40274.5</c:v>
                </c:pt>
                <c:pt idx="407">
                  <c:v>40506.25</c:v>
                </c:pt>
                <c:pt idx="408">
                  <c:v>40738</c:v>
                </c:pt>
                <c:pt idx="409">
                  <c:v>40975.25</c:v>
                </c:pt>
                <c:pt idx="410">
                  <c:v>41212.5</c:v>
                </c:pt>
                <c:pt idx="411">
                  <c:v>41449.75</c:v>
                </c:pt>
                <c:pt idx="412">
                  <c:v>41687</c:v>
                </c:pt>
                <c:pt idx="413">
                  <c:v>41929.75</c:v>
                </c:pt>
                <c:pt idx="414">
                  <c:v>42172.5</c:v>
                </c:pt>
                <c:pt idx="415">
                  <c:v>42415.25</c:v>
                </c:pt>
                <c:pt idx="416">
                  <c:v>42658</c:v>
                </c:pt>
                <c:pt idx="417">
                  <c:v>42906.5</c:v>
                </c:pt>
                <c:pt idx="418">
                  <c:v>43155</c:v>
                </c:pt>
                <c:pt idx="419">
                  <c:v>43403.5</c:v>
                </c:pt>
                <c:pt idx="420">
                  <c:v>43652</c:v>
                </c:pt>
                <c:pt idx="421">
                  <c:v>43906</c:v>
                </c:pt>
                <c:pt idx="422">
                  <c:v>44160</c:v>
                </c:pt>
                <c:pt idx="423">
                  <c:v>44414</c:v>
                </c:pt>
                <c:pt idx="424">
                  <c:v>44668</c:v>
                </c:pt>
                <c:pt idx="425">
                  <c:v>44928.25</c:v>
                </c:pt>
                <c:pt idx="426">
                  <c:v>45188.5</c:v>
                </c:pt>
                <c:pt idx="427">
                  <c:v>45448.75</c:v>
                </c:pt>
                <c:pt idx="428">
                  <c:v>45709</c:v>
                </c:pt>
                <c:pt idx="429">
                  <c:v>45975.25</c:v>
                </c:pt>
                <c:pt idx="430">
                  <c:v>46241.5</c:v>
                </c:pt>
                <c:pt idx="431">
                  <c:v>46507.75</c:v>
                </c:pt>
                <c:pt idx="432">
                  <c:v>46774</c:v>
                </c:pt>
                <c:pt idx="433">
                  <c:v>47046.25</c:v>
                </c:pt>
                <c:pt idx="434">
                  <c:v>47318.5</c:v>
                </c:pt>
                <c:pt idx="435">
                  <c:v>47590.75</c:v>
                </c:pt>
                <c:pt idx="436">
                  <c:v>47863</c:v>
                </c:pt>
                <c:pt idx="437">
                  <c:v>48141.75</c:v>
                </c:pt>
                <c:pt idx="438">
                  <c:v>48420.5</c:v>
                </c:pt>
                <c:pt idx="439">
                  <c:v>48699.25</c:v>
                </c:pt>
                <c:pt idx="440">
                  <c:v>48978</c:v>
                </c:pt>
                <c:pt idx="441">
                  <c:v>49263.25</c:v>
                </c:pt>
                <c:pt idx="442">
                  <c:v>49548.5</c:v>
                </c:pt>
                <c:pt idx="443">
                  <c:v>49833.75</c:v>
                </c:pt>
                <c:pt idx="444">
                  <c:v>50119</c:v>
                </c:pt>
                <c:pt idx="445">
                  <c:v>50410.75</c:v>
                </c:pt>
                <c:pt idx="446">
                  <c:v>50702.5</c:v>
                </c:pt>
                <c:pt idx="447">
                  <c:v>50994.25</c:v>
                </c:pt>
                <c:pt idx="448">
                  <c:v>51286</c:v>
                </c:pt>
                <c:pt idx="449">
                  <c:v>51584.75</c:v>
                </c:pt>
                <c:pt idx="450">
                  <c:v>51883.5</c:v>
                </c:pt>
                <c:pt idx="451">
                  <c:v>52182.25</c:v>
                </c:pt>
                <c:pt idx="452">
                  <c:v>52481</c:v>
                </c:pt>
                <c:pt idx="453">
                  <c:v>52786.5</c:v>
                </c:pt>
                <c:pt idx="454">
                  <c:v>53092</c:v>
                </c:pt>
                <c:pt idx="455">
                  <c:v>53397.5</c:v>
                </c:pt>
                <c:pt idx="456">
                  <c:v>53703</c:v>
                </c:pt>
                <c:pt idx="457">
                  <c:v>54015.75</c:v>
                </c:pt>
                <c:pt idx="458">
                  <c:v>54328.5</c:v>
                </c:pt>
                <c:pt idx="459">
                  <c:v>54641.25</c:v>
                </c:pt>
                <c:pt idx="460">
                  <c:v>54954</c:v>
                </c:pt>
                <c:pt idx="461">
                  <c:v>55274</c:v>
                </c:pt>
                <c:pt idx="462">
                  <c:v>55594</c:v>
                </c:pt>
                <c:pt idx="463">
                  <c:v>55914</c:v>
                </c:pt>
                <c:pt idx="464">
                  <c:v>56234</c:v>
                </c:pt>
                <c:pt idx="465">
                  <c:v>56561.5</c:v>
                </c:pt>
                <c:pt idx="466">
                  <c:v>56889</c:v>
                </c:pt>
                <c:pt idx="467">
                  <c:v>57216.5</c:v>
                </c:pt>
                <c:pt idx="468">
                  <c:v>57544</c:v>
                </c:pt>
                <c:pt idx="469">
                  <c:v>57879</c:v>
                </c:pt>
                <c:pt idx="470">
                  <c:v>58214</c:v>
                </c:pt>
                <c:pt idx="471">
                  <c:v>58549</c:v>
                </c:pt>
                <c:pt idx="472">
                  <c:v>58884</c:v>
                </c:pt>
                <c:pt idx="473">
                  <c:v>59227</c:v>
                </c:pt>
                <c:pt idx="474">
                  <c:v>59570</c:v>
                </c:pt>
                <c:pt idx="475">
                  <c:v>59913</c:v>
                </c:pt>
                <c:pt idx="476">
                  <c:v>60256</c:v>
                </c:pt>
                <c:pt idx="477">
                  <c:v>60607</c:v>
                </c:pt>
                <c:pt idx="478">
                  <c:v>60958</c:v>
                </c:pt>
                <c:pt idx="479">
                  <c:v>61309</c:v>
                </c:pt>
                <c:pt idx="480">
                  <c:v>61660</c:v>
                </c:pt>
                <c:pt idx="481">
                  <c:v>62019</c:v>
                </c:pt>
                <c:pt idx="482">
                  <c:v>62378</c:v>
                </c:pt>
                <c:pt idx="483">
                  <c:v>62737</c:v>
                </c:pt>
                <c:pt idx="484">
                  <c:v>63096</c:v>
                </c:pt>
                <c:pt idx="485">
                  <c:v>63463.25</c:v>
                </c:pt>
                <c:pt idx="486">
                  <c:v>63830.5</c:v>
                </c:pt>
                <c:pt idx="487">
                  <c:v>64197.75</c:v>
                </c:pt>
                <c:pt idx="488">
                  <c:v>64565</c:v>
                </c:pt>
                <c:pt idx="489">
                  <c:v>64941</c:v>
                </c:pt>
                <c:pt idx="490">
                  <c:v>65317</c:v>
                </c:pt>
                <c:pt idx="491">
                  <c:v>65693</c:v>
                </c:pt>
                <c:pt idx="492">
                  <c:v>66069</c:v>
                </c:pt>
                <c:pt idx="493">
                  <c:v>66453.75</c:v>
                </c:pt>
                <c:pt idx="494">
                  <c:v>66838.5</c:v>
                </c:pt>
                <c:pt idx="495">
                  <c:v>67223.25</c:v>
                </c:pt>
                <c:pt idx="496">
                  <c:v>67608</c:v>
                </c:pt>
                <c:pt idx="497">
                  <c:v>68001.75</c:v>
                </c:pt>
                <c:pt idx="498">
                  <c:v>68395.5</c:v>
                </c:pt>
                <c:pt idx="499">
                  <c:v>68789.25</c:v>
                </c:pt>
                <c:pt idx="500">
                  <c:v>69183</c:v>
                </c:pt>
                <c:pt idx="501">
                  <c:v>69586</c:v>
                </c:pt>
                <c:pt idx="502">
                  <c:v>69989</c:v>
                </c:pt>
                <c:pt idx="503">
                  <c:v>70392</c:v>
                </c:pt>
                <c:pt idx="504">
                  <c:v>70795</c:v>
                </c:pt>
                <c:pt idx="505">
                  <c:v>71207.25</c:v>
                </c:pt>
                <c:pt idx="506">
                  <c:v>71619.5</c:v>
                </c:pt>
                <c:pt idx="507">
                  <c:v>72031.75</c:v>
                </c:pt>
                <c:pt idx="508">
                  <c:v>72444</c:v>
                </c:pt>
                <c:pt idx="509">
                  <c:v>72865.75</c:v>
                </c:pt>
                <c:pt idx="510">
                  <c:v>73287.5</c:v>
                </c:pt>
                <c:pt idx="511">
                  <c:v>73709.25</c:v>
                </c:pt>
                <c:pt idx="512">
                  <c:v>74131</c:v>
                </c:pt>
                <c:pt idx="513">
                  <c:v>74562.75</c:v>
                </c:pt>
                <c:pt idx="514">
                  <c:v>74994.5</c:v>
                </c:pt>
                <c:pt idx="515">
                  <c:v>75426.25</c:v>
                </c:pt>
                <c:pt idx="516">
                  <c:v>75858</c:v>
                </c:pt>
                <c:pt idx="517">
                  <c:v>76299.75</c:v>
                </c:pt>
                <c:pt idx="518">
                  <c:v>76741.5</c:v>
                </c:pt>
                <c:pt idx="519">
                  <c:v>77183.25</c:v>
                </c:pt>
                <c:pt idx="520">
                  <c:v>77625</c:v>
                </c:pt>
                <c:pt idx="521">
                  <c:v>78077</c:v>
                </c:pt>
                <c:pt idx="522">
                  <c:v>78529</c:v>
                </c:pt>
                <c:pt idx="523">
                  <c:v>78981</c:v>
                </c:pt>
                <c:pt idx="524">
                  <c:v>79433</c:v>
                </c:pt>
                <c:pt idx="525">
                  <c:v>79895.5</c:v>
                </c:pt>
                <c:pt idx="526">
                  <c:v>80358</c:v>
                </c:pt>
                <c:pt idx="527">
                  <c:v>80820.5</c:v>
                </c:pt>
                <c:pt idx="528">
                  <c:v>81283</c:v>
                </c:pt>
                <c:pt idx="529">
                  <c:v>81756.25</c:v>
                </c:pt>
                <c:pt idx="530">
                  <c:v>82229.5</c:v>
                </c:pt>
                <c:pt idx="531">
                  <c:v>82702.75</c:v>
                </c:pt>
                <c:pt idx="532">
                  <c:v>83176</c:v>
                </c:pt>
                <c:pt idx="533">
                  <c:v>83660.5</c:v>
                </c:pt>
                <c:pt idx="534">
                  <c:v>84145</c:v>
                </c:pt>
                <c:pt idx="535">
                  <c:v>84629.5</c:v>
                </c:pt>
                <c:pt idx="536">
                  <c:v>85114</c:v>
                </c:pt>
                <c:pt idx="537">
                  <c:v>85609.5</c:v>
                </c:pt>
                <c:pt idx="538">
                  <c:v>86105</c:v>
                </c:pt>
                <c:pt idx="539">
                  <c:v>86600.5</c:v>
                </c:pt>
                <c:pt idx="540">
                  <c:v>87096</c:v>
                </c:pt>
                <c:pt idx="541">
                  <c:v>87603.25</c:v>
                </c:pt>
                <c:pt idx="542">
                  <c:v>88110.5</c:v>
                </c:pt>
                <c:pt idx="543">
                  <c:v>88617.75</c:v>
                </c:pt>
                <c:pt idx="544">
                  <c:v>89125</c:v>
                </c:pt>
                <c:pt idx="545">
                  <c:v>89644</c:v>
                </c:pt>
                <c:pt idx="546">
                  <c:v>90163</c:v>
                </c:pt>
                <c:pt idx="547">
                  <c:v>90682</c:v>
                </c:pt>
                <c:pt idx="548">
                  <c:v>91201</c:v>
                </c:pt>
                <c:pt idx="549">
                  <c:v>91732</c:v>
                </c:pt>
                <c:pt idx="550">
                  <c:v>92263</c:v>
                </c:pt>
                <c:pt idx="551">
                  <c:v>92794</c:v>
                </c:pt>
                <c:pt idx="552">
                  <c:v>93325</c:v>
                </c:pt>
                <c:pt idx="553">
                  <c:v>93868.5</c:v>
                </c:pt>
                <c:pt idx="554">
                  <c:v>94412</c:v>
                </c:pt>
                <c:pt idx="555">
                  <c:v>94955.5</c:v>
                </c:pt>
                <c:pt idx="556">
                  <c:v>95499</c:v>
                </c:pt>
                <c:pt idx="557">
                  <c:v>96611.5</c:v>
                </c:pt>
                <c:pt idx="558">
                  <c:v>97724</c:v>
                </c:pt>
                <c:pt idx="559">
                  <c:v>98862</c:v>
                </c:pt>
                <c:pt idx="560">
                  <c:v>100000</c:v>
                </c:pt>
                <c:pt idx="561">
                  <c:v>101165</c:v>
                </c:pt>
                <c:pt idx="562">
                  <c:v>102330</c:v>
                </c:pt>
                <c:pt idx="563">
                  <c:v>103520</c:v>
                </c:pt>
                <c:pt idx="564">
                  <c:v>104710</c:v>
                </c:pt>
                <c:pt idx="565">
                  <c:v>105930</c:v>
                </c:pt>
                <c:pt idx="566">
                  <c:v>107150</c:v>
                </c:pt>
                <c:pt idx="567">
                  <c:v>108400</c:v>
                </c:pt>
                <c:pt idx="568">
                  <c:v>109650</c:v>
                </c:pt>
                <c:pt idx="569">
                  <c:v>110925</c:v>
                </c:pt>
                <c:pt idx="570">
                  <c:v>112200</c:v>
                </c:pt>
                <c:pt idx="571">
                  <c:v>113510</c:v>
                </c:pt>
                <c:pt idx="572">
                  <c:v>114820</c:v>
                </c:pt>
                <c:pt idx="573">
                  <c:v>116155</c:v>
                </c:pt>
                <c:pt idx="574">
                  <c:v>117490</c:v>
                </c:pt>
                <c:pt idx="575">
                  <c:v>118860</c:v>
                </c:pt>
                <c:pt idx="576">
                  <c:v>120230</c:v>
                </c:pt>
                <c:pt idx="577">
                  <c:v>126030</c:v>
                </c:pt>
                <c:pt idx="578">
                  <c:v>131830</c:v>
                </c:pt>
                <c:pt idx="579">
                  <c:v>144540</c:v>
                </c:pt>
                <c:pt idx="580">
                  <c:v>158490</c:v>
                </c:pt>
                <c:pt idx="581">
                  <c:v>173780</c:v>
                </c:pt>
                <c:pt idx="582">
                  <c:v>190550</c:v>
                </c:pt>
                <c:pt idx="583">
                  <c:v>208930</c:v>
                </c:pt>
                <c:pt idx="584">
                  <c:v>229090</c:v>
                </c:pt>
                <c:pt idx="585">
                  <c:v>251190</c:v>
                </c:pt>
                <c:pt idx="586">
                  <c:v>275420</c:v>
                </c:pt>
                <c:pt idx="587">
                  <c:v>302000</c:v>
                </c:pt>
                <c:pt idx="588">
                  <c:v>331130</c:v>
                </c:pt>
                <c:pt idx="589">
                  <c:v>363080</c:v>
                </c:pt>
                <c:pt idx="590">
                  <c:v>398110</c:v>
                </c:pt>
                <c:pt idx="591">
                  <c:v>436520</c:v>
                </c:pt>
                <c:pt idx="592">
                  <c:v>478630</c:v>
                </c:pt>
                <c:pt idx="593">
                  <c:v>524810</c:v>
                </c:pt>
                <c:pt idx="594">
                  <c:v>575440</c:v>
                </c:pt>
                <c:pt idx="595">
                  <c:v>630960</c:v>
                </c:pt>
                <c:pt idx="596">
                  <c:v>691830</c:v>
                </c:pt>
                <c:pt idx="597">
                  <c:v>758580</c:v>
                </c:pt>
                <c:pt idx="598">
                  <c:v>831760</c:v>
                </c:pt>
                <c:pt idx="599">
                  <c:v>912010</c:v>
                </c:pt>
                <c:pt idx="600">
                  <c:v>1000000</c:v>
                </c:pt>
              </c:numCache>
            </c:numRef>
          </c:xVal>
          <c:yVal>
            <c:numRef>
              <c:f>'Stability Calculations'!$V$13:$V$613</c:f>
              <c:numCache>
                <c:formatCode>0.00</c:formatCode>
                <c:ptCount val="601"/>
                <c:pt idx="0">
                  <c:v>-53.026060695921707</c:v>
                </c:pt>
                <c:pt idx="1">
                  <c:v>-55.529774491644581</c:v>
                </c:pt>
                <c:pt idx="2">
                  <c:v>-57.952289332892363</c:v>
                </c:pt>
                <c:pt idx="3">
                  <c:v>-60.279739120462388</c:v>
                </c:pt>
                <c:pt idx="4">
                  <c:v>-62.499906784484608</c:v>
                </c:pt>
                <c:pt idx="5">
                  <c:v>-64.608691050088922</c:v>
                </c:pt>
                <c:pt idx="6">
                  <c:v>-66.59815220651042</c:v>
                </c:pt>
                <c:pt idx="7">
                  <c:v>-68.46739121446889</c:v>
                </c:pt>
                <c:pt idx="8">
                  <c:v>-70.215092160718285</c:v>
                </c:pt>
                <c:pt idx="9">
                  <c:v>-71.844470081680072</c:v>
                </c:pt>
                <c:pt idx="10">
                  <c:v>-73.357907879218061</c:v>
                </c:pt>
                <c:pt idx="11">
                  <c:v>-74.760115537398548</c:v>
                </c:pt>
                <c:pt idx="12">
                  <c:v>-76.056999623128021</c:v>
                </c:pt>
                <c:pt idx="13">
                  <c:v>-77.253056664059059</c:v>
                </c:pt>
                <c:pt idx="14">
                  <c:v>-78.355295731007985</c:v>
                </c:pt>
                <c:pt idx="15">
                  <c:v>-79.369395402365811</c:v>
                </c:pt>
                <c:pt idx="16">
                  <c:v>-80.301554588587308</c:v>
                </c:pt>
                <c:pt idx="17">
                  <c:v>-81.157633638740393</c:v>
                </c:pt>
                <c:pt idx="18">
                  <c:v>-81.943654880014435</c:v>
                </c:pt>
                <c:pt idx="19">
                  <c:v>-82.664926718390873</c:v>
                </c:pt>
                <c:pt idx="20">
                  <c:v>-83.326838300629447</c:v>
                </c:pt>
                <c:pt idx="21">
                  <c:v>-83.934200867068313</c:v>
                </c:pt>
                <c:pt idx="22">
                  <c:v>-84.491786014914922</c:v>
                </c:pt>
                <c:pt idx="23">
                  <c:v>-85.003797634640605</c:v>
                </c:pt>
                <c:pt idx="24">
                  <c:v>-85.474414526927404</c:v>
                </c:pt>
                <c:pt idx="25">
                  <c:v>-85.907325128661554</c:v>
                </c:pt>
                <c:pt idx="26">
                  <c:v>-86.30612324345843</c:v>
                </c:pt>
                <c:pt idx="27">
                  <c:v>-86.673930917681673</c:v>
                </c:pt>
                <c:pt idx="28">
                  <c:v>-87.013793093452122</c:v>
                </c:pt>
                <c:pt idx="29">
                  <c:v>-87.328335871053</c:v>
                </c:pt>
                <c:pt idx="30">
                  <c:v>-87.62069332302039</c:v>
                </c:pt>
                <c:pt idx="31">
                  <c:v>-87.89287294968446</c:v>
                </c:pt>
                <c:pt idx="32">
                  <c:v>-88.147340578674232</c:v>
                </c:pt>
                <c:pt idx="33">
                  <c:v>-88.38605196535147</c:v>
                </c:pt>
                <c:pt idx="34">
                  <c:v>-88.611200231440179</c:v>
                </c:pt>
                <c:pt idx="35">
                  <c:v>-88.824551222117961</c:v>
                </c:pt>
                <c:pt idx="36">
                  <c:v>-89.02794087467413</c:v>
                </c:pt>
                <c:pt idx="37">
                  <c:v>-89.223189991422458</c:v>
                </c:pt>
                <c:pt idx="38">
                  <c:v>-89.411760818593791</c:v>
                </c:pt>
                <c:pt idx="39">
                  <c:v>-89.595400425871603</c:v>
                </c:pt>
                <c:pt idx="40">
                  <c:v>-89.775588872571603</c:v>
                </c:pt>
                <c:pt idx="41">
                  <c:v>-89.953864055732041</c:v>
                </c:pt>
                <c:pt idx="42">
                  <c:v>-90.131706552245078</c:v>
                </c:pt>
                <c:pt idx="43">
                  <c:v>-90.310668999267477</c:v>
                </c:pt>
                <c:pt idx="44">
                  <c:v>-90.49221147621229</c:v>
                </c:pt>
                <c:pt idx="45">
                  <c:v>-90.67789761789372</c:v>
                </c:pt>
                <c:pt idx="46">
                  <c:v>-90.869247800484246</c:v>
                </c:pt>
                <c:pt idx="47">
                  <c:v>-91.067904369349961</c:v>
                </c:pt>
                <c:pt idx="48">
                  <c:v>-91.275473690123263</c:v>
                </c:pt>
                <c:pt idx="49">
                  <c:v>-91.493730819448388</c:v>
                </c:pt>
                <c:pt idx="50">
                  <c:v>-91.724443755666854</c:v>
                </c:pt>
                <c:pt idx="51">
                  <c:v>-91.969559745950519</c:v>
                </c:pt>
                <c:pt idx="52">
                  <c:v>-92.230992913233081</c:v>
                </c:pt>
                <c:pt idx="53">
                  <c:v>-92.510848786873481</c:v>
                </c:pt>
                <c:pt idx="54">
                  <c:v>-92.811148078798624</c:v>
                </c:pt>
                <c:pt idx="55">
                  <c:v>-93.134752398626773</c:v>
                </c:pt>
                <c:pt idx="56">
                  <c:v>-93.483704757443448</c:v>
                </c:pt>
                <c:pt idx="57">
                  <c:v>-93.860844789755461</c:v>
                </c:pt>
                <c:pt idx="58">
                  <c:v>-94.268630944521206</c:v>
                </c:pt>
                <c:pt idx="59">
                  <c:v>-94.710225794139191</c:v>
                </c:pt>
                <c:pt idx="60">
                  <c:v>-95.188337397935257</c:v>
                </c:pt>
                <c:pt idx="61">
                  <c:v>-95.706042217730001</c:v>
                </c:pt>
                <c:pt idx="62">
                  <c:v>-96.266689333326738</c:v>
                </c:pt>
                <c:pt idx="63">
                  <c:v>-96.872751407497816</c:v>
                </c:pt>
                <c:pt idx="64">
                  <c:v>-97.5275915927254</c:v>
                </c:pt>
                <c:pt idx="65">
                  <c:v>-98.233632348733209</c:v>
                </c:pt>
                <c:pt idx="66">
                  <c:v>-98.993202974459564</c:v>
                </c:pt>
                <c:pt idx="67">
                  <c:v>-99.807899581698919</c:v>
                </c:pt>
                <c:pt idx="68">
                  <c:v>-100.6788883014606</c:v>
                </c:pt>
                <c:pt idx="69">
                  <c:v>-101.6058127141884</c:v>
                </c:pt>
                <c:pt idx="70">
                  <c:v>-102.58736829649624</c:v>
                </c:pt>
                <c:pt idx="71">
                  <c:v>-103.62016533333977</c:v>
                </c:pt>
                <c:pt idx="72">
                  <c:v>-104.69918043781728</c:v>
                </c:pt>
                <c:pt idx="73">
                  <c:v>-105.81650374472225</c:v>
                </c:pt>
                <c:pt idx="74">
                  <c:v>-106.96208445063151</c:v>
                </c:pt>
                <c:pt idx="75">
                  <c:v>-108.12252582673536</c:v>
                </c:pt>
                <c:pt idx="76">
                  <c:v>-109.28193899220845</c:v>
                </c:pt>
                <c:pt idx="77">
                  <c:v>-110.42101973842639</c:v>
                </c:pt>
                <c:pt idx="78">
                  <c:v>-111.51852744009484</c:v>
                </c:pt>
                <c:pt idx="79">
                  <c:v>-112.55089823893454</c:v>
                </c:pt>
                <c:pt idx="80">
                  <c:v>-113.49617290008919</c:v>
                </c:pt>
                <c:pt idx="81">
                  <c:v>-114.32973241886074</c:v>
                </c:pt>
                <c:pt idx="82">
                  <c:v>-115.0306899825796</c:v>
                </c:pt>
                <c:pt idx="83">
                  <c:v>-115.58020175222094</c:v>
                </c:pt>
                <c:pt idx="84">
                  <c:v>-115.96463417307218</c:v>
                </c:pt>
                <c:pt idx="85">
                  <c:v>-116.17495937986752</c:v>
                </c:pt>
                <c:pt idx="86">
                  <c:v>-116.20845505280855</c:v>
                </c:pt>
                <c:pt idx="87">
                  <c:v>-116.06841695832418</c:v>
                </c:pt>
                <c:pt idx="88">
                  <c:v>-115.76441361797916</c:v>
                </c:pt>
                <c:pt idx="89">
                  <c:v>-115.31115557356186</c:v>
                </c:pt>
                <c:pt idx="90">
                  <c:v>-114.72823423354059</c:v>
                </c:pt>
                <c:pt idx="91">
                  <c:v>-114.03848147325017</c:v>
                </c:pt>
                <c:pt idx="92">
                  <c:v>-113.26697266088149</c:v>
                </c:pt>
                <c:pt idx="93">
                  <c:v>-112.4392386215109</c:v>
                </c:pt>
                <c:pt idx="94">
                  <c:v>-112.22662286214003</c:v>
                </c:pt>
                <c:pt idx="95">
                  <c:v>-112.11905559250226</c:v>
                </c:pt>
                <c:pt idx="96">
                  <c:v>-112.01238746097076</c:v>
                </c:pt>
                <c:pt idx="97">
                  <c:v>-111.90420754297972</c:v>
                </c:pt>
                <c:pt idx="98">
                  <c:v>-111.79702723169184</c:v>
                </c:pt>
                <c:pt idx="99">
                  <c:v>-111.68839580963304</c:v>
                </c:pt>
                <c:pt idx="100">
                  <c:v>-111.58086096398767</c:v>
                </c:pt>
                <c:pt idx="101">
                  <c:v>-111.47201955550265</c:v>
                </c:pt>
                <c:pt idx="102">
                  <c:v>-111.36436637315281</c:v>
                </c:pt>
                <c:pt idx="103">
                  <c:v>-111.25539073366697</c:v>
                </c:pt>
                <c:pt idx="104">
                  <c:v>-111.14769306791966</c:v>
                </c:pt>
                <c:pt idx="105">
                  <c:v>-111.03881952883255</c:v>
                </c:pt>
                <c:pt idx="106">
                  <c:v>-110.93130814132745</c:v>
                </c:pt>
                <c:pt idx="107">
                  <c:v>-110.82276422774061</c:v>
                </c:pt>
                <c:pt idx="108">
                  <c:v>-110.71566080156205</c:v>
                </c:pt>
                <c:pt idx="109">
                  <c:v>-110.60759130578153</c:v>
                </c:pt>
                <c:pt idx="110">
                  <c:v>-110.50103666089983</c:v>
                </c:pt>
                <c:pt idx="111">
                  <c:v>-110.3935133924894</c:v>
                </c:pt>
                <c:pt idx="112">
                  <c:v>-110.28757748192686</c:v>
                </c:pt>
                <c:pt idx="113">
                  <c:v>-110.18081630167393</c:v>
                </c:pt>
                <c:pt idx="114">
                  <c:v>-110.07570894257013</c:v>
                </c:pt>
                <c:pt idx="115">
                  <c:v>-109.96984823649856</c:v>
                </c:pt>
                <c:pt idx="116">
                  <c:v>-109.86570383335524</c:v>
                </c:pt>
                <c:pt idx="117">
                  <c:v>-109.76087944010615</c:v>
                </c:pt>
                <c:pt idx="118">
                  <c:v>-109.65782985016605</c:v>
                </c:pt>
                <c:pt idx="119">
                  <c:v>-109.55423712724841</c:v>
                </c:pt>
                <c:pt idx="120">
                  <c:v>-109.45247152215228</c:v>
                </c:pt>
                <c:pt idx="121">
                  <c:v>-109.35023392944879</c:v>
                </c:pt>
                <c:pt idx="122">
                  <c:v>-109.24987180659214</c:v>
                </c:pt>
                <c:pt idx="123">
                  <c:v>-109.14905179855356</c:v>
                </c:pt>
                <c:pt idx="124">
                  <c:v>-109.05015390118444</c:v>
                </c:pt>
                <c:pt idx="125">
                  <c:v>-108.95093070246362</c:v>
                </c:pt>
                <c:pt idx="126">
                  <c:v>-108.85367012749522</c:v>
                </c:pt>
                <c:pt idx="127">
                  <c:v>-108.75615718671209</c:v>
                </c:pt>
                <c:pt idx="128">
                  <c:v>-108.66064353915354</c:v>
                </c:pt>
                <c:pt idx="129">
                  <c:v>-108.56495067473533</c:v>
                </c:pt>
                <c:pt idx="130">
                  <c:v>-108.47128998338485</c:v>
                </c:pt>
                <c:pt idx="131">
                  <c:v>-108.37752325657861</c:v>
                </c:pt>
                <c:pt idx="132">
                  <c:v>-108.33141499715346</c:v>
                </c:pt>
                <c:pt idx="133">
                  <c:v>-108.28581785324687</c:v>
                </c:pt>
                <c:pt idx="134">
                  <c:v>-108.23966186432524</c:v>
                </c:pt>
                <c:pt idx="135">
                  <c:v>-108.19403263342143</c:v>
                </c:pt>
                <c:pt idx="136">
                  <c:v>-108.14892563813855</c:v>
                </c:pt>
                <c:pt idx="137">
                  <c:v>-108.10433636152035</c:v>
                </c:pt>
                <c:pt idx="138">
                  <c:v>-108.05926552214331</c:v>
                </c:pt>
                <c:pt idx="139">
                  <c:v>-108.01472664729933</c:v>
                </c:pt>
                <c:pt idx="140">
                  <c:v>-107.97071493672124</c:v>
                </c:pt>
                <c:pt idx="141">
                  <c:v>-107.9272256048918</c:v>
                </c:pt>
                <c:pt idx="142">
                  <c:v>-107.88324112015113</c:v>
                </c:pt>
                <c:pt idx="143">
                  <c:v>-107.8397939887587</c:v>
                </c:pt>
                <c:pt idx="144">
                  <c:v>-107.79687913650146</c:v>
                </c:pt>
                <c:pt idx="145">
                  <c:v>-107.75449151293317</c:v>
                </c:pt>
                <c:pt idx="146">
                  <c:v>-107.7116624656458</c:v>
                </c:pt>
                <c:pt idx="147">
                  <c:v>-107.66937474172276</c:v>
                </c:pt>
                <c:pt idx="148">
                  <c:v>-107.62762301879818</c:v>
                </c:pt>
                <c:pt idx="149">
                  <c:v>-107.58640200689322</c:v>
                </c:pt>
                <c:pt idx="150">
                  <c:v>-107.5447716853479</c:v>
                </c:pt>
                <c:pt idx="151">
                  <c:v>-107.50368580653655</c:v>
                </c:pt>
                <c:pt idx="152">
                  <c:v>-107.4631388184073</c:v>
                </c:pt>
                <c:pt idx="153">
                  <c:v>-107.42312520953179</c:v>
                </c:pt>
                <c:pt idx="154">
                  <c:v>-107.38271631314898</c:v>
                </c:pt>
                <c:pt idx="155">
                  <c:v>-107.34285465446658</c:v>
                </c:pt>
                <c:pt idx="156">
                  <c:v>-107.30353446218628</c:v>
                </c:pt>
                <c:pt idx="157">
                  <c:v>-107.26475001356314</c:v>
                </c:pt>
                <c:pt idx="158">
                  <c:v>-107.22560454104637</c:v>
                </c:pt>
                <c:pt idx="159">
                  <c:v>-107.1870082726592</c:v>
                </c:pt>
                <c:pt idx="160">
                  <c:v>-107.14895523600158</c:v>
                </c:pt>
                <c:pt idx="161">
                  <c:v>-107.11143951477283</c:v>
                </c:pt>
                <c:pt idx="162">
                  <c:v>-107.07361370450766</c:v>
                </c:pt>
                <c:pt idx="163">
                  <c:v>-107.03633778257219</c:v>
                </c:pt>
                <c:pt idx="164">
                  <c:v>-106.99960560157675</c:v>
                </c:pt>
                <c:pt idx="165">
                  <c:v>-106.96341107726674</c:v>
                </c:pt>
                <c:pt idx="166">
                  <c:v>-106.92690846441751</c:v>
                </c:pt>
                <c:pt idx="167">
                  <c:v>-106.89095662323425</c:v>
                </c:pt>
                <c:pt idx="168">
                  <c:v>-106.85554923296171</c:v>
                </c:pt>
                <c:pt idx="169">
                  <c:v>-106.82068004282874</c:v>
                </c:pt>
                <c:pt idx="170">
                  <c:v>-106.78561180848943</c:v>
                </c:pt>
                <c:pt idx="171">
                  <c:v>-106.75109216022025</c:v>
                </c:pt>
                <c:pt idx="172">
                  <c:v>-106.71711466201884</c:v>
                </c:pt>
                <c:pt idx="173">
                  <c:v>-106.68367295367686</c:v>
                </c:pt>
                <c:pt idx="174">
                  <c:v>-106.64993781950066</c:v>
                </c:pt>
                <c:pt idx="175">
                  <c:v>-106.61675253519989</c:v>
                </c:pt>
                <c:pt idx="176">
                  <c:v>-106.58411049360643</c:v>
                </c:pt>
                <c:pt idx="177">
                  <c:v>-106.55200516988786</c:v>
                </c:pt>
                <c:pt idx="178">
                  <c:v>-106.51966031129278</c:v>
                </c:pt>
                <c:pt idx="179">
                  <c:v>-106.48786528621191</c:v>
                </c:pt>
                <c:pt idx="180">
                  <c:v>-106.45661334219118</c:v>
                </c:pt>
                <c:pt idx="181">
                  <c:v>-106.42589781514653</c:v>
                </c:pt>
                <c:pt idx="182">
                  <c:v>-106.39511377459611</c:v>
                </c:pt>
                <c:pt idx="183">
                  <c:v>-106.3648740947163</c:v>
                </c:pt>
                <c:pt idx="184">
                  <c:v>-106.33517198302424</c:v>
                </c:pt>
                <c:pt idx="185">
                  <c:v>-106.30600073944646</c:v>
                </c:pt>
                <c:pt idx="186">
                  <c:v>-106.27657469855033</c:v>
                </c:pt>
                <c:pt idx="187">
                  <c:v>-106.24769502732929</c:v>
                </c:pt>
                <c:pt idx="188">
                  <c:v>-106.21935475741444</c:v>
                </c:pt>
                <c:pt idx="189">
                  <c:v>-106.19154701923762</c:v>
                </c:pt>
                <c:pt idx="190">
                  <c:v>-106.16374946117013</c:v>
                </c:pt>
                <c:pt idx="191">
                  <c:v>-106.13649085806468</c:v>
                </c:pt>
                <c:pt idx="192">
                  <c:v>-106.10976424894348</c:v>
                </c:pt>
                <c:pt idx="193">
                  <c:v>-106.08356277445355</c:v>
                </c:pt>
                <c:pt idx="194">
                  <c:v>-106.05721324852937</c:v>
                </c:pt>
                <c:pt idx="195">
                  <c:v>-106.03140243951762</c:v>
                </c:pt>
                <c:pt idx="196">
                  <c:v>-106.00612325959682</c:v>
                </c:pt>
                <c:pt idx="197">
                  <c:v>-105.98136872787506</c:v>
                </c:pt>
                <c:pt idx="198">
                  <c:v>-105.95660697889996</c:v>
                </c:pt>
                <c:pt idx="199">
                  <c:v>-105.93237870263629</c:v>
                </c:pt>
                <c:pt idx="200">
                  <c:v>-105.9086767859249</c:v>
                </c:pt>
                <c:pt idx="201">
                  <c:v>-105.88549422572051</c:v>
                </c:pt>
                <c:pt idx="202">
                  <c:v>-105.86234389771616</c:v>
                </c:pt>
                <c:pt idx="203">
                  <c:v>-105.83972099775085</c:v>
                </c:pt>
                <c:pt idx="204">
                  <c:v>-105.81761840806598</c:v>
                </c:pt>
                <c:pt idx="205">
                  <c:v>-105.79602912363363</c:v>
                </c:pt>
                <c:pt idx="206">
                  <c:v>-105.774436527399</c:v>
                </c:pt>
                <c:pt idx="207">
                  <c:v>-105.75336814160043</c:v>
                </c:pt>
                <c:pt idx="208">
                  <c:v>-105.73281679061171</c:v>
                </c:pt>
                <c:pt idx="209">
                  <c:v>-105.71277541517269</c:v>
                </c:pt>
                <c:pt idx="210">
                  <c:v>-105.6927105901033</c:v>
                </c:pt>
                <c:pt idx="211">
                  <c:v>-105.67316923484094</c:v>
                </c:pt>
                <c:pt idx="212">
                  <c:v>-105.65414406682252</c:v>
                </c:pt>
                <c:pt idx="213">
                  <c:v>-105.63562792451198</c:v>
                </c:pt>
                <c:pt idx="214">
                  <c:v>-105.61725973434723</c:v>
                </c:pt>
                <c:pt idx="215">
                  <c:v>-105.599406392708</c:v>
                </c:pt>
                <c:pt idx="216">
                  <c:v>-105.5820606767123</c:v>
                </c:pt>
                <c:pt idx="217">
                  <c:v>-105.56521548540766</c:v>
                </c:pt>
                <c:pt idx="218">
                  <c:v>-105.54849669951767</c:v>
                </c:pt>
                <c:pt idx="219">
                  <c:v>-105.53228687847465</c:v>
                </c:pt>
                <c:pt idx="220">
                  <c:v>-105.51657880598387</c:v>
                </c:pt>
                <c:pt idx="221">
                  <c:v>-105.50136538965293</c:v>
                </c:pt>
                <c:pt idx="222">
                  <c:v>-105.48631688236576</c:v>
                </c:pt>
                <c:pt idx="223">
                  <c:v>-105.47177072858351</c:v>
                </c:pt>
                <c:pt idx="224">
                  <c:v>-105.45771973749423</c:v>
                </c:pt>
                <c:pt idx="225">
                  <c:v>-105.44415684363457</c:v>
                </c:pt>
                <c:pt idx="226">
                  <c:v>-105.43075516588722</c:v>
                </c:pt>
                <c:pt idx="227">
                  <c:v>-105.41785158176242</c:v>
                </c:pt>
                <c:pt idx="228">
                  <c:v>-105.40543887841629</c:v>
                </c:pt>
                <c:pt idx="229">
                  <c:v>-105.39350997082845</c:v>
                </c:pt>
                <c:pt idx="230">
                  <c:v>-105.37055361115648</c:v>
                </c:pt>
                <c:pt idx="231">
                  <c:v>-105.35980766009008</c:v>
                </c:pt>
                <c:pt idx="232">
                  <c:v>-105.34954037277937</c:v>
                </c:pt>
                <c:pt idx="233">
                  <c:v>-105.3395179317199</c:v>
                </c:pt>
                <c:pt idx="234">
                  <c:v>-105.32998253014237</c:v>
                </c:pt>
                <c:pt idx="235">
                  <c:v>-105.32092697280596</c:v>
                </c:pt>
                <c:pt idx="236">
                  <c:v>-105.31234419561282</c:v>
                </c:pt>
                <c:pt idx="237">
                  <c:v>-105.30406734565702</c:v>
                </c:pt>
                <c:pt idx="238">
                  <c:v>-105.29626820462046</c:v>
                </c:pt>
                <c:pt idx="239">
                  <c:v>-105.28893967427977</c:v>
                </c:pt>
                <c:pt idx="240">
                  <c:v>-105.28207478696167</c:v>
                </c:pt>
                <c:pt idx="241">
                  <c:v>-105.27550878913567</c:v>
                </c:pt>
                <c:pt idx="242">
                  <c:v>-105.26941601143872</c:v>
                </c:pt>
                <c:pt idx="243">
                  <c:v>-105.2637893477974</c:v>
                </c:pt>
                <c:pt idx="244">
                  <c:v>-105.25862182458826</c:v>
                </c:pt>
                <c:pt idx="245">
                  <c:v>-105.25380717635484</c:v>
                </c:pt>
                <c:pt idx="246">
                  <c:v>-105.24945792118909</c:v>
                </c:pt>
                <c:pt idx="247">
                  <c:v>-105.24556702213167</c:v>
                </c:pt>
                <c:pt idx="248">
                  <c:v>-105.24212757460933</c:v>
                </c:pt>
                <c:pt idx="249">
                  <c:v>-105.23906525917808</c:v>
                </c:pt>
                <c:pt idx="250">
                  <c:v>-105.23646243154009</c:v>
                </c:pt>
                <c:pt idx="251">
                  <c:v>-105.23431208276908</c:v>
                </c:pt>
                <c:pt idx="252">
                  <c:v>-105.23260733722432</c:v>
                </c:pt>
                <c:pt idx="253">
                  <c:v>-105.23131935218414</c:v>
                </c:pt>
                <c:pt idx="254">
                  <c:v>-105.23048195242302</c:v>
                </c:pt>
                <c:pt idx="255">
                  <c:v>-105.23008822768195</c:v>
                </c:pt>
                <c:pt idx="256">
                  <c:v>-105.23013140003546</c:v>
                </c:pt>
                <c:pt idx="257">
                  <c:v>-105.2306227444391</c:v>
                </c:pt>
                <c:pt idx="258">
                  <c:v>-105.23155987879974</c:v>
                </c:pt>
                <c:pt idx="259">
                  <c:v>-105.23293589936446</c:v>
                </c:pt>
                <c:pt idx="260">
                  <c:v>-105.23474403605253</c:v>
                </c:pt>
                <c:pt idx="261">
                  <c:v>-105.23703330690745</c:v>
                </c:pt>
                <c:pt idx="262">
                  <c:v>-105.23976065003777</c:v>
                </c:pt>
                <c:pt idx="263">
                  <c:v>-105.242919237302</c:v>
                </c:pt>
                <c:pt idx="264">
                  <c:v>-105.24650237374493</c:v>
                </c:pt>
                <c:pt idx="265">
                  <c:v>-105.25059710625382</c:v>
                </c:pt>
                <c:pt idx="266">
                  <c:v>-105.25512173197301</c:v>
                </c:pt>
                <c:pt idx="267">
                  <c:v>-105.26006951129304</c:v>
                </c:pt>
                <c:pt idx="268">
                  <c:v>-105.265433836906</c:v>
                </c:pt>
                <c:pt idx="269">
                  <c:v>-105.27135272769004</c:v>
                </c:pt>
                <c:pt idx="270">
                  <c:v>-105.27769491468007</c:v>
                </c:pt>
                <c:pt idx="271">
                  <c:v>-105.28445371155509</c:v>
                </c:pt>
                <c:pt idx="272">
                  <c:v>-105.29162256427455</c:v>
                </c:pt>
                <c:pt idx="273">
                  <c:v>-105.2993784647804</c:v>
                </c:pt>
                <c:pt idx="274">
                  <c:v>-105.30755050695687</c:v>
                </c:pt>
                <c:pt idx="275">
                  <c:v>-105.31613207236254</c:v>
                </c:pt>
                <c:pt idx="276">
                  <c:v>-105.32511667438364</c:v>
                </c:pt>
                <c:pt idx="277">
                  <c:v>-105.33469665143731</c:v>
                </c:pt>
                <c:pt idx="278">
                  <c:v>-105.34468330349658</c:v>
                </c:pt>
                <c:pt idx="279">
                  <c:v>-105.35507013677504</c:v>
                </c:pt>
                <c:pt idx="280">
                  <c:v>-105.36585078729949</c:v>
                </c:pt>
                <c:pt idx="281">
                  <c:v>-105.37732687705098</c:v>
                </c:pt>
                <c:pt idx="282">
                  <c:v>-105.38920520702176</c:v>
                </c:pt>
                <c:pt idx="283">
                  <c:v>-105.40147928913396</c:v>
                </c:pt>
                <c:pt idx="284">
                  <c:v>-105.41414276622737</c:v>
                </c:pt>
                <c:pt idx="285">
                  <c:v>-105.42745129717089</c:v>
                </c:pt>
                <c:pt idx="286">
                  <c:v>-105.44115182917434</c:v>
                </c:pt>
                <c:pt idx="287">
                  <c:v>-105.45523802065212</c:v>
                </c:pt>
                <c:pt idx="288">
                  <c:v>-105.46970365822425</c:v>
                </c:pt>
                <c:pt idx="289">
                  <c:v>-105.48493131974642</c:v>
                </c:pt>
                <c:pt idx="290">
                  <c:v>-105.50054546130318</c:v>
                </c:pt>
                <c:pt idx="291">
                  <c:v>-105.51653977501778</c:v>
                </c:pt>
                <c:pt idx="292">
                  <c:v>-105.53290808149089</c:v>
                </c:pt>
                <c:pt idx="293">
                  <c:v>-105.55003539069969</c:v>
                </c:pt>
                <c:pt idx="294">
                  <c:v>-105.56754148987429</c:v>
                </c:pt>
                <c:pt idx="295">
                  <c:v>-105.5854201582994</c:v>
                </c:pt>
                <c:pt idx="296">
                  <c:v>-105.60366530252448</c:v>
                </c:pt>
                <c:pt idx="297">
                  <c:v>-105.62269532165406</c:v>
                </c:pt>
                <c:pt idx="298">
                  <c:v>-105.64209606510316</c:v>
                </c:pt>
                <c:pt idx="299">
                  <c:v>-105.66186140960494</c:v>
                </c:pt>
                <c:pt idx="300">
                  <c:v>-105.68198535761704</c:v>
                </c:pt>
                <c:pt idx="301">
                  <c:v>-105.7029182678705</c:v>
                </c:pt>
                <c:pt idx="302">
                  <c:v>-105.72421351764642</c:v>
                </c:pt>
                <c:pt idx="303">
                  <c:v>-105.74586509009235</c:v>
                </c:pt>
                <c:pt idx="304">
                  <c:v>-105.76786709224683</c:v>
                </c:pt>
                <c:pt idx="305">
                  <c:v>-105.79078895523736</c:v>
                </c:pt>
                <c:pt idx="306">
                  <c:v>-105.8140672091093</c:v>
                </c:pt>
                <c:pt idx="307">
                  <c:v>-105.83769588347413</c:v>
                </c:pt>
                <c:pt idx="308">
                  <c:v>-105.86166913160204</c:v>
                </c:pt>
                <c:pt idx="309">
                  <c:v>-105.88649715574651</c:v>
                </c:pt>
                <c:pt idx="310">
                  <c:v>-105.91167248971512</c:v>
                </c:pt>
                <c:pt idx="311">
                  <c:v>-105.93718928835044</c:v>
                </c:pt>
                <c:pt idx="312">
                  <c:v>-105.96304182771433</c:v>
                </c:pt>
                <c:pt idx="313">
                  <c:v>-105.98986718152189</c:v>
                </c:pt>
                <c:pt idx="314">
                  <c:v>-106.01703307043732</c:v>
                </c:pt>
                <c:pt idx="315">
                  <c:v>-106.0445337171189</c:v>
                </c:pt>
                <c:pt idx="316">
                  <c:v>-106.07236346454451</c:v>
                </c:pt>
                <c:pt idx="317">
                  <c:v>-106.1011909885847</c:v>
                </c:pt>
                <c:pt idx="318">
                  <c:v>-106.13035184418462</c:v>
                </c:pt>
                <c:pt idx="319">
                  <c:v>-106.15984033262887</c:v>
                </c:pt>
                <c:pt idx="320">
                  <c:v>-106.18965087428634</c:v>
                </c:pt>
                <c:pt idx="321">
                  <c:v>-106.22048236023123</c:v>
                </c:pt>
                <c:pt idx="322">
                  <c:v>-106.25163960130173</c:v>
                </c:pt>
                <c:pt idx="323">
                  <c:v>-106.28311698692957</c:v>
                </c:pt>
                <c:pt idx="324">
                  <c:v>-106.31490902409246</c:v>
                </c:pt>
                <c:pt idx="325">
                  <c:v>-106.34774346235963</c:v>
                </c:pt>
                <c:pt idx="326">
                  <c:v>-106.380895758717</c:v>
                </c:pt>
                <c:pt idx="327">
                  <c:v>-106.41436039902156</c:v>
                </c:pt>
                <c:pt idx="328">
                  <c:v>-106.4481319848682</c:v>
                </c:pt>
                <c:pt idx="329">
                  <c:v>-106.48302431167228</c:v>
                </c:pt>
                <c:pt idx="330">
                  <c:v>-106.51822735494393</c:v>
                </c:pt>
                <c:pt idx="331">
                  <c:v>-106.55373567715884</c:v>
                </c:pt>
                <c:pt idx="332">
                  <c:v>-106.58954395523757</c:v>
                </c:pt>
                <c:pt idx="333">
                  <c:v>-106.62643374508933</c:v>
                </c:pt>
                <c:pt idx="334">
                  <c:v>-106.66362577064343</c:v>
                </c:pt>
                <c:pt idx="335">
                  <c:v>-106.70111470571689</c:v>
                </c:pt>
                <c:pt idx="336">
                  <c:v>-106.73889533627006</c:v>
                </c:pt>
                <c:pt idx="337">
                  <c:v>-106.77789913325513</c:v>
                </c:pt>
                <c:pt idx="338">
                  <c:v>-106.81719836835953</c:v>
                </c:pt>
                <c:pt idx="339">
                  <c:v>-106.8567877819398</c:v>
                </c:pt>
                <c:pt idx="340">
                  <c:v>-106.89666222541241</c:v>
                </c:pt>
                <c:pt idx="341">
                  <c:v>-106.9377806789925</c:v>
                </c:pt>
                <c:pt idx="342">
                  <c:v>-106.9791873827857</c:v>
                </c:pt>
                <c:pt idx="343">
                  <c:v>-107.02087715291188</c:v>
                </c:pt>
                <c:pt idx="344">
                  <c:v>-107.06284491517553</c:v>
                </c:pt>
                <c:pt idx="345">
                  <c:v>-107.10600984594608</c:v>
                </c:pt>
                <c:pt idx="346">
                  <c:v>-107.14945465190431</c:v>
                </c:pt>
                <c:pt idx="347">
                  <c:v>-107.19317425598437</c:v>
                </c:pt>
                <c:pt idx="348">
                  <c:v>-107.23716368852239</c:v>
                </c:pt>
                <c:pt idx="349">
                  <c:v>-107.28250072963864</c:v>
                </c:pt>
                <c:pt idx="350">
                  <c:v>-107.32811069812439</c:v>
                </c:pt>
                <c:pt idx="351">
                  <c:v>-107.37398858399968</c:v>
                </c:pt>
                <c:pt idx="352">
                  <c:v>-107.42012948348702</c:v>
                </c:pt>
                <c:pt idx="353">
                  <c:v>-107.46763644528771</c:v>
                </c:pt>
                <c:pt idx="354">
                  <c:v>-107.51540902073994</c:v>
                </c:pt>
                <c:pt idx="355">
                  <c:v>-107.56344227522257</c:v>
                </c:pt>
                <c:pt idx="356">
                  <c:v>-107.61173137885282</c:v>
                </c:pt>
                <c:pt idx="357">
                  <c:v>-107.66133265575587</c:v>
                </c:pt>
                <c:pt idx="358">
                  <c:v>-107.71119118672244</c:v>
                </c:pt>
                <c:pt idx="359">
                  <c:v>-107.76130214008158</c:v>
                </c:pt>
                <c:pt idx="360">
                  <c:v>-107.81166078662639</c:v>
                </c:pt>
                <c:pt idx="361">
                  <c:v>-107.86348912322528</c:v>
                </c:pt>
                <c:pt idx="362">
                  <c:v>-107.91556755368433</c:v>
                </c:pt>
                <c:pt idx="363">
                  <c:v>-107.96789131397261</c:v>
                </c:pt>
                <c:pt idx="364">
                  <c:v>-108.02045574121318</c:v>
                </c:pt>
                <c:pt idx="365">
                  <c:v>-108.07443226335533</c:v>
                </c:pt>
                <c:pt idx="366">
                  <c:v>-108.12865072637713</c:v>
                </c:pt>
                <c:pt idx="367">
                  <c:v>-108.18310646003076</c:v>
                </c:pt>
                <c:pt idx="368">
                  <c:v>-108.23779489314452</c:v>
                </c:pt>
                <c:pt idx="369">
                  <c:v>-108.29405744322811</c:v>
                </c:pt>
                <c:pt idx="370">
                  <c:v>-108.35055480907079</c:v>
                </c:pt>
                <c:pt idx="371">
                  <c:v>-108.40728238222231</c:v>
                </c:pt>
                <c:pt idx="372">
                  <c:v>-108.46423565210323</c:v>
                </c:pt>
                <c:pt idx="373">
                  <c:v>-108.5227018018021</c:v>
                </c:pt>
                <c:pt idx="374">
                  <c:v>-108.58139470339285</c:v>
                </c:pt>
                <c:pt idx="375">
                  <c:v>-108.64030983491338</c:v>
                </c:pt>
                <c:pt idx="376">
                  <c:v>-108.69944277034223</c:v>
                </c:pt>
                <c:pt idx="377">
                  <c:v>-108.7602543283471</c:v>
                </c:pt>
                <c:pt idx="378">
                  <c:v>-108.82128544692159</c:v>
                </c:pt>
                <c:pt idx="379">
                  <c:v>-108.88253166150713</c:v>
                </c:pt>
                <c:pt idx="380">
                  <c:v>-108.94398860234858</c:v>
                </c:pt>
                <c:pt idx="381">
                  <c:v>-109.00698116355117</c:v>
                </c:pt>
                <c:pt idx="382">
                  <c:v>-109.07018469165507</c:v>
                </c:pt>
                <c:pt idx="383">
                  <c:v>-109.13359481883761</c:v>
                </c:pt>
                <c:pt idx="384">
                  <c:v>-109.19720726980756</c:v>
                </c:pt>
                <c:pt idx="385">
                  <c:v>-109.26260176736186</c:v>
                </c:pt>
                <c:pt idx="386">
                  <c:v>-109.32819993777983</c:v>
                </c:pt>
                <c:pt idx="387">
                  <c:v>-109.39399746632475</c:v>
                </c:pt>
                <c:pt idx="388">
                  <c:v>-109.45999012972278</c:v>
                </c:pt>
                <c:pt idx="389">
                  <c:v>-109.52769654961737</c:v>
                </c:pt>
                <c:pt idx="390">
                  <c:v>-109.59559851550902</c:v>
                </c:pt>
                <c:pt idx="391">
                  <c:v>-109.66369178758488</c:v>
                </c:pt>
                <c:pt idx="392">
                  <c:v>-109.7319722157883</c:v>
                </c:pt>
                <c:pt idx="393">
                  <c:v>-109.80197540545927</c:v>
                </c:pt>
                <c:pt idx="394">
                  <c:v>-109.87216575446831</c:v>
                </c:pt>
                <c:pt idx="395">
                  <c:v>-109.94253910236147</c:v>
                </c:pt>
                <c:pt idx="396">
                  <c:v>-110.0130913765865</c:v>
                </c:pt>
                <c:pt idx="397">
                  <c:v>-110.08553780915884</c:v>
                </c:pt>
                <c:pt idx="398">
                  <c:v>-110.15816358466108</c:v>
                </c:pt>
                <c:pt idx="399">
                  <c:v>-110.23096459819941</c:v>
                </c:pt>
                <c:pt idx="400">
                  <c:v>-110.30393683157524</c:v>
                </c:pt>
                <c:pt idx="401">
                  <c:v>-110.37872925649506</c:v>
                </c:pt>
                <c:pt idx="402">
                  <c:v>-110.45369248782227</c:v>
                </c:pt>
                <c:pt idx="403">
                  <c:v>-110.52882249529293</c:v>
                </c:pt>
                <c:pt idx="404">
                  <c:v>-110.6041153335767</c:v>
                </c:pt>
                <c:pt idx="405">
                  <c:v>-110.68131787756226</c:v>
                </c:pt>
                <c:pt idx="406">
                  <c:v>-110.75868279434626</c:v>
                </c:pt>
                <c:pt idx="407">
                  <c:v>-110.83620611922059</c:v>
                </c:pt>
                <c:pt idx="408">
                  <c:v>-110.91388397088629</c:v>
                </c:pt>
                <c:pt idx="409">
                  <c:v>-110.99356141398403</c:v>
                </c:pt>
                <c:pt idx="410">
                  <c:v>-111.07339283173127</c:v>
                </c:pt>
                <c:pt idx="411">
                  <c:v>-111.15337431705127</c:v>
                </c:pt>
                <c:pt idx="412">
                  <c:v>-111.23350204495723</c:v>
                </c:pt>
                <c:pt idx="413">
                  <c:v>-111.31563477907216</c:v>
                </c:pt>
                <c:pt idx="414">
                  <c:v>-111.39791276694125</c:v>
                </c:pt>
                <c:pt idx="415">
                  <c:v>-111.48033216397799</c:v>
                </c:pt>
                <c:pt idx="416">
                  <c:v>-111.56288920621753</c:v>
                </c:pt>
                <c:pt idx="417">
                  <c:v>-111.64754049780676</c:v>
                </c:pt>
                <c:pt idx="418">
                  <c:v>-111.73232829992261</c:v>
                </c:pt>
                <c:pt idx="419">
                  <c:v>-111.81724882329398</c:v>
                </c:pt>
                <c:pt idx="420">
                  <c:v>-111.90229835799117</c:v>
                </c:pt>
                <c:pt idx="421">
                  <c:v>-111.98935982127075</c:v>
                </c:pt>
                <c:pt idx="422">
                  <c:v>-112.07654847660515</c:v>
                </c:pt>
                <c:pt idx="423">
                  <c:v>-112.16386060556033</c:v>
                </c:pt>
                <c:pt idx="424">
                  <c:v>-112.2512925673236</c:v>
                </c:pt>
                <c:pt idx="425">
                  <c:v>-112.34099647034174</c:v>
                </c:pt>
                <c:pt idx="426">
                  <c:v>-112.43081867846516</c:v>
                </c:pt>
                <c:pt idx="427">
                  <c:v>-112.52075551554435</c:v>
                </c:pt>
                <c:pt idx="428">
                  <c:v>-112.6108033821174</c:v>
                </c:pt>
                <c:pt idx="429">
                  <c:v>-112.70303850357243</c:v>
                </c:pt>
                <c:pt idx="430">
                  <c:v>-112.79538244846314</c:v>
                </c:pt>
                <c:pt idx="431">
                  <c:v>-112.8878315985496</c:v>
                </c:pt>
                <c:pt idx="432">
                  <c:v>-112.98038241090963</c:v>
                </c:pt>
                <c:pt idx="433">
                  <c:v>-113.07512038561956</c:v>
                </c:pt>
                <c:pt idx="434">
                  <c:v>-113.16995739630863</c:v>
                </c:pt>
                <c:pt idx="435">
                  <c:v>-113.26488988645865</c:v>
                </c:pt>
                <c:pt idx="436">
                  <c:v>-113.35991437339437</c:v>
                </c:pt>
                <c:pt idx="437">
                  <c:v>-113.45729933690498</c:v>
                </c:pt>
                <c:pt idx="438">
                  <c:v>-113.55477358216463</c:v>
                </c:pt>
                <c:pt idx="439">
                  <c:v>-113.65233359895745</c:v>
                </c:pt>
                <c:pt idx="440">
                  <c:v>-113.74997594986601</c:v>
                </c:pt>
                <c:pt idx="441">
                  <c:v>-113.84997688721782</c:v>
                </c:pt>
                <c:pt idx="442">
                  <c:v>-113.95005698528909</c:v>
                </c:pt>
                <c:pt idx="443">
                  <c:v>-114.05021278483359</c:v>
                </c:pt>
                <c:pt idx="444">
                  <c:v>-114.15044089823753</c:v>
                </c:pt>
                <c:pt idx="445">
                  <c:v>-114.25302425910189</c:v>
                </c:pt>
                <c:pt idx="446">
                  <c:v>-114.35567631999365</c:v>
                </c:pt>
                <c:pt idx="447">
                  <c:v>-114.45839367673577</c:v>
                </c:pt>
                <c:pt idx="448">
                  <c:v>-114.56117299551732</c:v>
                </c:pt>
                <c:pt idx="449">
                  <c:v>-114.66647911284088</c:v>
                </c:pt>
                <c:pt idx="450">
                  <c:v>-114.77184334403202</c:v>
                </c:pt>
                <c:pt idx="451">
                  <c:v>-114.87726232688949</c:v>
                </c:pt>
                <c:pt idx="452">
                  <c:v>-114.98273276868849</c:v>
                </c:pt>
                <c:pt idx="453">
                  <c:v>-115.09063608079919</c:v>
                </c:pt>
                <c:pt idx="454">
                  <c:v>-115.19858645380637</c:v>
                </c:pt>
                <c:pt idx="455">
                  <c:v>-115.30658058036552</c:v>
                </c:pt>
                <c:pt idx="456">
                  <c:v>-115.41461522138728</c:v>
                </c:pt>
                <c:pt idx="457">
                  <c:v>-115.52525235197946</c:v>
                </c:pt>
                <c:pt idx="458">
                  <c:v>-115.63592528441553</c:v>
                </c:pt>
                <c:pt idx="459">
                  <c:v>-115.74663075425111</c:v>
                </c:pt>
                <c:pt idx="460">
                  <c:v>-115.85736556442978</c:v>
                </c:pt>
                <c:pt idx="461">
                  <c:v>-115.97069447124949</c:v>
                </c:pt>
                <c:pt idx="462">
                  <c:v>-116.08404753140381</c:v>
                </c:pt>
                <c:pt idx="463">
                  <c:v>-116.19742152805877</c:v>
                </c:pt>
                <c:pt idx="464">
                  <c:v>-116.3108133108058</c:v>
                </c:pt>
                <c:pt idx="465">
                  <c:v>-116.4268779101167</c:v>
                </c:pt>
                <c:pt idx="466">
                  <c:v>-116.5429546677623</c:v>
                </c:pt>
                <c:pt idx="467">
                  <c:v>-116.65904041161365</c:v>
                </c:pt>
                <c:pt idx="468">
                  <c:v>-116.77513203512322</c:v>
                </c:pt>
                <c:pt idx="469">
                  <c:v>-116.89388515696854</c:v>
                </c:pt>
                <c:pt idx="470">
                  <c:v>-117.0126380583303</c:v>
                </c:pt>
                <c:pt idx="471">
                  <c:v>-117.13138761642209</c:v>
                </c:pt>
                <c:pt idx="472">
                  <c:v>-117.25013077311269</c:v>
                </c:pt>
                <c:pt idx="473">
                  <c:v>-117.3716998271496</c:v>
                </c:pt>
                <c:pt idx="474">
                  <c:v>-117.4932558825422</c:v>
                </c:pt>
                <c:pt idx="475">
                  <c:v>-117.61479585679285</c:v>
                </c:pt>
                <c:pt idx="476">
                  <c:v>-117.73631673143495</c:v>
                </c:pt>
                <c:pt idx="477">
                  <c:v>-117.86064905546652</c:v>
                </c:pt>
                <c:pt idx="478">
                  <c:v>-117.98495518138016</c:v>
                </c:pt>
                <c:pt idx="479">
                  <c:v>-118.10923207229806</c:v>
                </c:pt>
                <c:pt idx="480">
                  <c:v>-118.23347675466268</c:v>
                </c:pt>
                <c:pt idx="481">
                  <c:v>-118.36051687192115</c:v>
                </c:pt>
                <c:pt idx="482">
                  <c:v>-118.4875171994294</c:v>
                </c:pt>
                <c:pt idx="483">
                  <c:v>-118.61447475092565</c:v>
                </c:pt>
                <c:pt idx="484">
                  <c:v>-118.74138660268684</c:v>
                </c:pt>
                <c:pt idx="485">
                  <c:v>-118.87116468080241</c:v>
                </c:pt>
                <c:pt idx="486">
                  <c:v>-119.00088893870939</c:v>
                </c:pt>
                <c:pt idx="487">
                  <c:v>-119.13055643953332</c:v>
                </c:pt>
                <c:pt idx="488">
                  <c:v>-119.2601643082665</c:v>
                </c:pt>
                <c:pt idx="489">
                  <c:v>-119.39279546026904</c:v>
                </c:pt>
                <c:pt idx="490">
                  <c:v>-119.52535819779405</c:v>
                </c:pt>
                <c:pt idx="491">
                  <c:v>-119.65784962704275</c:v>
                </c:pt>
                <c:pt idx="492">
                  <c:v>-119.79026691567307</c:v>
                </c:pt>
                <c:pt idx="493">
                  <c:v>-119.925686083103</c:v>
                </c:pt>
                <c:pt idx="494">
                  <c:v>-120.06102180923463</c:v>
                </c:pt>
                <c:pt idx="495">
                  <c:v>-120.19627124944449</c:v>
                </c:pt>
                <c:pt idx="496">
                  <c:v>-120.33143162007958</c:v>
                </c:pt>
                <c:pt idx="497">
                  <c:v>-120.46965857547863</c:v>
                </c:pt>
                <c:pt idx="498">
                  <c:v>-120.6077865357575</c:v>
                </c:pt>
                <c:pt idx="499">
                  <c:v>-120.74581270606781</c:v>
                </c:pt>
                <c:pt idx="500">
                  <c:v>-120.88373435213359</c:v>
                </c:pt>
                <c:pt idx="501">
                  <c:v>-121.02478503442838</c:v>
                </c:pt>
                <c:pt idx="502">
                  <c:v>-121.16572061609547</c:v>
                </c:pt>
                <c:pt idx="503">
                  <c:v>-121.30653835326804</c:v>
                </c:pt>
                <c:pt idx="504">
                  <c:v>-121.44723556233623</c:v>
                </c:pt>
                <c:pt idx="505">
                  <c:v>-121.59103472800064</c:v>
                </c:pt>
                <c:pt idx="506">
                  <c:v>-121.73470227511075</c:v>
                </c:pt>
                <c:pt idx="507">
                  <c:v>-121.87823551743122</c:v>
                </c:pt>
                <c:pt idx="508">
                  <c:v>-122.02163182860008</c:v>
                </c:pt>
                <c:pt idx="509">
                  <c:v>-122.16818822482135</c:v>
                </c:pt>
                <c:pt idx="510">
                  <c:v>-122.31459593105747</c:v>
                </c:pt>
                <c:pt idx="511">
                  <c:v>-122.46085232056225</c:v>
                </c:pt>
                <c:pt idx="512">
                  <c:v>-122.6069548261616</c:v>
                </c:pt>
                <c:pt idx="513">
                  <c:v>-122.75635950934733</c:v>
                </c:pt>
                <c:pt idx="514">
                  <c:v>-122.90559766546819</c:v>
                </c:pt>
                <c:pt idx="515">
                  <c:v>-123.05466672534945</c:v>
                </c:pt>
                <c:pt idx="516">
                  <c:v>-123.20356417929692</c:v>
                </c:pt>
                <c:pt idx="517">
                  <c:v>-123.35573015870743</c:v>
                </c:pt>
                <c:pt idx="518">
                  <c:v>-123.5077113600981</c:v>
                </c:pt>
                <c:pt idx="519">
                  <c:v>-123.65950527974236</c:v>
                </c:pt>
                <c:pt idx="520">
                  <c:v>-123.81110947322806</c:v>
                </c:pt>
                <c:pt idx="521">
                  <c:v>-123.9660324949316</c:v>
                </c:pt>
                <c:pt idx="522">
                  <c:v>-124.12075189042449</c:v>
                </c:pt>
                <c:pt idx="523">
                  <c:v>-124.27526522517591</c:v>
                </c:pt>
                <c:pt idx="524">
                  <c:v>-124.42957012386459</c:v>
                </c:pt>
                <c:pt idx="525">
                  <c:v>-124.58724136664252</c:v>
                </c:pt>
                <c:pt idx="526">
                  <c:v>-124.74468952924526</c:v>
                </c:pt>
                <c:pt idx="527">
                  <c:v>-124.90191225071969</c:v>
                </c:pt>
                <c:pt idx="528">
                  <c:v>-125.05890722927086</c:v>
                </c:pt>
                <c:pt idx="529">
                  <c:v>-125.21931319515133</c:v>
                </c:pt>
                <c:pt idx="530">
                  <c:v>-125.37947601593487</c:v>
                </c:pt>
                <c:pt idx="531">
                  <c:v>-125.5393934092604</c:v>
                </c:pt>
                <c:pt idx="532">
                  <c:v>-125.69906315191947</c:v>
                </c:pt>
                <c:pt idx="533">
                  <c:v>-125.86226971837151</c:v>
                </c:pt>
                <c:pt idx="534">
                  <c:v>-126.02521218852054</c:v>
                </c:pt>
                <c:pt idx="535">
                  <c:v>-126.18788836088139</c:v>
                </c:pt>
                <c:pt idx="536">
                  <c:v>-126.35029609327466</c:v>
                </c:pt>
                <c:pt idx="537">
                  <c:v>-126.51611127855617</c:v>
                </c:pt>
                <c:pt idx="538">
                  <c:v>-126.68164134847775</c:v>
                </c:pt>
                <c:pt idx="539">
                  <c:v>-126.84688419553824</c:v>
                </c:pt>
                <c:pt idx="540">
                  <c:v>-127.01183777147936</c:v>
                </c:pt>
                <c:pt idx="541">
                  <c:v>-127.18040124147474</c:v>
                </c:pt>
                <c:pt idx="542">
                  <c:v>-127.34865739900468</c:v>
                </c:pt>
                <c:pt idx="543">
                  <c:v>-127.5166042310188</c:v>
                </c:pt>
                <c:pt idx="544">
                  <c:v>-127.68423978390447</c:v>
                </c:pt>
                <c:pt idx="545">
                  <c:v>-127.85543431182373</c:v>
                </c:pt>
                <c:pt idx="546">
                  <c:v>-128.02629901974268</c:v>
                </c:pt>
                <c:pt idx="547">
                  <c:v>-128.19683199980739</c:v>
                </c:pt>
                <c:pt idx="548">
                  <c:v>-128.36703140368394</c:v>
                </c:pt>
                <c:pt idx="549">
                  <c:v>-128.54081895278927</c:v>
                </c:pt>
                <c:pt idx="550">
                  <c:v>-128.71425359268815</c:v>
                </c:pt>
                <c:pt idx="551">
                  <c:v>-128.88733352878265</c:v>
                </c:pt>
                <c:pt idx="552">
                  <c:v>-129.0600570260745</c:v>
                </c:pt>
                <c:pt idx="553">
                  <c:v>-129.23647564571849</c:v>
                </c:pt>
                <c:pt idx="554">
                  <c:v>-129.41251735505978</c:v>
                </c:pt>
                <c:pt idx="555">
                  <c:v>-129.5881804791052</c:v>
                </c:pt>
                <c:pt idx="556">
                  <c:v>-129.76346340263396</c:v>
                </c:pt>
                <c:pt idx="557">
                  <c:v>-130.12106109385579</c:v>
                </c:pt>
                <c:pt idx="558">
                  <c:v>-130.47704672045157</c:v>
                </c:pt>
                <c:pt idx="559">
                  <c:v>-130.83951195852686</c:v>
                </c:pt>
                <c:pt idx="560">
                  <c:v>-131.20026670966192</c:v>
                </c:pt>
                <c:pt idx="561">
                  <c:v>-131.56779784379412</c:v>
                </c:pt>
                <c:pt idx="562">
                  <c:v>-131.93351503972357</c:v>
                </c:pt>
                <c:pt idx="563">
                  <c:v>-132.30519779657686</c:v>
                </c:pt>
                <c:pt idx="564">
                  <c:v>-132.67496922741532</c:v>
                </c:pt>
                <c:pt idx="565">
                  <c:v>-133.0520700379563</c:v>
                </c:pt>
                <c:pt idx="566">
                  <c:v>-133.42714588589214</c:v>
                </c:pt>
                <c:pt idx="567">
                  <c:v>-133.80933766594117</c:v>
                </c:pt>
                <c:pt idx="568">
                  <c:v>-134.18939047422268</c:v>
                </c:pt>
                <c:pt idx="569">
                  <c:v>-134.57483535293787</c:v>
                </c:pt>
                <c:pt idx="570">
                  <c:v>-134.95804484221583</c:v>
                </c:pt>
                <c:pt idx="571">
                  <c:v>-135.34944172840915</c:v>
                </c:pt>
                <c:pt idx="572">
                  <c:v>-135.73847204960626</c:v>
                </c:pt>
                <c:pt idx="573">
                  <c:v>-136.13248981579702</c:v>
                </c:pt>
                <c:pt idx="574">
                  <c:v>-136.52404662365632</c:v>
                </c:pt>
                <c:pt idx="575">
                  <c:v>-136.92331016570856</c:v>
                </c:pt>
                <c:pt idx="576">
                  <c:v>-137.31998253343761</c:v>
                </c:pt>
                <c:pt idx="577">
                  <c:v>-138.97067360150464</c:v>
                </c:pt>
                <c:pt idx="578">
                  <c:v>-140.57526089567665</c:v>
                </c:pt>
                <c:pt idx="579">
                  <c:v>-143.93306563894222</c:v>
                </c:pt>
                <c:pt idx="580">
                  <c:v>-147.37634056672306</c:v>
                </c:pt>
                <c:pt idx="581">
                  <c:v>-150.87533838386432</c:v>
                </c:pt>
                <c:pt idx="582">
                  <c:v>-154.40578260009192</c:v>
                </c:pt>
                <c:pt idx="583">
                  <c:v>-157.93754613176284</c:v>
                </c:pt>
                <c:pt idx="584">
                  <c:v>-161.44535582205643</c:v>
                </c:pt>
                <c:pt idx="585">
                  <c:v>-164.89940513788963</c:v>
                </c:pt>
                <c:pt idx="586">
                  <c:v>-168.27307560302941</c:v>
                </c:pt>
                <c:pt idx="587">
                  <c:v>-171.5420743471455</c:v>
                </c:pt>
                <c:pt idx="588">
                  <c:v>-174.67888473991539</c:v>
                </c:pt>
                <c:pt idx="589">
                  <c:v>-177.6638970883067</c:v>
                </c:pt>
                <c:pt idx="590">
                  <c:v>-180.47671575081176</c:v>
                </c:pt>
                <c:pt idx="591">
                  <c:v>-183.1021603595658</c:v>
                </c:pt>
                <c:pt idx="592">
                  <c:v>-185.52909657204808</c:v>
                </c:pt>
                <c:pt idx="593">
                  <c:v>-187.75284210296337</c:v>
                </c:pt>
                <c:pt idx="594">
                  <c:v>-189.77343782065873</c:v>
                </c:pt>
                <c:pt idx="595">
                  <c:v>-191.59830137382298</c:v>
                </c:pt>
                <c:pt idx="596">
                  <c:v>-193.24038006100253</c:v>
                </c:pt>
                <c:pt idx="597">
                  <c:v>-194.71919812880208</c:v>
                </c:pt>
                <c:pt idx="598">
                  <c:v>-196.05860070430387</c:v>
                </c:pt>
                <c:pt idx="599">
                  <c:v>-197.28706687840889</c:v>
                </c:pt>
                <c:pt idx="600">
                  <c:v>-198.43518027884349</c:v>
                </c:pt>
              </c:numCache>
            </c:numRef>
          </c:yVal>
          <c:smooth val="0"/>
          <c:extLst>
            <c:ext xmlns:c16="http://schemas.microsoft.com/office/drawing/2014/chart" uri="{C3380CC4-5D6E-409C-BE32-E72D297353CC}">
              <c16:uniqueId val="{00000001-1839-4D61-A0B5-FA68D8BCC26F}"/>
            </c:ext>
          </c:extLst>
        </c:ser>
        <c:dLbls>
          <c:showLegendKey val="0"/>
          <c:showVal val="0"/>
          <c:showCatName val="0"/>
          <c:showSerName val="0"/>
          <c:showPercent val="0"/>
          <c:showBubbleSize val="0"/>
        </c:dLbls>
        <c:axId val="235401984"/>
        <c:axId val="235403520"/>
      </c:scatterChart>
      <c:valAx>
        <c:axId val="235397888"/>
        <c:scaling>
          <c:logBase val="10"/>
          <c:orientation val="minMax"/>
          <c:max val="1000000"/>
          <c:min val="10"/>
        </c:scaling>
        <c:delete val="0"/>
        <c:axPos val="b"/>
        <c:majorGridlines>
          <c:spPr>
            <a:ln w="3175">
              <a:solidFill>
                <a:srgbClr val="000000"/>
              </a:solidFill>
              <a:prstDash val="solid"/>
            </a:ln>
          </c:spPr>
        </c:majorGridlines>
        <c:minorGridlines>
          <c:spPr>
            <a:ln w="3175">
              <a:solidFill>
                <a:srgbClr val="C0C0C0"/>
              </a:solidFill>
              <a:prstDash val="solid"/>
            </a:ln>
          </c:spPr>
        </c:minorGridlines>
        <c:title>
          <c:tx>
            <c:rich>
              <a:bodyPr/>
              <a:lstStyle/>
              <a:p>
                <a:pPr>
                  <a:defRPr sz="1200" b="1" i="0" u="none" strike="noStrike" baseline="0">
                    <a:solidFill>
                      <a:srgbClr val="000000"/>
                    </a:solidFill>
                    <a:latin typeface="Arial"/>
                    <a:ea typeface="Arial"/>
                    <a:cs typeface="Arial"/>
                  </a:defRPr>
                </a:pPr>
                <a:r>
                  <a:rPr lang="en-US"/>
                  <a:t>Frequency (Hz)</a:t>
                </a:r>
              </a:p>
            </c:rich>
          </c:tx>
          <c:layout>
            <c:manualLayout>
              <c:xMode val="edge"/>
              <c:yMode val="edge"/>
              <c:x val="0.42857142857142855"/>
              <c:y val="0.8836114034132848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235399808"/>
        <c:crossesAt val="-40"/>
        <c:crossBetween val="midCat"/>
        <c:majorUnit val="10"/>
        <c:minorUnit val="10"/>
      </c:valAx>
      <c:valAx>
        <c:axId val="235399808"/>
        <c:scaling>
          <c:orientation val="minMax"/>
          <c:max val="150"/>
          <c:min val="-40"/>
        </c:scaling>
        <c:delete val="0"/>
        <c:axPos val="l"/>
        <c:majorGridlines>
          <c:spPr>
            <a:ln w="3175">
              <a:solidFill>
                <a:srgbClr val="000000"/>
              </a:solidFill>
              <a:prstDash val="solid"/>
            </a:ln>
          </c:spPr>
        </c:majorGridlines>
        <c:title>
          <c:tx>
            <c:rich>
              <a:bodyPr/>
              <a:lstStyle/>
              <a:p>
                <a:pPr>
                  <a:defRPr sz="1200" b="1" i="0" u="none" strike="noStrike" baseline="0">
                    <a:solidFill>
                      <a:srgbClr val="FF0000"/>
                    </a:solidFill>
                    <a:latin typeface="Arial"/>
                    <a:ea typeface="Arial"/>
                    <a:cs typeface="Arial"/>
                  </a:defRPr>
                </a:pPr>
                <a:r>
                  <a:rPr lang="en-US"/>
                  <a:t>Gain (dB)</a:t>
                </a:r>
              </a:p>
            </c:rich>
          </c:tx>
          <c:layout>
            <c:manualLayout>
              <c:xMode val="edge"/>
              <c:yMode val="edge"/>
              <c:x val="1.5549076773566581E-2"/>
              <c:y val="0.3927162330515138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FF0000"/>
                </a:solidFill>
                <a:latin typeface="Arial"/>
                <a:ea typeface="Arial"/>
                <a:cs typeface="Arial"/>
              </a:defRPr>
            </a:pPr>
            <a:endParaRPr lang="en-US"/>
          </a:p>
        </c:txPr>
        <c:crossAx val="235397888"/>
        <c:crossesAt val="0.1"/>
        <c:crossBetween val="midCat"/>
        <c:majorUnit val="20"/>
        <c:minorUnit val="4"/>
      </c:valAx>
      <c:valAx>
        <c:axId val="235401984"/>
        <c:scaling>
          <c:logBase val="10"/>
          <c:orientation val="minMax"/>
        </c:scaling>
        <c:delete val="1"/>
        <c:axPos val="t"/>
        <c:numFmt formatCode="General" sourceLinked="1"/>
        <c:majorTickMark val="out"/>
        <c:minorTickMark val="none"/>
        <c:tickLblPos val="none"/>
        <c:crossAx val="235403520"/>
        <c:crossesAt val="0"/>
        <c:crossBetween val="midCat"/>
      </c:valAx>
      <c:valAx>
        <c:axId val="235403520"/>
        <c:scaling>
          <c:orientation val="minMax"/>
          <c:max val="-45"/>
          <c:min val="-180"/>
        </c:scaling>
        <c:delete val="0"/>
        <c:axPos val="r"/>
        <c:title>
          <c:tx>
            <c:rich>
              <a:bodyPr/>
              <a:lstStyle/>
              <a:p>
                <a:pPr>
                  <a:defRPr sz="1200" b="1" i="0" u="none" strike="noStrike" baseline="0">
                    <a:solidFill>
                      <a:srgbClr val="0000FF"/>
                    </a:solidFill>
                    <a:latin typeface="Arial"/>
                    <a:ea typeface="Arial"/>
                    <a:cs typeface="Arial"/>
                  </a:defRPr>
                </a:pPr>
                <a:r>
                  <a:rPr lang="en-US"/>
                  <a:t>Phase (°)</a:t>
                </a:r>
              </a:p>
            </c:rich>
          </c:tx>
          <c:layout>
            <c:manualLayout>
              <c:xMode val="edge"/>
              <c:yMode val="edge"/>
              <c:x val="0.96550048590864856"/>
              <c:y val="0.3982582822308516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FF"/>
                </a:solidFill>
                <a:latin typeface="Arial"/>
                <a:ea typeface="Arial"/>
                <a:cs typeface="Arial"/>
              </a:defRPr>
            </a:pPr>
            <a:endParaRPr lang="en-US"/>
          </a:p>
        </c:txPr>
        <c:crossAx val="235401984"/>
        <c:crosses val="max"/>
        <c:crossBetween val="midCat"/>
        <c:majorUnit val="45"/>
        <c:minorUnit val="22.5"/>
      </c:valAx>
      <c:spPr>
        <a:noFill/>
        <a:ln w="25400">
          <a:noFill/>
        </a:ln>
      </c:spPr>
    </c:plotArea>
    <c:plotVisOnly val="1"/>
    <c:dispBlanksAs val="gap"/>
    <c:showDLblsOverMax val="0"/>
  </c:chart>
  <c:spPr>
    <a:solidFill>
      <a:srgbClr val="FFFFFF"/>
    </a:solidFill>
    <a:ln w="25400">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167" r="0.75000000000000167"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a:t>LM5143-Q1 Bode Plot</a:t>
            </a:r>
          </a:p>
        </c:rich>
      </c:tx>
      <c:layout>
        <c:manualLayout>
          <c:xMode val="edge"/>
          <c:yMode val="edge"/>
          <c:x val="0.38532555879494657"/>
          <c:y val="2.4449846994932085E-2"/>
        </c:manualLayout>
      </c:layout>
      <c:overlay val="0"/>
      <c:spPr>
        <a:noFill/>
        <a:ln w="25400">
          <a:noFill/>
        </a:ln>
      </c:spPr>
    </c:title>
    <c:autoTitleDeleted val="0"/>
    <c:plotArea>
      <c:layout>
        <c:manualLayout>
          <c:layoutTarget val="inner"/>
          <c:xMode val="edge"/>
          <c:yMode val="edge"/>
          <c:x val="0.10349854227405264"/>
          <c:y val="9.5803642121931945E-2"/>
          <c:w val="0.80272108843537593"/>
          <c:h val="0.71734049943922984"/>
        </c:manualLayout>
      </c:layout>
      <c:scatterChart>
        <c:scatterStyle val="smoothMarker"/>
        <c:varyColors val="0"/>
        <c:ser>
          <c:idx val="0"/>
          <c:order val="0"/>
          <c:tx>
            <c:strRef>
              <c:f>'Stability Calculations'!$U$12</c:f>
              <c:strCache>
                <c:ptCount val="1"/>
                <c:pt idx="0">
                  <c:v>Gain (dB)</c:v>
                </c:pt>
              </c:strCache>
            </c:strRef>
          </c:tx>
          <c:spPr>
            <a:ln w="25400">
              <a:solidFill>
                <a:srgbClr val="FF0000"/>
              </a:solidFill>
              <a:prstDash val="solid"/>
            </a:ln>
          </c:spPr>
          <c:marker>
            <c:symbol val="none"/>
          </c:marker>
          <c:xVal>
            <c:numRef>
              <c:f>'Stability Calculations'!$A$13:$A$613</c:f>
              <c:numCache>
                <c:formatCode>General</c:formatCode>
                <c:ptCount val="601"/>
                <c:pt idx="0">
                  <c:v>1</c:v>
                </c:pt>
                <c:pt idx="1">
                  <c:v>1.0965</c:v>
                </c:pt>
                <c:pt idx="2">
                  <c:v>1.2022999999999999</c:v>
                </c:pt>
                <c:pt idx="3">
                  <c:v>1.3183</c:v>
                </c:pt>
                <c:pt idx="4">
                  <c:v>1.4454</c:v>
                </c:pt>
                <c:pt idx="5">
                  <c:v>1.5849</c:v>
                </c:pt>
                <c:pt idx="6">
                  <c:v>1.7378</c:v>
                </c:pt>
                <c:pt idx="7">
                  <c:v>1.9055</c:v>
                </c:pt>
                <c:pt idx="8">
                  <c:v>2.0893000000000002</c:v>
                </c:pt>
                <c:pt idx="9">
                  <c:v>2.2909000000000002</c:v>
                </c:pt>
                <c:pt idx="10">
                  <c:v>2.5118999999999998</c:v>
                </c:pt>
                <c:pt idx="11">
                  <c:v>2.7542</c:v>
                </c:pt>
                <c:pt idx="12">
                  <c:v>3.02</c:v>
                </c:pt>
                <c:pt idx="13">
                  <c:v>3.3113000000000001</c:v>
                </c:pt>
                <c:pt idx="14">
                  <c:v>3.6307999999999998</c:v>
                </c:pt>
                <c:pt idx="15">
                  <c:v>3.9811000000000001</c:v>
                </c:pt>
                <c:pt idx="16">
                  <c:v>4.3651999999999997</c:v>
                </c:pt>
                <c:pt idx="17">
                  <c:v>4.7862999999999998</c:v>
                </c:pt>
                <c:pt idx="18">
                  <c:v>5.2481</c:v>
                </c:pt>
                <c:pt idx="19">
                  <c:v>5.7544000000000004</c:v>
                </c:pt>
                <c:pt idx="20">
                  <c:v>6.3095999999999997</c:v>
                </c:pt>
                <c:pt idx="21">
                  <c:v>6.9183000000000003</c:v>
                </c:pt>
                <c:pt idx="22">
                  <c:v>7.5857999999999999</c:v>
                </c:pt>
                <c:pt idx="23">
                  <c:v>8.3176000000000005</c:v>
                </c:pt>
                <c:pt idx="24">
                  <c:v>9.1201000000000008</c:v>
                </c:pt>
                <c:pt idx="25">
                  <c:v>10</c:v>
                </c:pt>
                <c:pt idx="26">
                  <c:v>10.965</c:v>
                </c:pt>
                <c:pt idx="27">
                  <c:v>12.023</c:v>
                </c:pt>
                <c:pt idx="28">
                  <c:v>13.183</c:v>
                </c:pt>
                <c:pt idx="29">
                  <c:v>14.454000000000001</c:v>
                </c:pt>
                <c:pt idx="30">
                  <c:v>15.849</c:v>
                </c:pt>
                <c:pt idx="31">
                  <c:v>17.378</c:v>
                </c:pt>
                <c:pt idx="32">
                  <c:v>19.055</c:v>
                </c:pt>
                <c:pt idx="33">
                  <c:v>20.893000000000001</c:v>
                </c:pt>
                <c:pt idx="34">
                  <c:v>22.909000000000002</c:v>
                </c:pt>
                <c:pt idx="35">
                  <c:v>25.119</c:v>
                </c:pt>
                <c:pt idx="36">
                  <c:v>27.542000000000002</c:v>
                </c:pt>
                <c:pt idx="37">
                  <c:v>30.2</c:v>
                </c:pt>
                <c:pt idx="38">
                  <c:v>33.113</c:v>
                </c:pt>
                <c:pt idx="39">
                  <c:v>36.308</c:v>
                </c:pt>
                <c:pt idx="40">
                  <c:v>39.811</c:v>
                </c:pt>
                <c:pt idx="41">
                  <c:v>43.652000000000001</c:v>
                </c:pt>
                <c:pt idx="42">
                  <c:v>47.863</c:v>
                </c:pt>
                <c:pt idx="43">
                  <c:v>52.481000000000002</c:v>
                </c:pt>
                <c:pt idx="44">
                  <c:v>57.544000000000004</c:v>
                </c:pt>
                <c:pt idx="45">
                  <c:v>63.095999999999997</c:v>
                </c:pt>
                <c:pt idx="46">
                  <c:v>69.183000000000007</c:v>
                </c:pt>
                <c:pt idx="47">
                  <c:v>75.858000000000004</c:v>
                </c:pt>
                <c:pt idx="48">
                  <c:v>83.176000000000002</c:v>
                </c:pt>
                <c:pt idx="49">
                  <c:v>91.201000000000008</c:v>
                </c:pt>
                <c:pt idx="50">
                  <c:v>100</c:v>
                </c:pt>
                <c:pt idx="51">
                  <c:v>109.65</c:v>
                </c:pt>
                <c:pt idx="52">
                  <c:v>120.23</c:v>
                </c:pt>
                <c:pt idx="53">
                  <c:v>131.83000000000001</c:v>
                </c:pt>
                <c:pt idx="54">
                  <c:v>144.54</c:v>
                </c:pt>
                <c:pt idx="55">
                  <c:v>158.49</c:v>
                </c:pt>
                <c:pt idx="56">
                  <c:v>173.78</c:v>
                </c:pt>
                <c:pt idx="57">
                  <c:v>190.55</c:v>
                </c:pt>
                <c:pt idx="58">
                  <c:v>208.93</c:v>
                </c:pt>
                <c:pt idx="59">
                  <c:v>229.09</c:v>
                </c:pt>
                <c:pt idx="60">
                  <c:v>251.19</c:v>
                </c:pt>
                <c:pt idx="61">
                  <c:v>275.42</c:v>
                </c:pt>
                <c:pt idx="62">
                  <c:v>302</c:v>
                </c:pt>
                <c:pt idx="63">
                  <c:v>331.13</c:v>
                </c:pt>
                <c:pt idx="64">
                  <c:v>363.08</c:v>
                </c:pt>
                <c:pt idx="65">
                  <c:v>398.11</c:v>
                </c:pt>
                <c:pt idx="66">
                  <c:v>436.52</c:v>
                </c:pt>
                <c:pt idx="67">
                  <c:v>478.63</c:v>
                </c:pt>
                <c:pt idx="68">
                  <c:v>524.80999999999995</c:v>
                </c:pt>
                <c:pt idx="69">
                  <c:v>575.44000000000005</c:v>
                </c:pt>
                <c:pt idx="70">
                  <c:v>630.96</c:v>
                </c:pt>
                <c:pt idx="71">
                  <c:v>691.83</c:v>
                </c:pt>
                <c:pt idx="72">
                  <c:v>758.58</c:v>
                </c:pt>
                <c:pt idx="73">
                  <c:v>831.76</c:v>
                </c:pt>
                <c:pt idx="74">
                  <c:v>912.01</c:v>
                </c:pt>
                <c:pt idx="75">
                  <c:v>1000</c:v>
                </c:pt>
                <c:pt idx="76">
                  <c:v>1096.5</c:v>
                </c:pt>
                <c:pt idx="77">
                  <c:v>1202.3</c:v>
                </c:pt>
                <c:pt idx="78">
                  <c:v>1318.3</c:v>
                </c:pt>
                <c:pt idx="79">
                  <c:v>1445.4</c:v>
                </c:pt>
                <c:pt idx="80">
                  <c:v>1584.9</c:v>
                </c:pt>
                <c:pt idx="81">
                  <c:v>1737.8</c:v>
                </c:pt>
                <c:pt idx="82">
                  <c:v>1905.5</c:v>
                </c:pt>
                <c:pt idx="83">
                  <c:v>2089.3000000000002</c:v>
                </c:pt>
                <c:pt idx="84">
                  <c:v>2290.9</c:v>
                </c:pt>
                <c:pt idx="85">
                  <c:v>2511.9</c:v>
                </c:pt>
                <c:pt idx="86">
                  <c:v>2754.2</c:v>
                </c:pt>
                <c:pt idx="87">
                  <c:v>3020</c:v>
                </c:pt>
                <c:pt idx="88">
                  <c:v>3311.3</c:v>
                </c:pt>
                <c:pt idx="89">
                  <c:v>3630.8</c:v>
                </c:pt>
                <c:pt idx="90">
                  <c:v>3981.1</c:v>
                </c:pt>
                <c:pt idx="91">
                  <c:v>4365.2</c:v>
                </c:pt>
                <c:pt idx="92">
                  <c:v>4786.3</c:v>
                </c:pt>
                <c:pt idx="93">
                  <c:v>5248.1</c:v>
                </c:pt>
                <c:pt idx="94">
                  <c:v>5370.3</c:v>
                </c:pt>
                <c:pt idx="95">
                  <c:v>5432.85</c:v>
                </c:pt>
                <c:pt idx="96">
                  <c:v>5495.4</c:v>
                </c:pt>
                <c:pt idx="97">
                  <c:v>5559.4</c:v>
                </c:pt>
                <c:pt idx="98">
                  <c:v>5623.4</c:v>
                </c:pt>
                <c:pt idx="99">
                  <c:v>5688.9</c:v>
                </c:pt>
                <c:pt idx="100">
                  <c:v>5754.4</c:v>
                </c:pt>
                <c:pt idx="101">
                  <c:v>5821.4</c:v>
                </c:pt>
                <c:pt idx="102">
                  <c:v>5888.4</c:v>
                </c:pt>
                <c:pt idx="103">
                  <c:v>5957</c:v>
                </c:pt>
                <c:pt idx="104">
                  <c:v>6025.6</c:v>
                </c:pt>
                <c:pt idx="105">
                  <c:v>6095.8</c:v>
                </c:pt>
                <c:pt idx="106">
                  <c:v>6166</c:v>
                </c:pt>
                <c:pt idx="107">
                  <c:v>6237.8</c:v>
                </c:pt>
                <c:pt idx="108">
                  <c:v>6309.6</c:v>
                </c:pt>
                <c:pt idx="109">
                  <c:v>6383.05</c:v>
                </c:pt>
                <c:pt idx="110">
                  <c:v>6456.5</c:v>
                </c:pt>
                <c:pt idx="111">
                  <c:v>6531.7</c:v>
                </c:pt>
                <c:pt idx="112">
                  <c:v>6606.9</c:v>
                </c:pt>
                <c:pt idx="113">
                  <c:v>6683.85</c:v>
                </c:pt>
                <c:pt idx="114">
                  <c:v>6760.8</c:v>
                </c:pt>
                <c:pt idx="115">
                  <c:v>6839.55</c:v>
                </c:pt>
                <c:pt idx="116">
                  <c:v>6918.3</c:v>
                </c:pt>
                <c:pt idx="117">
                  <c:v>6998.9</c:v>
                </c:pt>
                <c:pt idx="118">
                  <c:v>7079.5</c:v>
                </c:pt>
                <c:pt idx="119">
                  <c:v>7161.95</c:v>
                </c:pt>
                <c:pt idx="120">
                  <c:v>7244.4</c:v>
                </c:pt>
                <c:pt idx="121">
                  <c:v>7328.75</c:v>
                </c:pt>
                <c:pt idx="122">
                  <c:v>7413.1</c:v>
                </c:pt>
                <c:pt idx="123">
                  <c:v>7499.45</c:v>
                </c:pt>
                <c:pt idx="124">
                  <c:v>7585.8</c:v>
                </c:pt>
                <c:pt idx="125">
                  <c:v>7674.15</c:v>
                </c:pt>
                <c:pt idx="126">
                  <c:v>7762.5</c:v>
                </c:pt>
                <c:pt idx="127">
                  <c:v>7852.9</c:v>
                </c:pt>
                <c:pt idx="128">
                  <c:v>7943.3</c:v>
                </c:pt>
                <c:pt idx="129">
                  <c:v>8035.8</c:v>
                </c:pt>
                <c:pt idx="130">
                  <c:v>8128.3</c:v>
                </c:pt>
                <c:pt idx="131">
                  <c:v>8222.9500000000007</c:v>
                </c:pt>
                <c:pt idx="132">
                  <c:v>8270.2750000000015</c:v>
                </c:pt>
                <c:pt idx="133">
                  <c:v>8317.6</c:v>
                </c:pt>
                <c:pt idx="134">
                  <c:v>8366.0499999999993</c:v>
                </c:pt>
                <c:pt idx="135">
                  <c:v>8414.5</c:v>
                </c:pt>
                <c:pt idx="136">
                  <c:v>8462.9500000000007</c:v>
                </c:pt>
                <c:pt idx="137">
                  <c:v>8511.4</c:v>
                </c:pt>
                <c:pt idx="138">
                  <c:v>8560.9500000000007</c:v>
                </c:pt>
                <c:pt idx="139">
                  <c:v>8610.5</c:v>
                </c:pt>
                <c:pt idx="140">
                  <c:v>8660.0499999999993</c:v>
                </c:pt>
                <c:pt idx="141">
                  <c:v>8709.6</c:v>
                </c:pt>
                <c:pt idx="142">
                  <c:v>8760.3250000000007</c:v>
                </c:pt>
                <c:pt idx="143">
                  <c:v>8811.0499999999993</c:v>
                </c:pt>
                <c:pt idx="144">
                  <c:v>8861.7749999999996</c:v>
                </c:pt>
                <c:pt idx="145">
                  <c:v>8912.5</c:v>
                </c:pt>
                <c:pt idx="146">
                  <c:v>8964.4</c:v>
                </c:pt>
                <c:pt idx="147">
                  <c:v>9016.2999999999993</c:v>
                </c:pt>
                <c:pt idx="148">
                  <c:v>9068.2000000000007</c:v>
                </c:pt>
                <c:pt idx="149">
                  <c:v>9120.1</c:v>
                </c:pt>
                <c:pt idx="150">
                  <c:v>9173.2000000000007</c:v>
                </c:pt>
                <c:pt idx="151">
                  <c:v>9226.2999999999993</c:v>
                </c:pt>
                <c:pt idx="152">
                  <c:v>9279.4</c:v>
                </c:pt>
                <c:pt idx="153">
                  <c:v>9332.5</c:v>
                </c:pt>
                <c:pt idx="154">
                  <c:v>9386.85</c:v>
                </c:pt>
                <c:pt idx="155">
                  <c:v>9441.2000000000007</c:v>
                </c:pt>
                <c:pt idx="156">
                  <c:v>9495.5499999999993</c:v>
                </c:pt>
                <c:pt idx="157">
                  <c:v>9549.9</c:v>
                </c:pt>
                <c:pt idx="158">
                  <c:v>9605.5249999999996</c:v>
                </c:pt>
                <c:pt idx="159">
                  <c:v>9661.15</c:v>
                </c:pt>
                <c:pt idx="160">
                  <c:v>9716.7749999999996</c:v>
                </c:pt>
                <c:pt idx="161">
                  <c:v>9772.4</c:v>
                </c:pt>
                <c:pt idx="162">
                  <c:v>9829.2999999999993</c:v>
                </c:pt>
                <c:pt idx="163">
                  <c:v>9886.2000000000007</c:v>
                </c:pt>
                <c:pt idx="164">
                  <c:v>9943.1</c:v>
                </c:pt>
                <c:pt idx="165">
                  <c:v>10000</c:v>
                </c:pt>
                <c:pt idx="166">
                  <c:v>10058.25</c:v>
                </c:pt>
                <c:pt idx="167">
                  <c:v>10116.5</c:v>
                </c:pt>
                <c:pt idx="168">
                  <c:v>10174.75</c:v>
                </c:pt>
                <c:pt idx="169">
                  <c:v>10233</c:v>
                </c:pt>
                <c:pt idx="170">
                  <c:v>10292.5</c:v>
                </c:pt>
                <c:pt idx="171">
                  <c:v>10352</c:v>
                </c:pt>
                <c:pt idx="172">
                  <c:v>10411.5</c:v>
                </c:pt>
                <c:pt idx="173">
                  <c:v>10471</c:v>
                </c:pt>
                <c:pt idx="174">
                  <c:v>10532</c:v>
                </c:pt>
                <c:pt idx="175">
                  <c:v>10593</c:v>
                </c:pt>
                <c:pt idx="176">
                  <c:v>10654</c:v>
                </c:pt>
                <c:pt idx="177">
                  <c:v>10715</c:v>
                </c:pt>
                <c:pt idx="178">
                  <c:v>10777.5</c:v>
                </c:pt>
                <c:pt idx="179">
                  <c:v>10840</c:v>
                </c:pt>
                <c:pt idx="180">
                  <c:v>10902.5</c:v>
                </c:pt>
                <c:pt idx="181">
                  <c:v>10965</c:v>
                </c:pt>
                <c:pt idx="182">
                  <c:v>11028.75</c:v>
                </c:pt>
                <c:pt idx="183">
                  <c:v>11092.5</c:v>
                </c:pt>
                <c:pt idx="184">
                  <c:v>11156.25</c:v>
                </c:pt>
                <c:pt idx="185">
                  <c:v>11220</c:v>
                </c:pt>
                <c:pt idx="186">
                  <c:v>11285.5</c:v>
                </c:pt>
                <c:pt idx="187">
                  <c:v>11351</c:v>
                </c:pt>
                <c:pt idx="188">
                  <c:v>11416.5</c:v>
                </c:pt>
                <c:pt idx="189">
                  <c:v>11482</c:v>
                </c:pt>
                <c:pt idx="190">
                  <c:v>11548.75</c:v>
                </c:pt>
                <c:pt idx="191">
                  <c:v>11615.5</c:v>
                </c:pt>
                <c:pt idx="192">
                  <c:v>11682.25</c:v>
                </c:pt>
                <c:pt idx="193">
                  <c:v>11749</c:v>
                </c:pt>
                <c:pt idx="194">
                  <c:v>11817.5</c:v>
                </c:pt>
                <c:pt idx="195">
                  <c:v>11886</c:v>
                </c:pt>
                <c:pt idx="196">
                  <c:v>11954.5</c:v>
                </c:pt>
                <c:pt idx="197">
                  <c:v>12023</c:v>
                </c:pt>
                <c:pt idx="198">
                  <c:v>12093</c:v>
                </c:pt>
                <c:pt idx="199">
                  <c:v>12163</c:v>
                </c:pt>
                <c:pt idx="200">
                  <c:v>12233</c:v>
                </c:pt>
                <c:pt idx="201">
                  <c:v>12303</c:v>
                </c:pt>
                <c:pt idx="202">
                  <c:v>12374.5</c:v>
                </c:pt>
                <c:pt idx="203">
                  <c:v>12446</c:v>
                </c:pt>
                <c:pt idx="204">
                  <c:v>12517.5</c:v>
                </c:pt>
                <c:pt idx="205">
                  <c:v>12589</c:v>
                </c:pt>
                <c:pt idx="206">
                  <c:v>12662.25</c:v>
                </c:pt>
                <c:pt idx="207">
                  <c:v>12735.5</c:v>
                </c:pt>
                <c:pt idx="208">
                  <c:v>12808.75</c:v>
                </c:pt>
                <c:pt idx="209">
                  <c:v>12882</c:v>
                </c:pt>
                <c:pt idx="210">
                  <c:v>12957.25</c:v>
                </c:pt>
                <c:pt idx="211">
                  <c:v>13032.5</c:v>
                </c:pt>
                <c:pt idx="212">
                  <c:v>13107.75</c:v>
                </c:pt>
                <c:pt idx="213">
                  <c:v>13183</c:v>
                </c:pt>
                <c:pt idx="214">
                  <c:v>13259.75</c:v>
                </c:pt>
                <c:pt idx="215">
                  <c:v>13336.5</c:v>
                </c:pt>
                <c:pt idx="216">
                  <c:v>13413.25</c:v>
                </c:pt>
                <c:pt idx="217">
                  <c:v>13490</c:v>
                </c:pt>
                <c:pt idx="218">
                  <c:v>13568.5</c:v>
                </c:pt>
                <c:pt idx="219">
                  <c:v>13647</c:v>
                </c:pt>
                <c:pt idx="220">
                  <c:v>13725.5</c:v>
                </c:pt>
                <c:pt idx="221">
                  <c:v>13804</c:v>
                </c:pt>
                <c:pt idx="222">
                  <c:v>13884.25</c:v>
                </c:pt>
                <c:pt idx="223">
                  <c:v>13964.5</c:v>
                </c:pt>
                <c:pt idx="224">
                  <c:v>14044.75</c:v>
                </c:pt>
                <c:pt idx="225">
                  <c:v>14125</c:v>
                </c:pt>
                <c:pt idx="226">
                  <c:v>14207.25</c:v>
                </c:pt>
                <c:pt idx="227">
                  <c:v>14289.5</c:v>
                </c:pt>
                <c:pt idx="228">
                  <c:v>14371.75</c:v>
                </c:pt>
                <c:pt idx="229">
                  <c:v>14454</c:v>
                </c:pt>
                <c:pt idx="230">
                  <c:v>14622.5</c:v>
                </c:pt>
                <c:pt idx="231">
                  <c:v>14706.75</c:v>
                </c:pt>
                <c:pt idx="232">
                  <c:v>14791</c:v>
                </c:pt>
                <c:pt idx="233">
                  <c:v>14877.25</c:v>
                </c:pt>
                <c:pt idx="234">
                  <c:v>14963.5</c:v>
                </c:pt>
                <c:pt idx="235">
                  <c:v>15049.75</c:v>
                </c:pt>
                <c:pt idx="236">
                  <c:v>15136</c:v>
                </c:pt>
                <c:pt idx="237">
                  <c:v>15224</c:v>
                </c:pt>
                <c:pt idx="238">
                  <c:v>15312</c:v>
                </c:pt>
                <c:pt idx="239">
                  <c:v>15400</c:v>
                </c:pt>
                <c:pt idx="240">
                  <c:v>15488</c:v>
                </c:pt>
                <c:pt idx="241">
                  <c:v>15578.25</c:v>
                </c:pt>
                <c:pt idx="242">
                  <c:v>15668.5</c:v>
                </c:pt>
                <c:pt idx="243">
                  <c:v>15758.75</c:v>
                </c:pt>
                <c:pt idx="244">
                  <c:v>15849</c:v>
                </c:pt>
                <c:pt idx="245">
                  <c:v>15941.25</c:v>
                </c:pt>
                <c:pt idx="246">
                  <c:v>16033.5</c:v>
                </c:pt>
                <c:pt idx="247">
                  <c:v>16125.75</c:v>
                </c:pt>
                <c:pt idx="248">
                  <c:v>16218</c:v>
                </c:pt>
                <c:pt idx="249">
                  <c:v>16312.5</c:v>
                </c:pt>
                <c:pt idx="250">
                  <c:v>16407</c:v>
                </c:pt>
                <c:pt idx="251">
                  <c:v>16501.5</c:v>
                </c:pt>
                <c:pt idx="252">
                  <c:v>16596</c:v>
                </c:pt>
                <c:pt idx="253">
                  <c:v>16692.5</c:v>
                </c:pt>
                <c:pt idx="254">
                  <c:v>16789</c:v>
                </c:pt>
                <c:pt idx="255">
                  <c:v>16885.5</c:v>
                </c:pt>
                <c:pt idx="256">
                  <c:v>16982</c:v>
                </c:pt>
                <c:pt idx="257">
                  <c:v>17081</c:v>
                </c:pt>
                <c:pt idx="258">
                  <c:v>17180</c:v>
                </c:pt>
                <c:pt idx="259">
                  <c:v>17279</c:v>
                </c:pt>
                <c:pt idx="260">
                  <c:v>17378</c:v>
                </c:pt>
                <c:pt idx="261">
                  <c:v>17479.25</c:v>
                </c:pt>
                <c:pt idx="262">
                  <c:v>17580.5</c:v>
                </c:pt>
                <c:pt idx="263">
                  <c:v>17681.75</c:v>
                </c:pt>
                <c:pt idx="264">
                  <c:v>17783</c:v>
                </c:pt>
                <c:pt idx="265">
                  <c:v>17886.5</c:v>
                </c:pt>
                <c:pt idx="266">
                  <c:v>17990</c:v>
                </c:pt>
                <c:pt idx="267">
                  <c:v>18093.5</c:v>
                </c:pt>
                <c:pt idx="268">
                  <c:v>18197</c:v>
                </c:pt>
                <c:pt idx="269">
                  <c:v>18303</c:v>
                </c:pt>
                <c:pt idx="270">
                  <c:v>18409</c:v>
                </c:pt>
                <c:pt idx="271">
                  <c:v>18515</c:v>
                </c:pt>
                <c:pt idx="272">
                  <c:v>18621</c:v>
                </c:pt>
                <c:pt idx="273">
                  <c:v>18729.5</c:v>
                </c:pt>
                <c:pt idx="274">
                  <c:v>18838</c:v>
                </c:pt>
                <c:pt idx="275">
                  <c:v>18946.5</c:v>
                </c:pt>
                <c:pt idx="276">
                  <c:v>19055</c:v>
                </c:pt>
                <c:pt idx="277">
                  <c:v>19165.75</c:v>
                </c:pt>
                <c:pt idx="278">
                  <c:v>19276.5</c:v>
                </c:pt>
                <c:pt idx="279">
                  <c:v>19387.25</c:v>
                </c:pt>
                <c:pt idx="280">
                  <c:v>19498</c:v>
                </c:pt>
                <c:pt idx="281">
                  <c:v>19611.75</c:v>
                </c:pt>
                <c:pt idx="282">
                  <c:v>19725.5</c:v>
                </c:pt>
                <c:pt idx="283">
                  <c:v>19839.25</c:v>
                </c:pt>
                <c:pt idx="284">
                  <c:v>19953</c:v>
                </c:pt>
                <c:pt idx="285">
                  <c:v>20069</c:v>
                </c:pt>
                <c:pt idx="286">
                  <c:v>20185</c:v>
                </c:pt>
                <c:pt idx="287">
                  <c:v>20301</c:v>
                </c:pt>
                <c:pt idx="288">
                  <c:v>20417</c:v>
                </c:pt>
                <c:pt idx="289">
                  <c:v>20536</c:v>
                </c:pt>
                <c:pt idx="290">
                  <c:v>20655</c:v>
                </c:pt>
                <c:pt idx="291">
                  <c:v>20774</c:v>
                </c:pt>
                <c:pt idx="292">
                  <c:v>20893</c:v>
                </c:pt>
                <c:pt idx="293">
                  <c:v>21014.75</c:v>
                </c:pt>
                <c:pt idx="294">
                  <c:v>21136.5</c:v>
                </c:pt>
                <c:pt idx="295">
                  <c:v>21258.25</c:v>
                </c:pt>
                <c:pt idx="296">
                  <c:v>21380</c:v>
                </c:pt>
                <c:pt idx="297">
                  <c:v>21504.5</c:v>
                </c:pt>
                <c:pt idx="298">
                  <c:v>21629</c:v>
                </c:pt>
                <c:pt idx="299">
                  <c:v>21753.5</c:v>
                </c:pt>
                <c:pt idx="300">
                  <c:v>21878</c:v>
                </c:pt>
                <c:pt idx="301">
                  <c:v>22005.25</c:v>
                </c:pt>
                <c:pt idx="302">
                  <c:v>22132.5</c:v>
                </c:pt>
                <c:pt idx="303">
                  <c:v>22259.75</c:v>
                </c:pt>
                <c:pt idx="304">
                  <c:v>22387</c:v>
                </c:pt>
                <c:pt idx="305">
                  <c:v>22517.5</c:v>
                </c:pt>
                <c:pt idx="306">
                  <c:v>22648</c:v>
                </c:pt>
                <c:pt idx="307">
                  <c:v>22778.5</c:v>
                </c:pt>
                <c:pt idx="308">
                  <c:v>22909</c:v>
                </c:pt>
                <c:pt idx="309">
                  <c:v>23042.25</c:v>
                </c:pt>
                <c:pt idx="310">
                  <c:v>23175.5</c:v>
                </c:pt>
                <c:pt idx="311">
                  <c:v>23308.75</c:v>
                </c:pt>
                <c:pt idx="312">
                  <c:v>23442</c:v>
                </c:pt>
                <c:pt idx="313">
                  <c:v>23578.5</c:v>
                </c:pt>
                <c:pt idx="314">
                  <c:v>23715</c:v>
                </c:pt>
                <c:pt idx="315">
                  <c:v>23851.5</c:v>
                </c:pt>
                <c:pt idx="316">
                  <c:v>23988</c:v>
                </c:pt>
                <c:pt idx="317">
                  <c:v>24127.75</c:v>
                </c:pt>
                <c:pt idx="318">
                  <c:v>24267.5</c:v>
                </c:pt>
                <c:pt idx="319">
                  <c:v>24407.25</c:v>
                </c:pt>
                <c:pt idx="320">
                  <c:v>24547</c:v>
                </c:pt>
                <c:pt idx="321">
                  <c:v>24690</c:v>
                </c:pt>
                <c:pt idx="322">
                  <c:v>24833</c:v>
                </c:pt>
                <c:pt idx="323">
                  <c:v>24976</c:v>
                </c:pt>
                <c:pt idx="324">
                  <c:v>25119</c:v>
                </c:pt>
                <c:pt idx="325">
                  <c:v>25265.25</c:v>
                </c:pt>
                <c:pt idx="326">
                  <c:v>25411.5</c:v>
                </c:pt>
                <c:pt idx="327">
                  <c:v>25557.75</c:v>
                </c:pt>
                <c:pt idx="328">
                  <c:v>25704</c:v>
                </c:pt>
                <c:pt idx="329">
                  <c:v>25853.75</c:v>
                </c:pt>
                <c:pt idx="330">
                  <c:v>26003.5</c:v>
                </c:pt>
                <c:pt idx="331">
                  <c:v>26153.25</c:v>
                </c:pt>
                <c:pt idx="332">
                  <c:v>26303</c:v>
                </c:pt>
                <c:pt idx="333">
                  <c:v>26456</c:v>
                </c:pt>
                <c:pt idx="334">
                  <c:v>26609</c:v>
                </c:pt>
                <c:pt idx="335">
                  <c:v>26762</c:v>
                </c:pt>
                <c:pt idx="336">
                  <c:v>26915</c:v>
                </c:pt>
                <c:pt idx="337">
                  <c:v>27071.75</c:v>
                </c:pt>
                <c:pt idx="338">
                  <c:v>27228.5</c:v>
                </c:pt>
                <c:pt idx="339">
                  <c:v>27385.25</c:v>
                </c:pt>
                <c:pt idx="340">
                  <c:v>27542</c:v>
                </c:pt>
                <c:pt idx="341">
                  <c:v>27702.5</c:v>
                </c:pt>
                <c:pt idx="342">
                  <c:v>27863</c:v>
                </c:pt>
                <c:pt idx="343">
                  <c:v>28023.5</c:v>
                </c:pt>
                <c:pt idx="344">
                  <c:v>28184</c:v>
                </c:pt>
                <c:pt idx="345">
                  <c:v>28348</c:v>
                </c:pt>
                <c:pt idx="346">
                  <c:v>28512</c:v>
                </c:pt>
                <c:pt idx="347">
                  <c:v>28676</c:v>
                </c:pt>
                <c:pt idx="348">
                  <c:v>28840</c:v>
                </c:pt>
                <c:pt idx="349">
                  <c:v>29008</c:v>
                </c:pt>
                <c:pt idx="350">
                  <c:v>29176</c:v>
                </c:pt>
                <c:pt idx="351">
                  <c:v>29344</c:v>
                </c:pt>
                <c:pt idx="352">
                  <c:v>29512</c:v>
                </c:pt>
                <c:pt idx="353">
                  <c:v>29684</c:v>
                </c:pt>
                <c:pt idx="354">
                  <c:v>29856</c:v>
                </c:pt>
                <c:pt idx="355">
                  <c:v>30028</c:v>
                </c:pt>
                <c:pt idx="356">
                  <c:v>30200</c:v>
                </c:pt>
                <c:pt idx="357">
                  <c:v>30375.75</c:v>
                </c:pt>
                <c:pt idx="358">
                  <c:v>30551.5</c:v>
                </c:pt>
                <c:pt idx="359">
                  <c:v>30727.25</c:v>
                </c:pt>
                <c:pt idx="360">
                  <c:v>30903</c:v>
                </c:pt>
                <c:pt idx="361">
                  <c:v>31083</c:v>
                </c:pt>
                <c:pt idx="362">
                  <c:v>31263</c:v>
                </c:pt>
                <c:pt idx="363">
                  <c:v>31443</c:v>
                </c:pt>
                <c:pt idx="364">
                  <c:v>31623</c:v>
                </c:pt>
                <c:pt idx="365">
                  <c:v>31807</c:v>
                </c:pt>
                <c:pt idx="366">
                  <c:v>31991</c:v>
                </c:pt>
                <c:pt idx="367">
                  <c:v>32175</c:v>
                </c:pt>
                <c:pt idx="368">
                  <c:v>32359</c:v>
                </c:pt>
                <c:pt idx="369">
                  <c:v>32547.5</c:v>
                </c:pt>
                <c:pt idx="370">
                  <c:v>32736</c:v>
                </c:pt>
                <c:pt idx="371">
                  <c:v>32924.5</c:v>
                </c:pt>
                <c:pt idx="372">
                  <c:v>33113</c:v>
                </c:pt>
                <c:pt idx="373">
                  <c:v>33305.75</c:v>
                </c:pt>
                <c:pt idx="374">
                  <c:v>33498.5</c:v>
                </c:pt>
                <c:pt idx="375">
                  <c:v>33691.25</c:v>
                </c:pt>
                <c:pt idx="376">
                  <c:v>33884</c:v>
                </c:pt>
                <c:pt idx="377">
                  <c:v>34081.5</c:v>
                </c:pt>
                <c:pt idx="378">
                  <c:v>34279</c:v>
                </c:pt>
                <c:pt idx="379">
                  <c:v>34476.5</c:v>
                </c:pt>
                <c:pt idx="380">
                  <c:v>34674</c:v>
                </c:pt>
                <c:pt idx="381">
                  <c:v>34875.75</c:v>
                </c:pt>
                <c:pt idx="382">
                  <c:v>35077.5</c:v>
                </c:pt>
                <c:pt idx="383">
                  <c:v>35279.25</c:v>
                </c:pt>
                <c:pt idx="384">
                  <c:v>35481</c:v>
                </c:pt>
                <c:pt idx="385">
                  <c:v>35687.75</c:v>
                </c:pt>
                <c:pt idx="386">
                  <c:v>35894.5</c:v>
                </c:pt>
                <c:pt idx="387">
                  <c:v>36101.25</c:v>
                </c:pt>
                <c:pt idx="388">
                  <c:v>36308</c:v>
                </c:pt>
                <c:pt idx="389">
                  <c:v>36519.5</c:v>
                </c:pt>
                <c:pt idx="390">
                  <c:v>36731</c:v>
                </c:pt>
                <c:pt idx="391">
                  <c:v>36942.5</c:v>
                </c:pt>
                <c:pt idx="392">
                  <c:v>37154</c:v>
                </c:pt>
                <c:pt idx="393">
                  <c:v>37370.25</c:v>
                </c:pt>
                <c:pt idx="394">
                  <c:v>37586.5</c:v>
                </c:pt>
                <c:pt idx="395">
                  <c:v>37802.75</c:v>
                </c:pt>
                <c:pt idx="396">
                  <c:v>38019</c:v>
                </c:pt>
                <c:pt idx="397">
                  <c:v>38240.5</c:v>
                </c:pt>
                <c:pt idx="398">
                  <c:v>38462</c:v>
                </c:pt>
                <c:pt idx="399">
                  <c:v>38683.5</c:v>
                </c:pt>
                <c:pt idx="400">
                  <c:v>38905</c:v>
                </c:pt>
                <c:pt idx="401">
                  <c:v>39131.5</c:v>
                </c:pt>
                <c:pt idx="402">
                  <c:v>39358</c:v>
                </c:pt>
                <c:pt idx="403">
                  <c:v>39584.5</c:v>
                </c:pt>
                <c:pt idx="404">
                  <c:v>39811</c:v>
                </c:pt>
                <c:pt idx="405">
                  <c:v>40042.75</c:v>
                </c:pt>
                <c:pt idx="406">
                  <c:v>40274.5</c:v>
                </c:pt>
                <c:pt idx="407">
                  <c:v>40506.25</c:v>
                </c:pt>
                <c:pt idx="408">
                  <c:v>40738</c:v>
                </c:pt>
                <c:pt idx="409">
                  <c:v>40975.25</c:v>
                </c:pt>
                <c:pt idx="410">
                  <c:v>41212.5</c:v>
                </c:pt>
                <c:pt idx="411">
                  <c:v>41449.75</c:v>
                </c:pt>
                <c:pt idx="412">
                  <c:v>41687</c:v>
                </c:pt>
                <c:pt idx="413">
                  <c:v>41929.75</c:v>
                </c:pt>
                <c:pt idx="414">
                  <c:v>42172.5</c:v>
                </c:pt>
                <c:pt idx="415">
                  <c:v>42415.25</c:v>
                </c:pt>
                <c:pt idx="416">
                  <c:v>42658</c:v>
                </c:pt>
                <c:pt idx="417">
                  <c:v>42906.5</c:v>
                </c:pt>
                <c:pt idx="418">
                  <c:v>43155</c:v>
                </c:pt>
                <c:pt idx="419">
                  <c:v>43403.5</c:v>
                </c:pt>
                <c:pt idx="420">
                  <c:v>43652</c:v>
                </c:pt>
                <c:pt idx="421">
                  <c:v>43906</c:v>
                </c:pt>
                <c:pt idx="422">
                  <c:v>44160</c:v>
                </c:pt>
                <c:pt idx="423">
                  <c:v>44414</c:v>
                </c:pt>
                <c:pt idx="424">
                  <c:v>44668</c:v>
                </c:pt>
                <c:pt idx="425">
                  <c:v>44928.25</c:v>
                </c:pt>
                <c:pt idx="426">
                  <c:v>45188.5</c:v>
                </c:pt>
                <c:pt idx="427">
                  <c:v>45448.75</c:v>
                </c:pt>
                <c:pt idx="428">
                  <c:v>45709</c:v>
                </c:pt>
                <c:pt idx="429">
                  <c:v>45975.25</c:v>
                </c:pt>
                <c:pt idx="430">
                  <c:v>46241.5</c:v>
                </c:pt>
                <c:pt idx="431">
                  <c:v>46507.75</c:v>
                </c:pt>
                <c:pt idx="432">
                  <c:v>46774</c:v>
                </c:pt>
                <c:pt idx="433">
                  <c:v>47046.25</c:v>
                </c:pt>
                <c:pt idx="434">
                  <c:v>47318.5</c:v>
                </c:pt>
                <c:pt idx="435">
                  <c:v>47590.75</c:v>
                </c:pt>
                <c:pt idx="436">
                  <c:v>47863</c:v>
                </c:pt>
                <c:pt idx="437">
                  <c:v>48141.75</c:v>
                </c:pt>
                <c:pt idx="438">
                  <c:v>48420.5</c:v>
                </c:pt>
                <c:pt idx="439">
                  <c:v>48699.25</c:v>
                </c:pt>
                <c:pt idx="440">
                  <c:v>48978</c:v>
                </c:pt>
                <c:pt idx="441">
                  <c:v>49263.25</c:v>
                </c:pt>
                <c:pt idx="442">
                  <c:v>49548.5</c:v>
                </c:pt>
                <c:pt idx="443">
                  <c:v>49833.75</c:v>
                </c:pt>
                <c:pt idx="444">
                  <c:v>50119</c:v>
                </c:pt>
                <c:pt idx="445">
                  <c:v>50410.75</c:v>
                </c:pt>
                <c:pt idx="446">
                  <c:v>50702.5</c:v>
                </c:pt>
                <c:pt idx="447">
                  <c:v>50994.25</c:v>
                </c:pt>
                <c:pt idx="448">
                  <c:v>51286</c:v>
                </c:pt>
                <c:pt idx="449">
                  <c:v>51584.75</c:v>
                </c:pt>
                <c:pt idx="450">
                  <c:v>51883.5</c:v>
                </c:pt>
                <c:pt idx="451">
                  <c:v>52182.25</c:v>
                </c:pt>
                <c:pt idx="452">
                  <c:v>52481</c:v>
                </c:pt>
                <c:pt idx="453">
                  <c:v>52786.5</c:v>
                </c:pt>
                <c:pt idx="454">
                  <c:v>53092</c:v>
                </c:pt>
                <c:pt idx="455">
                  <c:v>53397.5</c:v>
                </c:pt>
                <c:pt idx="456">
                  <c:v>53703</c:v>
                </c:pt>
                <c:pt idx="457">
                  <c:v>54015.75</c:v>
                </c:pt>
                <c:pt idx="458">
                  <c:v>54328.5</c:v>
                </c:pt>
                <c:pt idx="459">
                  <c:v>54641.25</c:v>
                </c:pt>
                <c:pt idx="460">
                  <c:v>54954</c:v>
                </c:pt>
                <c:pt idx="461">
                  <c:v>55274</c:v>
                </c:pt>
                <c:pt idx="462">
                  <c:v>55594</c:v>
                </c:pt>
                <c:pt idx="463">
                  <c:v>55914</c:v>
                </c:pt>
                <c:pt idx="464">
                  <c:v>56234</c:v>
                </c:pt>
                <c:pt idx="465">
                  <c:v>56561.5</c:v>
                </c:pt>
                <c:pt idx="466">
                  <c:v>56889</c:v>
                </c:pt>
                <c:pt idx="467">
                  <c:v>57216.5</c:v>
                </c:pt>
                <c:pt idx="468">
                  <c:v>57544</c:v>
                </c:pt>
                <c:pt idx="469">
                  <c:v>57879</c:v>
                </c:pt>
                <c:pt idx="470">
                  <c:v>58214</c:v>
                </c:pt>
                <c:pt idx="471">
                  <c:v>58549</c:v>
                </c:pt>
                <c:pt idx="472">
                  <c:v>58884</c:v>
                </c:pt>
                <c:pt idx="473">
                  <c:v>59227</c:v>
                </c:pt>
                <c:pt idx="474">
                  <c:v>59570</c:v>
                </c:pt>
                <c:pt idx="475">
                  <c:v>59913</c:v>
                </c:pt>
                <c:pt idx="476">
                  <c:v>60256</c:v>
                </c:pt>
                <c:pt idx="477">
                  <c:v>60607</c:v>
                </c:pt>
                <c:pt idx="478">
                  <c:v>60958</c:v>
                </c:pt>
                <c:pt idx="479">
                  <c:v>61309</c:v>
                </c:pt>
                <c:pt idx="480">
                  <c:v>61660</c:v>
                </c:pt>
                <c:pt idx="481">
                  <c:v>62019</c:v>
                </c:pt>
                <c:pt idx="482">
                  <c:v>62378</c:v>
                </c:pt>
                <c:pt idx="483">
                  <c:v>62737</c:v>
                </c:pt>
                <c:pt idx="484">
                  <c:v>63096</c:v>
                </c:pt>
                <c:pt idx="485">
                  <c:v>63463.25</c:v>
                </c:pt>
                <c:pt idx="486">
                  <c:v>63830.5</c:v>
                </c:pt>
                <c:pt idx="487">
                  <c:v>64197.75</c:v>
                </c:pt>
                <c:pt idx="488">
                  <c:v>64565</c:v>
                </c:pt>
                <c:pt idx="489">
                  <c:v>64941</c:v>
                </c:pt>
                <c:pt idx="490">
                  <c:v>65317</c:v>
                </c:pt>
                <c:pt idx="491">
                  <c:v>65693</c:v>
                </c:pt>
                <c:pt idx="492">
                  <c:v>66069</c:v>
                </c:pt>
                <c:pt idx="493">
                  <c:v>66453.75</c:v>
                </c:pt>
                <c:pt idx="494">
                  <c:v>66838.5</c:v>
                </c:pt>
                <c:pt idx="495">
                  <c:v>67223.25</c:v>
                </c:pt>
                <c:pt idx="496">
                  <c:v>67608</c:v>
                </c:pt>
                <c:pt idx="497">
                  <c:v>68001.75</c:v>
                </c:pt>
                <c:pt idx="498">
                  <c:v>68395.5</c:v>
                </c:pt>
                <c:pt idx="499">
                  <c:v>68789.25</c:v>
                </c:pt>
                <c:pt idx="500">
                  <c:v>69183</c:v>
                </c:pt>
                <c:pt idx="501">
                  <c:v>69586</c:v>
                </c:pt>
                <c:pt idx="502">
                  <c:v>69989</c:v>
                </c:pt>
                <c:pt idx="503">
                  <c:v>70392</c:v>
                </c:pt>
                <c:pt idx="504">
                  <c:v>70795</c:v>
                </c:pt>
                <c:pt idx="505">
                  <c:v>71207.25</c:v>
                </c:pt>
                <c:pt idx="506">
                  <c:v>71619.5</c:v>
                </c:pt>
                <c:pt idx="507">
                  <c:v>72031.75</c:v>
                </c:pt>
                <c:pt idx="508">
                  <c:v>72444</c:v>
                </c:pt>
                <c:pt idx="509">
                  <c:v>72865.75</c:v>
                </c:pt>
                <c:pt idx="510">
                  <c:v>73287.5</c:v>
                </c:pt>
                <c:pt idx="511">
                  <c:v>73709.25</c:v>
                </c:pt>
                <c:pt idx="512">
                  <c:v>74131</c:v>
                </c:pt>
                <c:pt idx="513">
                  <c:v>74562.75</c:v>
                </c:pt>
                <c:pt idx="514">
                  <c:v>74994.5</c:v>
                </c:pt>
                <c:pt idx="515">
                  <c:v>75426.25</c:v>
                </c:pt>
                <c:pt idx="516">
                  <c:v>75858</c:v>
                </c:pt>
                <c:pt idx="517">
                  <c:v>76299.75</c:v>
                </c:pt>
                <c:pt idx="518">
                  <c:v>76741.5</c:v>
                </c:pt>
                <c:pt idx="519">
                  <c:v>77183.25</c:v>
                </c:pt>
                <c:pt idx="520">
                  <c:v>77625</c:v>
                </c:pt>
                <c:pt idx="521">
                  <c:v>78077</c:v>
                </c:pt>
                <c:pt idx="522">
                  <c:v>78529</c:v>
                </c:pt>
                <c:pt idx="523">
                  <c:v>78981</c:v>
                </c:pt>
                <c:pt idx="524">
                  <c:v>79433</c:v>
                </c:pt>
                <c:pt idx="525">
                  <c:v>79895.5</c:v>
                </c:pt>
                <c:pt idx="526">
                  <c:v>80358</c:v>
                </c:pt>
                <c:pt idx="527">
                  <c:v>80820.5</c:v>
                </c:pt>
                <c:pt idx="528">
                  <c:v>81283</c:v>
                </c:pt>
                <c:pt idx="529">
                  <c:v>81756.25</c:v>
                </c:pt>
                <c:pt idx="530">
                  <c:v>82229.5</c:v>
                </c:pt>
                <c:pt idx="531">
                  <c:v>82702.75</c:v>
                </c:pt>
                <c:pt idx="532">
                  <c:v>83176</c:v>
                </c:pt>
                <c:pt idx="533">
                  <c:v>83660.5</c:v>
                </c:pt>
                <c:pt idx="534">
                  <c:v>84145</c:v>
                </c:pt>
                <c:pt idx="535">
                  <c:v>84629.5</c:v>
                </c:pt>
                <c:pt idx="536">
                  <c:v>85114</c:v>
                </c:pt>
                <c:pt idx="537">
                  <c:v>85609.5</c:v>
                </c:pt>
                <c:pt idx="538">
                  <c:v>86105</c:v>
                </c:pt>
                <c:pt idx="539">
                  <c:v>86600.5</c:v>
                </c:pt>
                <c:pt idx="540">
                  <c:v>87096</c:v>
                </c:pt>
                <c:pt idx="541">
                  <c:v>87603.25</c:v>
                </c:pt>
                <c:pt idx="542">
                  <c:v>88110.5</c:v>
                </c:pt>
                <c:pt idx="543">
                  <c:v>88617.75</c:v>
                </c:pt>
                <c:pt idx="544">
                  <c:v>89125</c:v>
                </c:pt>
                <c:pt idx="545">
                  <c:v>89644</c:v>
                </c:pt>
                <c:pt idx="546">
                  <c:v>90163</c:v>
                </c:pt>
                <c:pt idx="547">
                  <c:v>90682</c:v>
                </c:pt>
                <c:pt idx="548">
                  <c:v>91201</c:v>
                </c:pt>
                <c:pt idx="549">
                  <c:v>91732</c:v>
                </c:pt>
                <c:pt idx="550">
                  <c:v>92263</c:v>
                </c:pt>
                <c:pt idx="551">
                  <c:v>92794</c:v>
                </c:pt>
                <c:pt idx="552">
                  <c:v>93325</c:v>
                </c:pt>
                <c:pt idx="553">
                  <c:v>93868.5</c:v>
                </c:pt>
                <c:pt idx="554">
                  <c:v>94412</c:v>
                </c:pt>
                <c:pt idx="555">
                  <c:v>94955.5</c:v>
                </c:pt>
                <c:pt idx="556">
                  <c:v>95499</c:v>
                </c:pt>
                <c:pt idx="557">
                  <c:v>96611.5</c:v>
                </c:pt>
                <c:pt idx="558">
                  <c:v>97724</c:v>
                </c:pt>
                <c:pt idx="559">
                  <c:v>98862</c:v>
                </c:pt>
                <c:pt idx="560">
                  <c:v>100000</c:v>
                </c:pt>
                <c:pt idx="561">
                  <c:v>101165</c:v>
                </c:pt>
                <c:pt idx="562">
                  <c:v>102330</c:v>
                </c:pt>
                <c:pt idx="563">
                  <c:v>103520</c:v>
                </c:pt>
                <c:pt idx="564">
                  <c:v>104710</c:v>
                </c:pt>
                <c:pt idx="565">
                  <c:v>105930</c:v>
                </c:pt>
                <c:pt idx="566">
                  <c:v>107150</c:v>
                </c:pt>
                <c:pt idx="567">
                  <c:v>108400</c:v>
                </c:pt>
                <c:pt idx="568">
                  <c:v>109650</c:v>
                </c:pt>
                <c:pt idx="569">
                  <c:v>110925</c:v>
                </c:pt>
                <c:pt idx="570">
                  <c:v>112200</c:v>
                </c:pt>
                <c:pt idx="571">
                  <c:v>113510</c:v>
                </c:pt>
                <c:pt idx="572">
                  <c:v>114820</c:v>
                </c:pt>
                <c:pt idx="573">
                  <c:v>116155</c:v>
                </c:pt>
                <c:pt idx="574">
                  <c:v>117490</c:v>
                </c:pt>
                <c:pt idx="575">
                  <c:v>118860</c:v>
                </c:pt>
                <c:pt idx="576">
                  <c:v>120230</c:v>
                </c:pt>
                <c:pt idx="577">
                  <c:v>126030</c:v>
                </c:pt>
                <c:pt idx="578">
                  <c:v>131830</c:v>
                </c:pt>
                <c:pt idx="579">
                  <c:v>144540</c:v>
                </c:pt>
                <c:pt idx="580">
                  <c:v>158490</c:v>
                </c:pt>
                <c:pt idx="581">
                  <c:v>173780</c:v>
                </c:pt>
                <c:pt idx="582">
                  <c:v>190550</c:v>
                </c:pt>
                <c:pt idx="583">
                  <c:v>208930</c:v>
                </c:pt>
                <c:pt idx="584">
                  <c:v>229090</c:v>
                </c:pt>
                <c:pt idx="585">
                  <c:v>251190</c:v>
                </c:pt>
                <c:pt idx="586">
                  <c:v>275420</c:v>
                </c:pt>
                <c:pt idx="587">
                  <c:v>302000</c:v>
                </c:pt>
                <c:pt idx="588">
                  <c:v>331130</c:v>
                </c:pt>
                <c:pt idx="589">
                  <c:v>363080</c:v>
                </c:pt>
                <c:pt idx="590">
                  <c:v>398110</c:v>
                </c:pt>
                <c:pt idx="591">
                  <c:v>436520</c:v>
                </c:pt>
                <c:pt idx="592">
                  <c:v>478630</c:v>
                </c:pt>
                <c:pt idx="593">
                  <c:v>524810</c:v>
                </c:pt>
                <c:pt idx="594">
                  <c:v>575440</c:v>
                </c:pt>
                <c:pt idx="595">
                  <c:v>630960</c:v>
                </c:pt>
                <c:pt idx="596">
                  <c:v>691830</c:v>
                </c:pt>
                <c:pt idx="597">
                  <c:v>758580</c:v>
                </c:pt>
                <c:pt idx="598">
                  <c:v>831760</c:v>
                </c:pt>
                <c:pt idx="599">
                  <c:v>912010</c:v>
                </c:pt>
                <c:pt idx="600">
                  <c:v>1000000</c:v>
                </c:pt>
              </c:numCache>
            </c:numRef>
          </c:xVal>
          <c:yVal>
            <c:numRef>
              <c:f>'Stability Calculations'!$U$13:$U$613</c:f>
              <c:numCache>
                <c:formatCode>0.00</c:formatCode>
                <c:ptCount val="601"/>
                <c:pt idx="0">
                  <c:v>97.910120864692971</c:v>
                </c:pt>
                <c:pt idx="1">
                  <c:v>97.382974754612306</c:v>
                </c:pt>
                <c:pt idx="2">
                  <c:v>96.823801482384383</c:v>
                </c:pt>
                <c:pt idx="3">
                  <c:v>96.234846201076479</c:v>
                </c:pt>
                <c:pt idx="4">
                  <c:v>95.618982119407946</c:v>
                </c:pt>
                <c:pt idx="5">
                  <c:v>94.977739423056349</c:v>
                </c:pt>
                <c:pt idx="6">
                  <c:v>94.314585839193455</c:v>
                </c:pt>
                <c:pt idx="7">
                  <c:v>93.631600897245804</c:v>
                </c:pt>
                <c:pt idx="8">
                  <c:v>92.9316693489627</c:v>
                </c:pt>
                <c:pt idx="9">
                  <c:v>92.216477074933536</c:v>
                </c:pt>
                <c:pt idx="10">
                  <c:v>91.488451340513848</c:v>
                </c:pt>
                <c:pt idx="11">
                  <c:v>90.749307946608951</c:v>
                </c:pt>
                <c:pt idx="12">
                  <c:v>90.000259911093309</c:v>
                </c:pt>
                <c:pt idx="13">
                  <c:v>89.24344071920423</c:v>
                </c:pt>
                <c:pt idx="14">
                  <c:v>88.479479006104199</c:v>
                </c:pt>
                <c:pt idx="15">
                  <c:v>87.709729064206172</c:v>
                </c:pt>
                <c:pt idx="16">
                  <c:v>86.93504182683013</c:v>
                </c:pt>
                <c:pt idx="17">
                  <c:v>86.156307188711708</c:v>
                </c:pt>
                <c:pt idx="18">
                  <c:v>85.373960880515881</c:v>
                </c:pt>
                <c:pt idx="19">
                  <c:v>84.58877322767195</c:v>
                </c:pt>
                <c:pt idx="20">
                  <c:v>83.801060553881882</c:v>
                </c:pt>
                <c:pt idx="21">
                  <c:v>83.011381276878723</c:v>
                </c:pt>
                <c:pt idx="22">
                  <c:v>82.219900558489201</c:v>
                </c:pt>
                <c:pt idx="23">
                  <c:v>81.427093935125598</c:v>
                </c:pt>
                <c:pt idx="24">
                  <c:v>80.63299358079199</c:v>
                </c:pt>
                <c:pt idx="25">
                  <c:v>79.837917610135349</c:v>
                </c:pt>
                <c:pt idx="26">
                  <c:v>79.041843528781556</c:v>
                </c:pt>
                <c:pt idx="27">
                  <c:v>78.245160440505359</c:v>
                </c:pt>
                <c:pt idx="28">
                  <c:v>77.44795052300519</c:v>
                </c:pt>
                <c:pt idx="29">
                  <c:v>76.650803439246971</c:v>
                </c:pt>
                <c:pt idx="30">
                  <c:v>75.85244900974385</c:v>
                </c:pt>
                <c:pt idx="31">
                  <c:v>75.054067130034028</c:v>
                </c:pt>
                <c:pt idx="32">
                  <c:v>74.255169854259179</c:v>
                </c:pt>
                <c:pt idx="33">
                  <c:v>73.456370665305599</c:v>
                </c:pt>
                <c:pt idx="34">
                  <c:v>72.657089842253953</c:v>
                </c:pt>
                <c:pt idx="35">
                  <c:v>71.857806682539177</c:v>
                </c:pt>
                <c:pt idx="36">
                  <c:v>71.058422529554178</c:v>
                </c:pt>
                <c:pt idx="37">
                  <c:v>70.258525250797391</c:v>
                </c:pt>
                <c:pt idx="38">
                  <c:v>69.458890278822565</c:v>
                </c:pt>
                <c:pt idx="39">
                  <c:v>68.658882606316425</c:v>
                </c:pt>
                <c:pt idx="40">
                  <c:v>67.858809470775611</c:v>
                </c:pt>
                <c:pt idx="41">
                  <c:v>67.058602163885638</c:v>
                </c:pt>
                <c:pt idx="42">
                  <c:v>66.258366236335902</c:v>
                </c:pt>
                <c:pt idx="43">
                  <c:v>65.457856606127422</c:v>
                </c:pt>
                <c:pt idx="44">
                  <c:v>64.657270718298662</c:v>
                </c:pt>
                <c:pt idx="45">
                  <c:v>63.856425720145367</c:v>
                </c:pt>
                <c:pt idx="46">
                  <c:v>63.055455449753772</c:v>
                </c:pt>
                <c:pt idx="47">
                  <c:v>62.254152171995386</c:v>
                </c:pt>
                <c:pt idx="48">
                  <c:v>61.452669356393926</c:v>
                </c:pt>
                <c:pt idx="49">
                  <c:v>60.650748696386984</c:v>
                </c:pt>
                <c:pt idx="50">
                  <c:v>59.848448753605112</c:v>
                </c:pt>
                <c:pt idx="51">
                  <c:v>59.04550372548168</c:v>
                </c:pt>
                <c:pt idx="52">
                  <c:v>58.242074715398374</c:v>
                </c:pt>
                <c:pt idx="53">
                  <c:v>57.438017588337836</c:v>
                </c:pt>
                <c:pt idx="54">
                  <c:v>56.633697650294614</c:v>
                </c:pt>
                <c:pt idx="55">
                  <c:v>55.827593156974046</c:v>
                </c:pt>
                <c:pt idx="56">
                  <c:v>55.020637323587735</c:v>
                </c:pt>
                <c:pt idx="57">
                  <c:v>54.212053789282777</c:v>
                </c:pt>
                <c:pt idx="58">
                  <c:v>53.402146641542686</c:v>
                </c:pt>
                <c:pt idx="59">
                  <c:v>52.589968044149408</c:v>
                </c:pt>
                <c:pt idx="60">
                  <c:v>51.775591676376315</c:v>
                </c:pt>
                <c:pt idx="61">
                  <c:v>50.958441496758752</c:v>
                </c:pt>
                <c:pt idx="62">
                  <c:v>50.137542754669731</c:v>
                </c:pt>
                <c:pt idx="63">
                  <c:v>49.313052691433953</c:v>
                </c:pt>
                <c:pt idx="64">
                  <c:v>48.483579190393975</c:v>
                </c:pt>
                <c:pt idx="65">
                  <c:v>47.648589038630639</c:v>
                </c:pt>
                <c:pt idx="66">
                  <c:v>46.807038010399907</c:v>
                </c:pt>
                <c:pt idx="67">
                  <c:v>45.957933868015701</c:v>
                </c:pt>
                <c:pt idx="68">
                  <c:v>45.099775154820072</c:v>
                </c:pt>
                <c:pt idx="69">
                  <c:v>44.231396846329496</c:v>
                </c:pt>
                <c:pt idx="70">
                  <c:v>43.351099906815264</c:v>
                </c:pt>
                <c:pt idx="71">
                  <c:v>42.457428738639479</c:v>
                </c:pt>
                <c:pt idx="72">
                  <c:v>41.548483880723346</c:v>
                </c:pt>
                <c:pt idx="73">
                  <c:v>40.622764448413385</c:v>
                </c:pt>
                <c:pt idx="74">
                  <c:v>39.678365184079261</c:v>
                </c:pt>
                <c:pt idx="75">
                  <c:v>38.713911571433478</c:v>
                </c:pt>
                <c:pt idx="76">
                  <c:v>37.727920113789303</c:v>
                </c:pt>
                <c:pt idx="77">
                  <c:v>36.719838969166673</c:v>
                </c:pt>
                <c:pt idx="78">
                  <c:v>35.689291292314934</c:v>
                </c:pt>
                <c:pt idx="79">
                  <c:v>34.637235829266217</c:v>
                </c:pt>
                <c:pt idx="80">
                  <c:v>33.562906752457437</c:v>
                </c:pt>
                <c:pt idx="81">
                  <c:v>32.469593580267428</c:v>
                </c:pt>
                <c:pt idx="82">
                  <c:v>31.359153858241505</c:v>
                </c:pt>
                <c:pt idx="83">
                  <c:v>30.235708344947767</c:v>
                </c:pt>
                <c:pt idx="84">
                  <c:v>29.102337739069682</c:v>
                </c:pt>
                <c:pt idx="85">
                  <c:v>27.964075096928479</c:v>
                </c:pt>
                <c:pt idx="86">
                  <c:v>26.825392460092612</c:v>
                </c:pt>
                <c:pt idx="87">
                  <c:v>25.690345464924029</c:v>
                </c:pt>
                <c:pt idx="88">
                  <c:v>24.56447481727221</c:v>
                </c:pt>
                <c:pt idx="89">
                  <c:v>23.450915165273216</c:v>
                </c:pt>
                <c:pt idx="90">
                  <c:v>22.353543958901327</c:v>
                </c:pt>
                <c:pt idx="91">
                  <c:v>21.274999937012446</c:v>
                </c:pt>
                <c:pt idx="92">
                  <c:v>20.217377392680035</c:v>
                </c:pt>
                <c:pt idx="93">
                  <c:v>19.181521791650635</c:v>
                </c:pt>
                <c:pt idx="94">
                  <c:v>18.926153040044305</c:v>
                </c:pt>
                <c:pt idx="95">
                  <c:v>18.798206881707912</c:v>
                </c:pt>
                <c:pt idx="96">
                  <c:v>18.672072929988143</c:v>
                </c:pt>
                <c:pt idx="97">
                  <c:v>18.544843397922634</c:v>
                </c:pt>
                <c:pt idx="98">
                  <c:v>18.419416572863035</c:v>
                </c:pt>
                <c:pt idx="99">
                  <c:v>18.292869238453001</c:v>
                </c:pt>
                <c:pt idx="100">
                  <c:v>18.168115458566703</c:v>
                </c:pt>
                <c:pt idx="101">
                  <c:v>18.042312950442188</c:v>
                </c:pt>
                <c:pt idx="102">
                  <c:v>17.918292469146884</c:v>
                </c:pt>
                <c:pt idx="103">
                  <c:v>17.793109234814231</c:v>
                </c:pt>
                <c:pt idx="104">
                  <c:v>17.669699432805203</c:v>
                </c:pt>
                <c:pt idx="105">
                  <c:v>17.545199784958953</c:v>
                </c:pt>
                <c:pt idx="106">
                  <c:v>17.422462580690329</c:v>
                </c:pt>
                <c:pt idx="107">
                  <c:v>17.298703764971002</c:v>
                </c:pt>
                <c:pt idx="108">
                  <c:v>17.176694223018046</c:v>
                </c:pt>
                <c:pt idx="109">
                  <c:v>17.053643682436061</c:v>
                </c:pt>
                <c:pt idx="110">
                  <c:v>16.932329605776079</c:v>
                </c:pt>
                <c:pt idx="111">
                  <c:v>16.809877046962075</c:v>
                </c:pt>
                <c:pt idx="112">
                  <c:v>16.689150696421219</c:v>
                </c:pt>
                <c:pt idx="113">
                  <c:v>16.567354842666113</c:v>
                </c:pt>
                <c:pt idx="114">
                  <c:v>16.44727277800477</c:v>
                </c:pt>
                <c:pt idx="115">
                  <c:v>16.326109355810459</c:v>
                </c:pt>
                <c:pt idx="116">
                  <c:v>16.206647481957646</c:v>
                </c:pt>
                <c:pt idx="117">
                  <c:v>16.086094546141091</c:v>
                </c:pt>
                <c:pt idx="118">
                  <c:v>15.967231048963042</c:v>
                </c:pt>
                <c:pt idx="119">
                  <c:v>15.847340953347022</c:v>
                </c:pt>
                <c:pt idx="120">
                  <c:v>15.729126271437943</c:v>
                </c:pt>
                <c:pt idx="121">
                  <c:v>15.609875081052074</c:v>
                </c:pt>
                <c:pt idx="122">
                  <c:v>15.492285509760386</c:v>
                </c:pt>
                <c:pt idx="123">
                  <c:v>15.37358311996627</c:v>
                </c:pt>
                <c:pt idx="124">
                  <c:v>15.256530630500533</c:v>
                </c:pt>
                <c:pt idx="125">
                  <c:v>15.138429091673638</c:v>
                </c:pt>
                <c:pt idx="126">
                  <c:v>15.021963899693953</c:v>
                </c:pt>
                <c:pt idx="127">
                  <c:v>14.904444802698457</c:v>
                </c:pt>
                <c:pt idx="128">
                  <c:v>14.788548632745984</c:v>
                </c:pt>
                <c:pt idx="129">
                  <c:v>14.671595140135329</c:v>
                </c:pt>
                <c:pt idx="130">
                  <c:v>14.556251264066475</c:v>
                </c:pt>
                <c:pt idx="131">
                  <c:v>14.43984796587312</c:v>
                </c:pt>
                <c:pt idx="132">
                  <c:v>14.382247656627356</c:v>
                </c:pt>
                <c:pt idx="133">
                  <c:v>14.325041062669893</c:v>
                </c:pt>
                <c:pt idx="134">
                  <c:v>14.266876943442707</c:v>
                </c:pt>
                <c:pt idx="135">
                  <c:v>14.209114439460384</c:v>
                </c:pt>
                <c:pt idx="136">
                  <c:v>14.151748124273331</c:v>
                </c:pt>
                <c:pt idx="137">
                  <c:v>14.094772675004936</c:v>
                </c:pt>
                <c:pt idx="138">
                  <c:v>14.036902502132119</c:v>
                </c:pt>
                <c:pt idx="139">
                  <c:v>13.979430204970399</c:v>
                </c:pt>
                <c:pt idx="140">
                  <c:v>13.922350410090802</c:v>
                </c:pt>
                <c:pt idx="141">
                  <c:v>13.865657846911308</c:v>
                </c:pt>
                <c:pt idx="142">
                  <c:v>13.808016626304854</c:v>
                </c:pt>
                <c:pt idx="143">
                  <c:v>13.750770361975722</c:v>
                </c:pt>
                <c:pt idx="144">
                  <c:v>13.69391371848312</c:v>
                </c:pt>
                <c:pt idx="145">
                  <c:v>13.637441462855699</c:v>
                </c:pt>
                <c:pt idx="146">
                  <c:v>13.580053570982669</c:v>
                </c:pt>
                <c:pt idx="147">
                  <c:v>13.523057315842186</c:v>
                </c:pt>
                <c:pt idx="148">
                  <c:v>13.466447409514879</c:v>
                </c:pt>
                <c:pt idx="149">
                  <c:v>13.410218665897244</c:v>
                </c:pt>
                <c:pt idx="150">
                  <c:v>13.353079015313069</c:v>
                </c:pt>
                <c:pt idx="151">
                  <c:v>13.296327690122604</c:v>
                </c:pt>
                <c:pt idx="152">
                  <c:v>13.239959451152551</c:v>
                </c:pt>
                <c:pt idx="153">
                  <c:v>13.183969160327365</c:v>
                </c:pt>
                <c:pt idx="154">
                  <c:v>13.127046969996179</c:v>
                </c:pt>
                <c:pt idx="155">
                  <c:v>13.07051015294681</c:v>
                </c:pt>
                <c:pt idx="156">
                  <c:v>13.014353512827883</c:v>
                </c:pt>
                <c:pt idx="157">
                  <c:v>12.958571953787644</c:v>
                </c:pt>
                <c:pt idx="158">
                  <c:v>12.901864979648662</c:v>
                </c:pt>
                <c:pt idx="159">
                  <c:v>12.845540402317797</c:v>
                </c:pt>
                <c:pt idx="160">
                  <c:v>12.789593070009527</c:v>
                </c:pt>
                <c:pt idx="161">
                  <c:v>12.734017930764121</c:v>
                </c:pt>
                <c:pt idx="162">
                  <c:v>12.677548857147949</c:v>
                </c:pt>
                <c:pt idx="163">
                  <c:v>12.621458850198518</c:v>
                </c:pt>
                <c:pt idx="164">
                  <c:v>12.565742810995991</c:v>
                </c:pt>
                <c:pt idx="165">
                  <c:v>12.510395739528061</c:v>
                </c:pt>
                <c:pt idx="166">
                  <c:v>12.454112596250983</c:v>
                </c:pt>
                <c:pt idx="167">
                  <c:v>12.398205839169133</c:v>
                </c:pt>
                <c:pt idx="168">
                  <c:v>12.34267041027449</c:v>
                </c:pt>
                <c:pt idx="169">
                  <c:v>12.287501349827037</c:v>
                </c:pt>
                <c:pt idx="170">
                  <c:v>12.23152159275805</c:v>
                </c:pt>
                <c:pt idx="171">
                  <c:v>12.175913939140607</c:v>
                </c:pt>
                <c:pt idx="172">
                  <c:v>12.120673405056353</c:v>
                </c:pt>
                <c:pt idx="173">
                  <c:v>12.065795103330132</c:v>
                </c:pt>
                <c:pt idx="174">
                  <c:v>12.009904343538125</c:v>
                </c:pt>
                <c:pt idx="175">
                  <c:v>11.95438420886212</c:v>
                </c:pt>
                <c:pt idx="176">
                  <c:v>11.899229734244843</c:v>
                </c:pt>
                <c:pt idx="177">
                  <c:v>11.844436051246095</c:v>
                </c:pt>
                <c:pt idx="178">
                  <c:v>11.7886641994206</c:v>
                </c:pt>
                <c:pt idx="179">
                  <c:v>11.733261054559224</c:v>
                </c:pt>
                <c:pt idx="180">
                  <c:v>11.678221680204759</c:v>
                </c:pt>
                <c:pt idx="181">
                  <c:v>11.623541236114765</c:v>
                </c:pt>
                <c:pt idx="182">
                  <c:v>11.568132031204021</c:v>
                </c:pt>
                <c:pt idx="183">
                  <c:v>11.513086380539532</c:v>
                </c:pt>
                <c:pt idx="184">
                  <c:v>11.458399441706611</c:v>
                </c:pt>
                <c:pt idx="185">
                  <c:v>11.404066466384432</c:v>
                </c:pt>
                <c:pt idx="186">
                  <c:v>11.348605775661802</c:v>
                </c:pt>
                <c:pt idx="187">
                  <c:v>11.293508880817519</c:v>
                </c:pt>
                <c:pt idx="188">
                  <c:v>11.238770926667856</c:v>
                </c:pt>
                <c:pt idx="189">
                  <c:v>11.184387152741257</c:v>
                </c:pt>
                <c:pt idx="190">
                  <c:v>11.129325071275527</c:v>
                </c:pt>
                <c:pt idx="191">
                  <c:v>11.07462112527082</c:v>
                </c:pt>
                <c:pt idx="192">
                  <c:v>11.020270564991804</c:v>
                </c:pt>
                <c:pt idx="193">
                  <c:v>10.966268732952303</c:v>
                </c:pt>
                <c:pt idx="194">
                  <c:v>10.911208895027524</c:v>
                </c:pt>
                <c:pt idx="195">
                  <c:v>10.856506660322967</c:v>
                </c:pt>
                <c:pt idx="196">
                  <c:v>10.802157283307434</c:v>
                </c:pt>
                <c:pt idx="197">
                  <c:v>10.748156110832053</c:v>
                </c:pt>
                <c:pt idx="198">
                  <c:v>10.693327408353943</c:v>
                </c:pt>
                <c:pt idx="199">
                  <c:v>10.638852787657187</c:v>
                </c:pt>
                <c:pt idx="200">
                  <c:v>10.584727567276706</c:v>
                </c:pt>
                <c:pt idx="201">
                  <c:v>10.530947156695447</c:v>
                </c:pt>
                <c:pt idx="202">
                  <c:v>10.476365600572873</c:v>
                </c:pt>
                <c:pt idx="203">
                  <c:v>10.422134389171731</c:v>
                </c:pt>
                <c:pt idx="204">
                  <c:v>10.368248909753282</c:v>
                </c:pt>
                <c:pt idx="205">
                  <c:v>10.314704638954396</c:v>
                </c:pt>
                <c:pt idx="206">
                  <c:v>10.260199044334877</c:v>
                </c:pt>
                <c:pt idx="207">
                  <c:v>10.206042231988192</c:v>
                </c:pt>
                <c:pt idx="208">
                  <c:v>10.152229615519371</c:v>
                </c:pt>
                <c:pt idx="209">
                  <c:v>10.098756697411059</c:v>
                </c:pt>
                <c:pt idx="210">
                  <c:v>10.044172871060358</c:v>
                </c:pt>
                <c:pt idx="211">
                  <c:v>9.9899382024275241</c:v>
                </c:pt>
                <c:pt idx="212">
                  <c:v>9.936048093836634</c:v>
                </c:pt>
                <c:pt idx="213">
                  <c:v>9.8824980369448028</c:v>
                </c:pt>
                <c:pt idx="214">
                  <c:v>9.8282262398072788</c:v>
                </c:pt>
                <c:pt idx="215">
                  <c:v>9.7742989873295603</c:v>
                </c:pt>
                <c:pt idx="216">
                  <c:v>9.7207117689785871</c:v>
                </c:pt>
                <c:pt idx="217">
                  <c:v>9.6674601614565354</c:v>
                </c:pt>
                <c:pt idx="218">
                  <c:v>9.6133370031333971</c:v>
                </c:pt>
                <c:pt idx="219">
                  <c:v>9.5595558446768649</c:v>
                </c:pt>
                <c:pt idx="220">
                  <c:v>9.5061122223424892</c:v>
                </c:pt>
                <c:pt idx="221">
                  <c:v>9.4530017585493695</c:v>
                </c:pt>
                <c:pt idx="222">
                  <c:v>9.3990472147675757</c:v>
                </c:pt>
                <c:pt idx="223">
                  <c:v>9.345431863703821</c:v>
                </c:pt>
                <c:pt idx="224">
                  <c:v>9.2921512937494306</c:v>
                </c:pt>
                <c:pt idx="225">
                  <c:v>9.2392011782377779</c:v>
                </c:pt>
                <c:pt idx="226">
                  <c:v>9.1852699042950761</c:v>
                </c:pt>
                <c:pt idx="227">
                  <c:v>9.1316768224468277</c:v>
                </c:pt>
                <c:pt idx="228">
                  <c:v>9.0784175383282033</c:v>
                </c:pt>
                <c:pt idx="229">
                  <c:v>9.0254877421753683</c:v>
                </c:pt>
                <c:pt idx="230">
                  <c:v>8.9180652429699077</c:v>
                </c:pt>
                <c:pt idx="231">
                  <c:v>8.8648548473224693</c:v>
                </c:pt>
                <c:pt idx="232">
                  <c:v>8.8119726122877573</c:v>
                </c:pt>
                <c:pt idx="233">
                  <c:v>8.758170562546189</c:v>
                </c:pt>
                <c:pt idx="234">
                  <c:v>8.7047036100795339</c:v>
                </c:pt>
                <c:pt idx="235">
                  <c:v>8.6515674169699199</c:v>
                </c:pt>
                <c:pt idx="236">
                  <c:v>8.5987577286205568</c:v>
                </c:pt>
                <c:pt idx="237">
                  <c:v>8.5452087184910486</c:v>
                </c:pt>
                <c:pt idx="238">
                  <c:v>8.4919909051625062</c:v>
                </c:pt>
                <c:pt idx="239">
                  <c:v>8.4391000245820766</c:v>
                </c:pt>
                <c:pt idx="240">
                  <c:v>8.3865318942002745</c:v>
                </c:pt>
                <c:pt idx="241">
                  <c:v>8.3329506285996899</c:v>
                </c:pt>
                <c:pt idx="242">
                  <c:v>8.2797001718808954</c:v>
                </c:pt>
                <c:pt idx="243">
                  <c:v>8.226776266221826</c:v>
                </c:pt>
                <c:pt idx="244">
                  <c:v>8.1741747351980525</c:v>
                </c:pt>
                <c:pt idx="245">
                  <c:v>8.1207364240203876</c:v>
                </c:pt>
                <c:pt idx="246">
                  <c:v>8.0676263614626578</c:v>
                </c:pt>
                <c:pt idx="247">
                  <c:v>8.0148403377971711</c:v>
                </c:pt>
                <c:pt idx="248">
                  <c:v>7.9623742235167194</c:v>
                </c:pt>
                <c:pt idx="249">
                  <c:v>7.9089559220633907</c:v>
                </c:pt>
                <c:pt idx="250">
                  <c:v>7.8558648025433842</c:v>
                </c:pt>
                <c:pt idx="251">
                  <c:v>7.8030966746990575</c:v>
                </c:pt>
                <c:pt idx="252">
                  <c:v>7.7506474280342399</c:v>
                </c:pt>
                <c:pt idx="253">
                  <c:v>7.6974130296042063</c:v>
                </c:pt>
                <c:pt idx="254">
                  <c:v>7.6445027351594241</c:v>
                </c:pt>
                <c:pt idx="255">
                  <c:v>7.5919124123688766</c:v>
                </c:pt>
                <c:pt idx="256">
                  <c:v>7.5396380072260873</c:v>
                </c:pt>
                <c:pt idx="257">
                  <c:v>7.4863334744004177</c:v>
                </c:pt>
                <c:pt idx="258">
                  <c:v>7.4333530405264447</c:v>
                </c:pt>
                <c:pt idx="259">
                  <c:v>7.3806925725426398</c:v>
                </c:pt>
                <c:pt idx="260">
                  <c:v>7.3283480157483982</c:v>
                </c:pt>
                <c:pt idx="261">
                  <c:v>7.2751364267269807</c:v>
                </c:pt>
                <c:pt idx="262">
                  <c:v>7.222246935583688</c:v>
                </c:pt>
                <c:pt idx="263">
                  <c:v>7.1696754465572088</c:v>
                </c:pt>
                <c:pt idx="264">
                  <c:v>7.1174179413197365</c:v>
                </c:pt>
                <c:pt idx="265">
                  <c:v>7.0643195806377799</c:v>
                </c:pt>
                <c:pt idx="266">
                  <c:v>7.0115410618201697</c:v>
                </c:pt>
                <c:pt idx="267">
                  <c:v>6.9590783311336359</c:v>
                </c:pt>
                <c:pt idx="268">
                  <c:v>6.9069274112290868</c:v>
                </c:pt>
                <c:pt idx="269">
                  <c:v>6.8538359289751565</c:v>
                </c:pt>
                <c:pt idx="270">
                  <c:v>6.8010632957318347</c:v>
                </c:pt>
                <c:pt idx="271">
                  <c:v>6.7486054757518268</c:v>
                </c:pt>
                <c:pt idx="272">
                  <c:v>6.6964585092213555</c:v>
                </c:pt>
                <c:pt idx="273">
                  <c:v>6.6433995429694273</c:v>
                </c:pt>
                <c:pt idx="274">
                  <c:v>6.5906581061291645</c:v>
                </c:pt>
                <c:pt idx="275">
                  <c:v>6.5382301870411208</c:v>
                </c:pt>
                <c:pt idx="276">
                  <c:v>6.4861118493721603</c:v>
                </c:pt>
                <c:pt idx="277">
                  <c:v>6.4332279834808297</c:v>
                </c:pt>
                <c:pt idx="278">
                  <c:v>6.3806586161599244</c:v>
                </c:pt>
                <c:pt idx="279">
                  <c:v>6.3283997919513491</c:v>
                </c:pt>
                <c:pt idx="280">
                  <c:v>6.2764476293142826</c:v>
                </c:pt>
                <c:pt idx="281">
                  <c:v>6.2234034180435138</c:v>
                </c:pt>
                <c:pt idx="282">
                  <c:v>6.1706746384781921</c:v>
                </c:pt>
                <c:pt idx="283">
                  <c:v>6.1182573165828105</c:v>
                </c:pt>
                <c:pt idx="284">
                  <c:v>6.066147552687351</c:v>
                </c:pt>
                <c:pt idx="285">
                  <c:v>6.0133198226464293</c:v>
                </c:pt>
                <c:pt idx="286">
                  <c:v>5.9608039752113751</c:v>
                </c:pt>
                <c:pt idx="287">
                  <c:v>5.9085961019101951</c:v>
                </c:pt>
                <c:pt idx="288">
                  <c:v>5.8566923669934559</c:v>
                </c:pt>
                <c:pt idx="289">
                  <c:v>5.8037583872850433</c:v>
                </c:pt>
                <c:pt idx="290">
                  <c:v>5.7511365300116033</c:v>
                </c:pt>
                <c:pt idx="291">
                  <c:v>5.6988228809667945</c:v>
                </c:pt>
                <c:pt idx="292">
                  <c:v>5.646813598789068</c:v>
                </c:pt>
                <c:pt idx="293">
                  <c:v>5.5939134884489725</c:v>
                </c:pt>
                <c:pt idx="294">
                  <c:v>5.5413240658442087</c:v>
                </c:pt>
                <c:pt idx="295">
                  <c:v>5.489041442262506</c:v>
                </c:pt>
                <c:pt idx="296">
                  <c:v>5.4370618011845897</c:v>
                </c:pt>
                <c:pt idx="297">
                  <c:v>5.3842175043381468</c:v>
                </c:pt>
                <c:pt idx="298">
                  <c:v>5.3316821832182759</c:v>
                </c:pt>
                <c:pt idx="299">
                  <c:v>5.2794519795826114</c:v>
                </c:pt>
                <c:pt idx="300">
                  <c:v>5.227523106607209</c:v>
                </c:pt>
                <c:pt idx="301">
                  <c:v>5.1747547292306608</c:v>
                </c:pt>
                <c:pt idx="302">
                  <c:v>5.1222933627826839</c:v>
                </c:pt>
                <c:pt idx="303">
                  <c:v>5.0701351839628668</c:v>
                </c:pt>
                <c:pt idx="304">
                  <c:v>5.0182764400057822</c:v>
                </c:pt>
                <c:pt idx="305">
                  <c:v>4.9654003550411989</c:v>
                </c:pt>
                <c:pt idx="306">
                  <c:v>4.912831421125369</c:v>
                </c:pt>
                <c:pt idx="307">
                  <c:v>4.8605658104691809</c:v>
                </c:pt>
                <c:pt idx="308">
                  <c:v>4.8085997659023763</c:v>
                </c:pt>
                <c:pt idx="309">
                  <c:v>4.7558439210268419</c:v>
                </c:pt>
                <c:pt idx="310">
                  <c:v>4.7033927014188652</c:v>
                </c:pt>
                <c:pt idx="311">
                  <c:v>4.6512423242031211</c:v>
                </c:pt>
                <c:pt idx="312">
                  <c:v>4.5993890759971814</c:v>
                </c:pt>
                <c:pt idx="313">
                  <c:v>4.5465753920263978</c:v>
                </c:pt>
                <c:pt idx="314">
                  <c:v>4.4940658356715879</c:v>
                </c:pt>
                <c:pt idx="315">
                  <c:v>4.4418566310291254</c:v>
                </c:pt>
                <c:pt idx="316">
                  <c:v>4.3899440714909259</c:v>
                </c:pt>
                <c:pt idx="317">
                  <c:v>4.3370990227766848</c:v>
                </c:pt>
                <c:pt idx="318">
                  <c:v>4.284557265653131</c:v>
                </c:pt>
                <c:pt idx="319">
                  <c:v>4.2323150372436134</c:v>
                </c:pt>
                <c:pt idx="320">
                  <c:v>4.1803686436222698</c:v>
                </c:pt>
                <c:pt idx="321">
                  <c:v>4.1275166460903181</c:v>
                </c:pt>
                <c:pt idx="322">
                  <c:v>4.0749667915876584</c:v>
                </c:pt>
                <c:pt idx="323">
                  <c:v>4.0227153358202861</c:v>
                </c:pt>
                <c:pt idx="324">
                  <c:v>3.970758602965911</c:v>
                </c:pt>
                <c:pt idx="325">
                  <c:v>3.9179221207998811</c:v>
                </c:pt>
                <c:pt idx="326">
                  <c:v>3.8653863453996555</c:v>
                </c:pt>
                <c:pt idx="327">
                  <c:v>3.8131475561247101</c:v>
                </c:pt>
                <c:pt idx="328">
                  <c:v>3.7612021002056939</c:v>
                </c:pt>
                <c:pt idx="329">
                  <c:v>3.7083137068811256</c:v>
                </c:pt>
                <c:pt idx="330">
                  <c:v>3.6557253147451396</c:v>
                </c:pt>
                <c:pt idx="331">
                  <c:v>3.603433213030546</c:v>
                </c:pt>
                <c:pt idx="332">
                  <c:v>3.5514337585767959</c:v>
                </c:pt>
                <c:pt idx="333">
                  <c:v>3.4986042906295687</c:v>
                </c:pt>
                <c:pt idx="334">
                  <c:v>3.4460728306345279</c:v>
                </c:pt>
                <c:pt idx="335">
                  <c:v>3.3938357012299658</c:v>
                </c:pt>
                <c:pt idx="336">
                  <c:v>3.3418892918291125</c:v>
                </c:pt>
                <c:pt idx="337">
                  <c:v>3.2889674752147853</c:v>
                </c:pt>
                <c:pt idx="338">
                  <c:v>3.2363433398044821</c:v>
                </c:pt>
                <c:pt idx="339">
                  <c:v>3.1840132106021968</c:v>
                </c:pt>
                <c:pt idx="340">
                  <c:v>3.1319734793072849</c:v>
                </c:pt>
                <c:pt idx="341">
                  <c:v>3.0789859800948403</c:v>
                </c:pt>
                <c:pt idx="342">
                  <c:v>3.026295490470102</c:v>
                </c:pt>
                <c:pt idx="343">
                  <c:v>2.9738983439008693</c:v>
                </c:pt>
                <c:pt idx="344">
                  <c:v>2.9217909403254252</c:v>
                </c:pt>
                <c:pt idx="345">
                  <c:v>2.8688428498362266</c:v>
                </c:pt>
                <c:pt idx="346">
                  <c:v>2.8161898827960172</c:v>
                </c:pt>
                <c:pt idx="347">
                  <c:v>2.7638284032671017</c:v>
                </c:pt>
                <c:pt idx="348">
                  <c:v>2.7117548410273509</c:v>
                </c:pt>
                <c:pt idx="349">
                  <c:v>2.6587060638365196</c:v>
                </c:pt>
                <c:pt idx="350">
                  <c:v>2.6059520401939902</c:v>
                </c:pt>
                <c:pt idx="351">
                  <c:v>2.5534891365310797</c:v>
                </c:pt>
                <c:pt idx="352">
                  <c:v>2.5013137849213338</c:v>
                </c:pt>
                <c:pt idx="353">
                  <c:v>2.4481904079006989</c:v>
                </c:pt>
                <c:pt idx="354">
                  <c:v>2.3953610742175759</c:v>
                </c:pt>
                <c:pt idx="355">
                  <c:v>2.3428221586673503</c:v>
                </c:pt>
                <c:pt idx="356">
                  <c:v>2.2905701014728859</c:v>
                </c:pt>
                <c:pt idx="357">
                  <c:v>2.2374714987522952</c:v>
                </c:pt>
                <c:pt idx="358">
                  <c:v>2.1846650869392708</c:v>
                </c:pt>
                <c:pt idx="359">
                  <c:v>2.1321472699622386</c:v>
                </c:pt>
                <c:pt idx="360">
                  <c:v>2.0799145164679986</c:v>
                </c:pt>
                <c:pt idx="361">
                  <c:v>2.0267105299052974</c:v>
                </c:pt>
                <c:pt idx="362">
                  <c:v>1.9737982638162033</c:v>
                </c:pt>
                <c:pt idx="363">
                  <c:v>1.9211741255395189</c:v>
                </c:pt>
                <c:pt idx="364">
                  <c:v>1.8688345870427598</c:v>
                </c:pt>
                <c:pt idx="365">
                  <c:v>1.8156224969311969</c:v>
                </c:pt>
                <c:pt idx="366">
                  <c:v>1.7627005409953014</c:v>
                </c:pt>
                <c:pt idx="367">
                  <c:v>1.7100651502523025</c:v>
                </c:pt>
                <c:pt idx="368">
                  <c:v>1.6577128197777478</c:v>
                </c:pt>
                <c:pt idx="369">
                  <c:v>1.6043700639075937</c:v>
                </c:pt>
                <c:pt idx="370">
                  <c:v>1.5513171356297828</c:v>
                </c:pt>
                <c:pt idx="371">
                  <c:v>1.4985504658187381</c:v>
                </c:pt>
                <c:pt idx="372">
                  <c:v>1.4460665494093337</c:v>
                </c:pt>
                <c:pt idx="373">
                  <c:v>1.3926881102869084</c:v>
                </c:pt>
                <c:pt idx="374">
                  <c:v>1.3395981045180791</c:v>
                </c:pt>
                <c:pt idx="375">
                  <c:v>1.2867929825862947</c:v>
                </c:pt>
                <c:pt idx="376">
                  <c:v>1.234269258570476</c:v>
                </c:pt>
                <c:pt idx="377">
                  <c:v>1.1807394806101721</c:v>
                </c:pt>
                <c:pt idx="378">
                  <c:v>1.1274979289684914</c:v>
                </c:pt>
                <c:pt idx="379">
                  <c:v>1.0745410516159122</c:v>
                </c:pt>
                <c:pt idx="380">
                  <c:v>1.0218653601848462</c:v>
                </c:pt>
                <c:pt idx="381">
                  <c:v>0.9683429058603743</c:v>
                </c:pt>
                <c:pt idx="382">
                  <c:v>0.91510670748074829</c:v>
                </c:pt>
                <c:pt idx="383">
                  <c:v>0.86215324271917004</c:v>
                </c:pt>
                <c:pt idx="384">
                  <c:v>0.80947905221485694</c:v>
                </c:pt>
                <c:pt idx="385">
                  <c:v>0.75578561747203543</c:v>
                </c:pt>
                <c:pt idx="386">
                  <c:v>0.7023783115434068</c:v>
                </c:pt>
                <c:pt idx="387">
                  <c:v>0.64925360761646511</c:v>
                </c:pt>
                <c:pt idx="388">
                  <c:v>0.59640804196680497</c:v>
                </c:pt>
                <c:pt idx="389">
                  <c:v>0.54263365493233517</c:v>
                </c:pt>
                <c:pt idx="390">
                  <c:v>0.48914424276281515</c:v>
                </c:pt>
                <c:pt idx="391">
                  <c:v>0.43593629282559337</c:v>
                </c:pt>
                <c:pt idx="392">
                  <c:v>0.38300635525946813</c:v>
                </c:pt>
                <c:pt idx="393">
                  <c:v>0.32917160256404282</c:v>
                </c:pt>
                <c:pt idx="394">
                  <c:v>0.2756203904046664</c:v>
                </c:pt>
                <c:pt idx="395">
                  <c:v>0.22234922527010134</c:v>
                </c:pt>
                <c:pt idx="396">
                  <c:v>0.16935467599205137</c:v>
                </c:pt>
                <c:pt idx="397">
                  <c:v>0.11535680259415962</c:v>
                </c:pt>
                <c:pt idx="398">
                  <c:v>6.1642046356384456E-2</c:v>
                </c:pt>
                <c:pt idx="399">
                  <c:v>8.2069140353326544E-3</c:v>
                </c:pt>
                <c:pt idx="400">
                  <c:v>-4.4952025244939145E-2</c:v>
                </c:pt>
                <c:pt idx="401">
                  <c:v>-9.9028836076645518E-2</c:v>
                </c:pt>
                <c:pt idx="402">
                  <c:v>-0.15282390660537035</c:v>
                </c:pt>
                <c:pt idx="403">
                  <c:v>-0.20634071243151311</c:v>
                </c:pt>
                <c:pt idx="404">
                  <c:v>-0.25958266716989309</c:v>
                </c:pt>
                <c:pt idx="405">
                  <c:v>-0.31377772297218565</c:v>
                </c:pt>
                <c:pt idx="406">
                  <c:v>-0.36769207631686962</c:v>
                </c:pt>
                <c:pt idx="407">
                  <c:v>-0.42132919160094295</c:v>
                </c:pt>
                <c:pt idx="408">
                  <c:v>-0.47469247145881244</c:v>
                </c:pt>
                <c:pt idx="409">
                  <c:v>-0.52904202230983366</c:v>
                </c:pt>
                <c:pt idx="410">
                  <c:v>-0.58311161055952476</c:v>
                </c:pt>
                <c:pt idx="411">
                  <c:v>-0.63690469507963698</c:v>
                </c:pt>
                <c:pt idx="412">
                  <c:v>-0.69042467306133437</c:v>
                </c:pt>
                <c:pt idx="413">
                  <c:v>-0.74490617051826247</c:v>
                </c:pt>
                <c:pt idx="414">
                  <c:v>-0.79910875613357413</c:v>
                </c:pt>
                <c:pt idx="415">
                  <c:v>-0.8530358776711443</c:v>
                </c:pt>
                <c:pt idx="416">
                  <c:v>-0.90669092142182772</c:v>
                </c:pt>
                <c:pt idx="417">
                  <c:v>-0.96133853900889599</c:v>
                </c:pt>
                <c:pt idx="418">
                  <c:v>-1.0157080268715701</c:v>
                </c:pt>
                <c:pt idx="419">
                  <c:v>-1.0698028267706934</c:v>
                </c:pt>
                <c:pt idx="420">
                  <c:v>-1.1236263190736575</c:v>
                </c:pt>
                <c:pt idx="421">
                  <c:v>-1.1783641509866543</c:v>
                </c:pt>
                <c:pt idx="422">
                  <c:v>-1.2328254841745032</c:v>
                </c:pt>
                <c:pt idx="423">
                  <c:v>-1.2870137387996203</c:v>
                </c:pt>
                <c:pt idx="424">
                  <c:v>-1.3409322740729461</c:v>
                </c:pt>
                <c:pt idx="425">
                  <c:v>-1.3959012389255243</c:v>
                </c:pt>
                <c:pt idx="426">
                  <c:v>-1.4505939973431126</c:v>
                </c:pt>
                <c:pt idx="427">
                  <c:v>-1.5050139727531473</c:v>
                </c:pt>
                <c:pt idx="428">
                  <c:v>-1.5591645274764987</c:v>
                </c:pt>
                <c:pt idx="429">
                  <c:v>-1.6142881441872521</c:v>
                </c:pt>
                <c:pt idx="430">
                  <c:v>-1.6691367038394493</c:v>
                </c:pt>
                <c:pt idx="431">
                  <c:v>-1.7237136173223457</c:v>
                </c:pt>
                <c:pt idx="432">
                  <c:v>-1.7780222346302363</c:v>
                </c:pt>
                <c:pt idx="433">
                  <c:v>-1.8332807024352882</c:v>
                </c:pt>
                <c:pt idx="434">
                  <c:v>-1.8882655410838323</c:v>
                </c:pt>
                <c:pt idx="435">
                  <c:v>-1.9429801437826151</c:v>
                </c:pt>
                <c:pt idx="436">
                  <c:v>-1.9974278431689063</c:v>
                </c:pt>
                <c:pt idx="437">
                  <c:v>-2.0529023679958378</c:v>
                </c:pt>
                <c:pt idx="438">
                  <c:v>-2.1081039749113732</c:v>
                </c:pt>
                <c:pt idx="439">
                  <c:v>-2.1630360527251016</c:v>
                </c:pt>
                <c:pt idx="440">
                  <c:v>-2.2177019296787313</c:v>
                </c:pt>
                <c:pt idx="441">
                  <c:v>-2.2733703526066047</c:v>
                </c:pt>
                <c:pt idx="442">
                  <c:v>-2.3287668787715856</c:v>
                </c:pt>
                <c:pt idx="443">
                  <c:v>-2.383894886799947</c:v>
                </c:pt>
                <c:pt idx="444">
                  <c:v>-2.438757694880044</c:v>
                </c:pt>
                <c:pt idx="445">
                  <c:v>-2.4945997265402777</c:v>
                </c:pt>
                <c:pt idx="446">
                  <c:v>-2.5501711681379917</c:v>
                </c:pt>
                <c:pt idx="447">
                  <c:v>-2.6054753827258099</c:v>
                </c:pt>
                <c:pt idx="448">
                  <c:v>-2.6605156731674944</c:v>
                </c:pt>
                <c:pt idx="449">
                  <c:v>-2.7166064428837453</c:v>
                </c:pt>
                <c:pt idx="450">
                  <c:v>-2.7724272939794243</c:v>
                </c:pt>
                <c:pt idx="451">
                  <c:v>-2.8279815856206145</c:v>
                </c:pt>
                <c:pt idx="452">
                  <c:v>-2.8832726167458778</c:v>
                </c:pt>
                <c:pt idx="453">
                  <c:v>-2.9395440270061597</c:v>
                </c:pt>
                <c:pt idx="454">
                  <c:v>-2.9955469366109631</c:v>
                </c:pt>
                <c:pt idx="455">
                  <c:v>-3.051284686784308</c:v>
                </c:pt>
                <c:pt idx="456">
                  <c:v>-3.1067605588091234</c:v>
                </c:pt>
                <c:pt idx="457">
                  <c:v>-3.1632850516919979</c:v>
                </c:pt>
                <c:pt idx="458">
                  <c:v>-3.2195418622158298</c:v>
                </c:pt>
                <c:pt idx="459">
                  <c:v>-3.2755343246019892</c:v>
                </c:pt>
                <c:pt idx="460">
                  <c:v>-3.3312657131462888</c:v>
                </c:pt>
                <c:pt idx="461">
                  <c:v>-3.3880221680744151</c:v>
                </c:pt>
                <c:pt idx="462">
                  <c:v>-3.4445120537373946</c:v>
                </c:pt>
                <c:pt idx="463">
                  <c:v>-3.5007386915963479</c:v>
                </c:pt>
                <c:pt idx="464">
                  <c:v>-3.5567053433294609</c:v>
                </c:pt>
                <c:pt idx="465">
                  <c:v>-3.6137178581294096</c:v>
                </c:pt>
                <c:pt idx="466">
                  <c:v>-3.6704647840684439</c:v>
                </c:pt>
                <c:pt idx="467">
                  <c:v>-3.7269494319921597</c:v>
                </c:pt>
                <c:pt idx="468">
                  <c:v>-3.7831750530439994</c:v>
                </c:pt>
                <c:pt idx="469">
                  <c:v>-3.8404236192873786</c:v>
                </c:pt>
                <c:pt idx="470">
                  <c:v>-3.8974078550696016</c:v>
                </c:pt>
                <c:pt idx="471">
                  <c:v>-3.9541310550513358</c:v>
                </c:pt>
                <c:pt idx="472">
                  <c:v>-4.0105964543948254</c:v>
                </c:pt>
                <c:pt idx="473">
                  <c:v>-4.0681464899867006</c:v>
                </c:pt>
                <c:pt idx="474">
                  <c:v>-4.1254329438764596</c:v>
                </c:pt>
                <c:pt idx="475">
                  <c:v>-4.1824591035905438</c:v>
                </c:pt>
                <c:pt idx="476">
                  <c:v>-4.2392281971323929</c:v>
                </c:pt>
                <c:pt idx="477">
                  <c:v>-4.2970585282894955</c:v>
                </c:pt>
                <c:pt idx="478">
                  <c:v>-4.3546263165264918</c:v>
                </c:pt>
                <c:pt idx="479">
                  <c:v>-4.4119348363137103</c:v>
                </c:pt>
                <c:pt idx="480">
                  <c:v>-4.4689873027051732</c:v>
                </c:pt>
                <c:pt idx="481">
                  <c:v>-4.5270785265853322</c:v>
                </c:pt>
                <c:pt idx="482">
                  <c:v>-4.5849085109338503</c:v>
                </c:pt>
                <c:pt idx="483">
                  <c:v>-4.6424805116438508</c:v>
                </c:pt>
                <c:pt idx="484">
                  <c:v>-4.699797725421381</c:v>
                </c:pt>
                <c:pt idx="485">
                  <c:v>-4.7581717530616263</c:v>
                </c:pt>
                <c:pt idx="486">
                  <c:v>-4.8162857326907602</c:v>
                </c:pt>
                <c:pt idx="487">
                  <c:v>-4.8741429030520589</c:v>
                </c:pt>
                <c:pt idx="488">
                  <c:v>-4.9317464438860723</c:v>
                </c:pt>
                <c:pt idx="489">
                  <c:v>-4.9904629252620287</c:v>
                </c:pt>
                <c:pt idx="490">
                  <c:v>-5.0489201092183507</c:v>
                </c:pt>
                <c:pt idx="491">
                  <c:v>-5.1071212248258524</c:v>
                </c:pt>
                <c:pt idx="492">
                  <c:v>-5.1650694421449721</c:v>
                </c:pt>
                <c:pt idx="493">
                  <c:v>-5.2241076403466362</c:v>
                </c:pt>
                <c:pt idx="494">
                  <c:v>-5.2828875652845708</c:v>
                </c:pt>
                <c:pt idx="495">
                  <c:v>-5.3414124304484121</c:v>
                </c:pt>
                <c:pt idx="496">
                  <c:v>-5.3996853904422517</c:v>
                </c:pt>
                <c:pt idx="497">
                  <c:v>-5.4590638790054014</c:v>
                </c:pt>
                <c:pt idx="498">
                  <c:v>-5.5181850415969684</c:v>
                </c:pt>
                <c:pt idx="499">
                  <c:v>-5.5770520766591947</c:v>
                </c:pt>
                <c:pt idx="500">
                  <c:v>-5.6356681238503405</c:v>
                </c:pt>
                <c:pt idx="501">
                  <c:v>-5.6954044978312046</c:v>
                </c:pt>
                <c:pt idx="502">
                  <c:v>-5.7548844252832252</c:v>
                </c:pt>
                <c:pt idx="503">
                  <c:v>-5.8141110898799777</c:v>
                </c:pt>
                <c:pt idx="504">
                  <c:v>-5.8730876165956634</c:v>
                </c:pt>
                <c:pt idx="505">
                  <c:v>-5.9331622050686406</c:v>
                </c:pt>
                <c:pt idx="506">
                  <c:v>-5.9929814741077809</c:v>
                </c:pt>
                <c:pt idx="507">
                  <c:v>-6.052548586959098</c:v>
                </c:pt>
                <c:pt idx="508">
                  <c:v>-6.1118666483832378</c:v>
                </c:pt>
                <c:pt idx="509">
                  <c:v>-6.1722971024997619</c:v>
                </c:pt>
                <c:pt idx="510">
                  <c:v>-6.2324732868065871</c:v>
                </c:pt>
                <c:pt idx="511">
                  <c:v>-6.2923983444184204</c:v>
                </c:pt>
                <c:pt idx="512">
                  <c:v>-6.3520753601629822</c:v>
                </c:pt>
                <c:pt idx="513">
                  <c:v>-6.4129135888741402</c:v>
                </c:pt>
                <c:pt idx="514">
                  <c:v>-6.4734982347967742</c:v>
                </c:pt>
                <c:pt idx="515">
                  <c:v>-6.5338324263777992</c:v>
                </c:pt>
                <c:pt idx="516">
                  <c:v>-6.5939192338327155</c:v>
                </c:pt>
                <c:pt idx="517">
                  <c:v>-6.6551448423956359</c:v>
                </c:pt>
                <c:pt idx="518">
                  <c:v>-6.7161177962821608</c:v>
                </c:pt>
                <c:pt idx="519">
                  <c:v>-6.7768412034938414</c:v>
                </c:pt>
                <c:pt idx="520">
                  <c:v>-6.8373181139918948</c:v>
                </c:pt>
                <c:pt idx="521">
                  <c:v>-6.8989462600432363</c:v>
                </c:pt>
                <c:pt idx="522">
                  <c:v>-6.9603226177649935</c:v>
                </c:pt>
                <c:pt idx="523">
                  <c:v>-7.0214502744457254</c:v>
                </c:pt>
                <c:pt idx="524">
                  <c:v>-7.0823322595254243</c:v>
                </c:pt>
                <c:pt idx="525">
                  <c:v>-7.1443773409951117</c:v>
                </c:pt>
                <c:pt idx="526">
                  <c:v>-7.2061714419983423</c:v>
                </c:pt>
                <c:pt idx="527">
                  <c:v>-7.2677176286932745</c:v>
                </c:pt>
                <c:pt idx="528">
                  <c:v>-7.3290189095868374</c:v>
                </c:pt>
                <c:pt idx="529">
                  <c:v>-7.3914945997779471</c:v>
                </c:pt>
                <c:pt idx="530">
                  <c:v>-7.453720061184085</c:v>
                </c:pt>
                <c:pt idx="531">
                  <c:v>-7.5156983382862643</c:v>
                </c:pt>
                <c:pt idx="532">
                  <c:v>-7.5774324181217665</c:v>
                </c:pt>
                <c:pt idx="533">
                  <c:v>-7.6403841138191755</c:v>
                </c:pt>
                <c:pt idx="534">
                  <c:v>-7.7030860214839691</c:v>
                </c:pt>
                <c:pt idx="535">
                  <c:v>-7.7655411679024251</c:v>
                </c:pt>
                <c:pt idx="536">
                  <c:v>-7.8277525225220499</c:v>
                </c:pt>
                <c:pt idx="537">
                  <c:v>-7.8911271912151628</c:v>
                </c:pt>
                <c:pt idx="538">
                  <c:v>-7.9542529767983519</c:v>
                </c:pt>
                <c:pt idx="539">
                  <c:v>-8.0171328782246469</c:v>
                </c:pt>
                <c:pt idx="540">
                  <c:v>-8.0797698374681044</c:v>
                </c:pt>
                <c:pt idx="541">
                  <c:v>-8.1436434944290266</c:v>
                </c:pt>
                <c:pt idx="542">
                  <c:v>-8.2072686128890098</c:v>
                </c:pt>
                <c:pt idx="543">
                  <c:v>-8.2706481722712919</c:v>
                </c:pt>
                <c:pt idx="544">
                  <c:v>-8.3337850951715744</c:v>
                </c:pt>
                <c:pt idx="545">
                  <c:v>-8.3981363871732757</c:v>
                </c:pt>
                <c:pt idx="546">
                  <c:v>-8.4622396851920456</c:v>
                </c:pt>
                <c:pt idx="547">
                  <c:v>-8.5260979436499333</c:v>
                </c:pt>
                <c:pt idx="548">
                  <c:v>-8.5897140604345381</c:v>
                </c:pt>
                <c:pt idx="549">
                  <c:v>-8.6545534301210871</c:v>
                </c:pt>
                <c:pt idx="550">
                  <c:v>-8.7191452929743587</c:v>
                </c:pt>
                <c:pt idx="551">
                  <c:v>-8.7834925775266584</c:v>
                </c:pt>
                <c:pt idx="552">
                  <c:v>-8.8475981560971029</c:v>
                </c:pt>
                <c:pt idx="553">
                  <c:v>-8.9129654438924319</c:v>
                </c:pt>
                <c:pt idx="554">
                  <c:v>-8.9780854265105656</c:v>
                </c:pt>
                <c:pt idx="555">
                  <c:v>-9.0429610096613846</c:v>
                </c:pt>
                <c:pt idx="556">
                  <c:v>-9.1075950430920951</c:v>
                </c:pt>
                <c:pt idx="557">
                  <c:v>-9.239154069245501</c:v>
                </c:pt>
                <c:pt idx="558">
                  <c:v>-9.3697359686040382</c:v>
                </c:pt>
                <c:pt idx="559">
                  <c:v>-9.5023233429101861</c:v>
                </c:pt>
                <c:pt idx="560">
                  <c:v>-9.6339347613253583</c:v>
                </c:pt>
                <c:pt idx="561">
                  <c:v>-9.7676809445565933</c:v>
                </c:pt>
                <c:pt idx="562">
                  <c:v>-9.9004504071822872</c:v>
                </c:pt>
                <c:pt idx="563">
                  <c:v>-10.035083474181846</c:v>
                </c:pt>
                <c:pt idx="564">
                  <c:v>-10.16874292438712</c:v>
                </c:pt>
                <c:pt idx="565">
                  <c:v>-10.304783873094831</c:v>
                </c:pt>
                <c:pt idx="566">
                  <c:v>-10.439846712183041</c:v>
                </c:pt>
                <c:pt idx="567">
                  <c:v>-10.57723884621759</c:v>
                </c:pt>
                <c:pt idx="568">
                  <c:v>-10.713649140572535</c:v>
                </c:pt>
                <c:pt idx="569">
                  <c:v>-10.851798390752458</c:v>
                </c:pt>
                <c:pt idx="570">
                  <c:v>-10.98897033216986</c:v>
                </c:pt>
                <c:pt idx="571">
                  <c:v>-11.12891196551557</c:v>
                </c:pt>
                <c:pt idx="572">
                  <c:v>-11.267866037683083</c:v>
                </c:pt>
                <c:pt idx="573">
                  <c:v>-11.408477720008214</c:v>
                </c:pt>
                <c:pt idx="574">
                  <c:v>-11.548107133528063</c:v>
                </c:pt>
                <c:pt idx="575">
                  <c:v>-11.690397630816383</c:v>
                </c:pt>
                <c:pt idx="576">
                  <c:v>-11.831696819487895</c:v>
                </c:pt>
                <c:pt idx="577">
                  <c:v>-12.41937545742088</c:v>
                </c:pt>
                <c:pt idx="578">
                  <c:v>-12.99105428535211</c:v>
                </c:pt>
                <c:pt idx="579">
                  <c:v>-14.193551304825123</c:v>
                </c:pt>
                <c:pt idx="580">
                  <c:v>-15.443401892668531</c:v>
                </c:pt>
                <c:pt idx="581">
                  <c:v>-16.740542708066513</c:v>
                </c:pt>
                <c:pt idx="582">
                  <c:v>-18.086913931113362</c:v>
                </c:pt>
                <c:pt idx="583">
                  <c:v>-19.482008602899377</c:v>
                </c:pt>
                <c:pt idx="584">
                  <c:v>-20.926742958648394</c:v>
                </c:pt>
                <c:pt idx="585">
                  <c:v>-22.419543729196366</c:v>
                </c:pt>
                <c:pt idx="586">
                  <c:v>-23.95923838172234</c:v>
                </c:pt>
                <c:pt idx="587">
                  <c:v>-25.544695219303598</c:v>
                </c:pt>
                <c:pt idx="588">
                  <c:v>-27.171809609675485</c:v>
                </c:pt>
                <c:pt idx="589">
                  <c:v>-28.838686884659822</c:v>
                </c:pt>
                <c:pt idx="590">
                  <c:v>-30.540935454094299</c:v>
                </c:pt>
                <c:pt idx="591">
                  <c:v>-32.274386392737014</c:v>
                </c:pt>
                <c:pt idx="592">
                  <c:v>-34.034029009753183</c:v>
                </c:pt>
                <c:pt idx="593">
                  <c:v>-35.815283499248615</c:v>
                </c:pt>
                <c:pt idx="594">
                  <c:v>-37.612415315823853</c:v>
                </c:pt>
                <c:pt idx="595">
                  <c:v>-39.4205566477236</c:v>
                </c:pt>
                <c:pt idx="596">
                  <c:v>-41.234360368044719</c:v>
                </c:pt>
                <c:pt idx="597">
                  <c:v>-43.049691365825694</c:v>
                </c:pt>
                <c:pt idx="598">
                  <c:v>-44.862217856742035</c:v>
                </c:pt>
                <c:pt idx="599">
                  <c:v>-46.669296513244561</c:v>
                </c:pt>
                <c:pt idx="600">
                  <c:v>-48.468405259593879</c:v>
                </c:pt>
              </c:numCache>
            </c:numRef>
          </c:yVal>
          <c:smooth val="0"/>
          <c:extLst>
            <c:ext xmlns:c16="http://schemas.microsoft.com/office/drawing/2014/chart" uri="{C3380CC4-5D6E-409C-BE32-E72D297353CC}">
              <c16:uniqueId val="{00000000-1839-4D61-A0B5-FA68D8BCC26F}"/>
            </c:ext>
          </c:extLst>
        </c:ser>
        <c:dLbls>
          <c:showLegendKey val="0"/>
          <c:showVal val="0"/>
          <c:showCatName val="0"/>
          <c:showSerName val="0"/>
          <c:showPercent val="0"/>
          <c:showBubbleSize val="0"/>
        </c:dLbls>
        <c:axId val="332788864"/>
        <c:axId val="332790784"/>
      </c:scatterChart>
      <c:scatterChart>
        <c:scatterStyle val="lineMarker"/>
        <c:varyColors val="0"/>
        <c:ser>
          <c:idx val="1"/>
          <c:order val="1"/>
          <c:tx>
            <c:strRef>
              <c:f>'Stability Calculations'!$W$12</c:f>
              <c:strCache>
                <c:ptCount val="1"/>
                <c:pt idx="0">
                  <c:v>Phase Margin (°)</c:v>
                </c:pt>
              </c:strCache>
            </c:strRef>
          </c:tx>
          <c:spPr>
            <a:ln w="25400">
              <a:solidFill>
                <a:srgbClr val="0000FF"/>
              </a:solidFill>
              <a:prstDash val="solid"/>
            </a:ln>
          </c:spPr>
          <c:marker>
            <c:symbol val="none"/>
          </c:marker>
          <c:xVal>
            <c:numRef>
              <c:f>'Stability Calculations'!$A$13:$A$613</c:f>
              <c:numCache>
                <c:formatCode>General</c:formatCode>
                <c:ptCount val="601"/>
                <c:pt idx="0">
                  <c:v>1</c:v>
                </c:pt>
                <c:pt idx="1">
                  <c:v>1.0965</c:v>
                </c:pt>
                <c:pt idx="2">
                  <c:v>1.2022999999999999</c:v>
                </c:pt>
                <c:pt idx="3">
                  <c:v>1.3183</c:v>
                </c:pt>
                <c:pt idx="4">
                  <c:v>1.4454</c:v>
                </c:pt>
                <c:pt idx="5">
                  <c:v>1.5849</c:v>
                </c:pt>
                <c:pt idx="6">
                  <c:v>1.7378</c:v>
                </c:pt>
                <c:pt idx="7">
                  <c:v>1.9055</c:v>
                </c:pt>
                <c:pt idx="8">
                  <c:v>2.0893000000000002</c:v>
                </c:pt>
                <c:pt idx="9">
                  <c:v>2.2909000000000002</c:v>
                </c:pt>
                <c:pt idx="10">
                  <c:v>2.5118999999999998</c:v>
                </c:pt>
                <c:pt idx="11">
                  <c:v>2.7542</c:v>
                </c:pt>
                <c:pt idx="12">
                  <c:v>3.02</c:v>
                </c:pt>
                <c:pt idx="13">
                  <c:v>3.3113000000000001</c:v>
                </c:pt>
                <c:pt idx="14">
                  <c:v>3.6307999999999998</c:v>
                </c:pt>
                <c:pt idx="15">
                  <c:v>3.9811000000000001</c:v>
                </c:pt>
                <c:pt idx="16">
                  <c:v>4.3651999999999997</c:v>
                </c:pt>
                <c:pt idx="17">
                  <c:v>4.7862999999999998</c:v>
                </c:pt>
                <c:pt idx="18">
                  <c:v>5.2481</c:v>
                </c:pt>
                <c:pt idx="19">
                  <c:v>5.7544000000000004</c:v>
                </c:pt>
                <c:pt idx="20">
                  <c:v>6.3095999999999997</c:v>
                </c:pt>
                <c:pt idx="21">
                  <c:v>6.9183000000000003</c:v>
                </c:pt>
                <c:pt idx="22">
                  <c:v>7.5857999999999999</c:v>
                </c:pt>
                <c:pt idx="23">
                  <c:v>8.3176000000000005</c:v>
                </c:pt>
                <c:pt idx="24">
                  <c:v>9.1201000000000008</c:v>
                </c:pt>
                <c:pt idx="25">
                  <c:v>10</c:v>
                </c:pt>
                <c:pt idx="26">
                  <c:v>10.965</c:v>
                </c:pt>
                <c:pt idx="27">
                  <c:v>12.023</c:v>
                </c:pt>
                <c:pt idx="28">
                  <c:v>13.183</c:v>
                </c:pt>
                <c:pt idx="29">
                  <c:v>14.454000000000001</c:v>
                </c:pt>
                <c:pt idx="30">
                  <c:v>15.849</c:v>
                </c:pt>
                <c:pt idx="31">
                  <c:v>17.378</c:v>
                </c:pt>
                <c:pt idx="32">
                  <c:v>19.055</c:v>
                </c:pt>
                <c:pt idx="33">
                  <c:v>20.893000000000001</c:v>
                </c:pt>
                <c:pt idx="34">
                  <c:v>22.909000000000002</c:v>
                </c:pt>
                <c:pt idx="35">
                  <c:v>25.119</c:v>
                </c:pt>
                <c:pt idx="36">
                  <c:v>27.542000000000002</c:v>
                </c:pt>
                <c:pt idx="37">
                  <c:v>30.2</c:v>
                </c:pt>
                <c:pt idx="38">
                  <c:v>33.113</c:v>
                </c:pt>
                <c:pt idx="39">
                  <c:v>36.308</c:v>
                </c:pt>
                <c:pt idx="40">
                  <c:v>39.811</c:v>
                </c:pt>
                <c:pt idx="41">
                  <c:v>43.652000000000001</c:v>
                </c:pt>
                <c:pt idx="42">
                  <c:v>47.863</c:v>
                </c:pt>
                <c:pt idx="43">
                  <c:v>52.481000000000002</c:v>
                </c:pt>
                <c:pt idx="44">
                  <c:v>57.544000000000004</c:v>
                </c:pt>
                <c:pt idx="45">
                  <c:v>63.095999999999997</c:v>
                </c:pt>
                <c:pt idx="46">
                  <c:v>69.183000000000007</c:v>
                </c:pt>
                <c:pt idx="47">
                  <c:v>75.858000000000004</c:v>
                </c:pt>
                <c:pt idx="48">
                  <c:v>83.176000000000002</c:v>
                </c:pt>
                <c:pt idx="49">
                  <c:v>91.201000000000008</c:v>
                </c:pt>
                <c:pt idx="50">
                  <c:v>100</c:v>
                </c:pt>
                <c:pt idx="51">
                  <c:v>109.65</c:v>
                </c:pt>
                <c:pt idx="52">
                  <c:v>120.23</c:v>
                </c:pt>
                <c:pt idx="53">
                  <c:v>131.83000000000001</c:v>
                </c:pt>
                <c:pt idx="54">
                  <c:v>144.54</c:v>
                </c:pt>
                <c:pt idx="55">
                  <c:v>158.49</c:v>
                </c:pt>
                <c:pt idx="56">
                  <c:v>173.78</c:v>
                </c:pt>
                <c:pt idx="57">
                  <c:v>190.55</c:v>
                </c:pt>
                <c:pt idx="58">
                  <c:v>208.93</c:v>
                </c:pt>
                <c:pt idx="59">
                  <c:v>229.09</c:v>
                </c:pt>
                <c:pt idx="60">
                  <c:v>251.19</c:v>
                </c:pt>
                <c:pt idx="61">
                  <c:v>275.42</c:v>
                </c:pt>
                <c:pt idx="62">
                  <c:v>302</c:v>
                </c:pt>
                <c:pt idx="63">
                  <c:v>331.13</c:v>
                </c:pt>
                <c:pt idx="64">
                  <c:v>363.08</c:v>
                </c:pt>
                <c:pt idx="65">
                  <c:v>398.11</c:v>
                </c:pt>
                <c:pt idx="66">
                  <c:v>436.52</c:v>
                </c:pt>
                <c:pt idx="67">
                  <c:v>478.63</c:v>
                </c:pt>
                <c:pt idx="68">
                  <c:v>524.80999999999995</c:v>
                </c:pt>
                <c:pt idx="69">
                  <c:v>575.44000000000005</c:v>
                </c:pt>
                <c:pt idx="70">
                  <c:v>630.96</c:v>
                </c:pt>
                <c:pt idx="71">
                  <c:v>691.83</c:v>
                </c:pt>
                <c:pt idx="72">
                  <c:v>758.58</c:v>
                </c:pt>
                <c:pt idx="73">
                  <c:v>831.76</c:v>
                </c:pt>
                <c:pt idx="74">
                  <c:v>912.01</c:v>
                </c:pt>
                <c:pt idx="75">
                  <c:v>1000</c:v>
                </c:pt>
                <c:pt idx="76">
                  <c:v>1096.5</c:v>
                </c:pt>
                <c:pt idx="77">
                  <c:v>1202.3</c:v>
                </c:pt>
                <c:pt idx="78">
                  <c:v>1318.3</c:v>
                </c:pt>
                <c:pt idx="79">
                  <c:v>1445.4</c:v>
                </c:pt>
                <c:pt idx="80">
                  <c:v>1584.9</c:v>
                </c:pt>
                <c:pt idx="81">
                  <c:v>1737.8</c:v>
                </c:pt>
                <c:pt idx="82">
                  <c:v>1905.5</c:v>
                </c:pt>
                <c:pt idx="83">
                  <c:v>2089.3000000000002</c:v>
                </c:pt>
                <c:pt idx="84">
                  <c:v>2290.9</c:v>
                </c:pt>
                <c:pt idx="85">
                  <c:v>2511.9</c:v>
                </c:pt>
                <c:pt idx="86">
                  <c:v>2754.2</c:v>
                </c:pt>
                <c:pt idx="87">
                  <c:v>3020</c:v>
                </c:pt>
                <c:pt idx="88">
                  <c:v>3311.3</c:v>
                </c:pt>
                <c:pt idx="89">
                  <c:v>3630.8</c:v>
                </c:pt>
                <c:pt idx="90">
                  <c:v>3981.1</c:v>
                </c:pt>
                <c:pt idx="91">
                  <c:v>4365.2</c:v>
                </c:pt>
                <c:pt idx="92">
                  <c:v>4786.3</c:v>
                </c:pt>
                <c:pt idx="93">
                  <c:v>5248.1</c:v>
                </c:pt>
                <c:pt idx="94">
                  <c:v>5370.3</c:v>
                </c:pt>
                <c:pt idx="95">
                  <c:v>5432.85</c:v>
                </c:pt>
                <c:pt idx="96">
                  <c:v>5495.4</c:v>
                </c:pt>
                <c:pt idx="97">
                  <c:v>5559.4</c:v>
                </c:pt>
                <c:pt idx="98">
                  <c:v>5623.4</c:v>
                </c:pt>
                <c:pt idx="99">
                  <c:v>5688.9</c:v>
                </c:pt>
                <c:pt idx="100">
                  <c:v>5754.4</c:v>
                </c:pt>
                <c:pt idx="101">
                  <c:v>5821.4</c:v>
                </c:pt>
                <c:pt idx="102">
                  <c:v>5888.4</c:v>
                </c:pt>
                <c:pt idx="103">
                  <c:v>5957</c:v>
                </c:pt>
                <c:pt idx="104">
                  <c:v>6025.6</c:v>
                </c:pt>
                <c:pt idx="105">
                  <c:v>6095.8</c:v>
                </c:pt>
                <c:pt idx="106">
                  <c:v>6166</c:v>
                </c:pt>
                <c:pt idx="107">
                  <c:v>6237.8</c:v>
                </c:pt>
                <c:pt idx="108">
                  <c:v>6309.6</c:v>
                </c:pt>
                <c:pt idx="109">
                  <c:v>6383.05</c:v>
                </c:pt>
                <c:pt idx="110">
                  <c:v>6456.5</c:v>
                </c:pt>
                <c:pt idx="111">
                  <c:v>6531.7</c:v>
                </c:pt>
                <c:pt idx="112">
                  <c:v>6606.9</c:v>
                </c:pt>
                <c:pt idx="113">
                  <c:v>6683.85</c:v>
                </c:pt>
                <c:pt idx="114">
                  <c:v>6760.8</c:v>
                </c:pt>
                <c:pt idx="115">
                  <c:v>6839.55</c:v>
                </c:pt>
                <c:pt idx="116">
                  <c:v>6918.3</c:v>
                </c:pt>
                <c:pt idx="117">
                  <c:v>6998.9</c:v>
                </c:pt>
                <c:pt idx="118">
                  <c:v>7079.5</c:v>
                </c:pt>
                <c:pt idx="119">
                  <c:v>7161.95</c:v>
                </c:pt>
                <c:pt idx="120">
                  <c:v>7244.4</c:v>
                </c:pt>
                <c:pt idx="121">
                  <c:v>7328.75</c:v>
                </c:pt>
                <c:pt idx="122">
                  <c:v>7413.1</c:v>
                </c:pt>
                <c:pt idx="123">
                  <c:v>7499.45</c:v>
                </c:pt>
                <c:pt idx="124">
                  <c:v>7585.8</c:v>
                </c:pt>
                <c:pt idx="125">
                  <c:v>7674.15</c:v>
                </c:pt>
                <c:pt idx="126">
                  <c:v>7762.5</c:v>
                </c:pt>
                <c:pt idx="127">
                  <c:v>7852.9</c:v>
                </c:pt>
                <c:pt idx="128">
                  <c:v>7943.3</c:v>
                </c:pt>
                <c:pt idx="129">
                  <c:v>8035.8</c:v>
                </c:pt>
                <c:pt idx="130">
                  <c:v>8128.3</c:v>
                </c:pt>
                <c:pt idx="131">
                  <c:v>8222.9500000000007</c:v>
                </c:pt>
                <c:pt idx="132">
                  <c:v>8270.2750000000015</c:v>
                </c:pt>
                <c:pt idx="133">
                  <c:v>8317.6</c:v>
                </c:pt>
                <c:pt idx="134">
                  <c:v>8366.0499999999993</c:v>
                </c:pt>
                <c:pt idx="135">
                  <c:v>8414.5</c:v>
                </c:pt>
                <c:pt idx="136">
                  <c:v>8462.9500000000007</c:v>
                </c:pt>
                <c:pt idx="137">
                  <c:v>8511.4</c:v>
                </c:pt>
                <c:pt idx="138">
                  <c:v>8560.9500000000007</c:v>
                </c:pt>
                <c:pt idx="139">
                  <c:v>8610.5</c:v>
                </c:pt>
                <c:pt idx="140">
                  <c:v>8660.0499999999993</c:v>
                </c:pt>
                <c:pt idx="141">
                  <c:v>8709.6</c:v>
                </c:pt>
                <c:pt idx="142">
                  <c:v>8760.3250000000007</c:v>
                </c:pt>
                <c:pt idx="143">
                  <c:v>8811.0499999999993</c:v>
                </c:pt>
                <c:pt idx="144">
                  <c:v>8861.7749999999996</c:v>
                </c:pt>
                <c:pt idx="145">
                  <c:v>8912.5</c:v>
                </c:pt>
                <c:pt idx="146">
                  <c:v>8964.4</c:v>
                </c:pt>
                <c:pt idx="147">
                  <c:v>9016.2999999999993</c:v>
                </c:pt>
                <c:pt idx="148">
                  <c:v>9068.2000000000007</c:v>
                </c:pt>
                <c:pt idx="149">
                  <c:v>9120.1</c:v>
                </c:pt>
                <c:pt idx="150">
                  <c:v>9173.2000000000007</c:v>
                </c:pt>
                <c:pt idx="151">
                  <c:v>9226.2999999999993</c:v>
                </c:pt>
                <c:pt idx="152">
                  <c:v>9279.4</c:v>
                </c:pt>
                <c:pt idx="153">
                  <c:v>9332.5</c:v>
                </c:pt>
                <c:pt idx="154">
                  <c:v>9386.85</c:v>
                </c:pt>
                <c:pt idx="155">
                  <c:v>9441.2000000000007</c:v>
                </c:pt>
                <c:pt idx="156">
                  <c:v>9495.5499999999993</c:v>
                </c:pt>
                <c:pt idx="157">
                  <c:v>9549.9</c:v>
                </c:pt>
                <c:pt idx="158">
                  <c:v>9605.5249999999996</c:v>
                </c:pt>
                <c:pt idx="159">
                  <c:v>9661.15</c:v>
                </c:pt>
                <c:pt idx="160">
                  <c:v>9716.7749999999996</c:v>
                </c:pt>
                <c:pt idx="161">
                  <c:v>9772.4</c:v>
                </c:pt>
                <c:pt idx="162">
                  <c:v>9829.2999999999993</c:v>
                </c:pt>
                <c:pt idx="163">
                  <c:v>9886.2000000000007</c:v>
                </c:pt>
                <c:pt idx="164">
                  <c:v>9943.1</c:v>
                </c:pt>
                <c:pt idx="165">
                  <c:v>10000</c:v>
                </c:pt>
                <c:pt idx="166">
                  <c:v>10058.25</c:v>
                </c:pt>
                <c:pt idx="167">
                  <c:v>10116.5</c:v>
                </c:pt>
                <c:pt idx="168">
                  <c:v>10174.75</c:v>
                </c:pt>
                <c:pt idx="169">
                  <c:v>10233</c:v>
                </c:pt>
                <c:pt idx="170">
                  <c:v>10292.5</c:v>
                </c:pt>
                <c:pt idx="171">
                  <c:v>10352</c:v>
                </c:pt>
                <c:pt idx="172">
                  <c:v>10411.5</c:v>
                </c:pt>
                <c:pt idx="173">
                  <c:v>10471</c:v>
                </c:pt>
                <c:pt idx="174">
                  <c:v>10532</c:v>
                </c:pt>
                <c:pt idx="175">
                  <c:v>10593</c:v>
                </c:pt>
                <c:pt idx="176">
                  <c:v>10654</c:v>
                </c:pt>
                <c:pt idx="177">
                  <c:v>10715</c:v>
                </c:pt>
                <c:pt idx="178">
                  <c:v>10777.5</c:v>
                </c:pt>
                <c:pt idx="179">
                  <c:v>10840</c:v>
                </c:pt>
                <c:pt idx="180">
                  <c:v>10902.5</c:v>
                </c:pt>
                <c:pt idx="181">
                  <c:v>10965</c:v>
                </c:pt>
                <c:pt idx="182">
                  <c:v>11028.75</c:v>
                </c:pt>
                <c:pt idx="183">
                  <c:v>11092.5</c:v>
                </c:pt>
                <c:pt idx="184">
                  <c:v>11156.25</c:v>
                </c:pt>
                <c:pt idx="185">
                  <c:v>11220</c:v>
                </c:pt>
                <c:pt idx="186">
                  <c:v>11285.5</c:v>
                </c:pt>
                <c:pt idx="187">
                  <c:v>11351</c:v>
                </c:pt>
                <c:pt idx="188">
                  <c:v>11416.5</c:v>
                </c:pt>
                <c:pt idx="189">
                  <c:v>11482</c:v>
                </c:pt>
                <c:pt idx="190">
                  <c:v>11548.75</c:v>
                </c:pt>
                <c:pt idx="191">
                  <c:v>11615.5</c:v>
                </c:pt>
                <c:pt idx="192">
                  <c:v>11682.25</c:v>
                </c:pt>
                <c:pt idx="193">
                  <c:v>11749</c:v>
                </c:pt>
                <c:pt idx="194">
                  <c:v>11817.5</c:v>
                </c:pt>
                <c:pt idx="195">
                  <c:v>11886</c:v>
                </c:pt>
                <c:pt idx="196">
                  <c:v>11954.5</c:v>
                </c:pt>
                <c:pt idx="197">
                  <c:v>12023</c:v>
                </c:pt>
                <c:pt idx="198">
                  <c:v>12093</c:v>
                </c:pt>
                <c:pt idx="199">
                  <c:v>12163</c:v>
                </c:pt>
                <c:pt idx="200">
                  <c:v>12233</c:v>
                </c:pt>
                <c:pt idx="201">
                  <c:v>12303</c:v>
                </c:pt>
                <c:pt idx="202">
                  <c:v>12374.5</c:v>
                </c:pt>
                <c:pt idx="203">
                  <c:v>12446</c:v>
                </c:pt>
                <c:pt idx="204">
                  <c:v>12517.5</c:v>
                </c:pt>
                <c:pt idx="205">
                  <c:v>12589</c:v>
                </c:pt>
                <c:pt idx="206">
                  <c:v>12662.25</c:v>
                </c:pt>
                <c:pt idx="207">
                  <c:v>12735.5</c:v>
                </c:pt>
                <c:pt idx="208">
                  <c:v>12808.75</c:v>
                </c:pt>
                <c:pt idx="209">
                  <c:v>12882</c:v>
                </c:pt>
                <c:pt idx="210">
                  <c:v>12957.25</c:v>
                </c:pt>
                <c:pt idx="211">
                  <c:v>13032.5</c:v>
                </c:pt>
                <c:pt idx="212">
                  <c:v>13107.75</c:v>
                </c:pt>
                <c:pt idx="213">
                  <c:v>13183</c:v>
                </c:pt>
                <c:pt idx="214">
                  <c:v>13259.75</c:v>
                </c:pt>
                <c:pt idx="215">
                  <c:v>13336.5</c:v>
                </c:pt>
                <c:pt idx="216">
                  <c:v>13413.25</c:v>
                </c:pt>
                <c:pt idx="217">
                  <c:v>13490</c:v>
                </c:pt>
                <c:pt idx="218">
                  <c:v>13568.5</c:v>
                </c:pt>
                <c:pt idx="219">
                  <c:v>13647</c:v>
                </c:pt>
                <c:pt idx="220">
                  <c:v>13725.5</c:v>
                </c:pt>
                <c:pt idx="221">
                  <c:v>13804</c:v>
                </c:pt>
                <c:pt idx="222">
                  <c:v>13884.25</c:v>
                </c:pt>
                <c:pt idx="223">
                  <c:v>13964.5</c:v>
                </c:pt>
                <c:pt idx="224">
                  <c:v>14044.75</c:v>
                </c:pt>
                <c:pt idx="225">
                  <c:v>14125</c:v>
                </c:pt>
                <c:pt idx="226">
                  <c:v>14207.25</c:v>
                </c:pt>
                <c:pt idx="227">
                  <c:v>14289.5</c:v>
                </c:pt>
                <c:pt idx="228">
                  <c:v>14371.75</c:v>
                </c:pt>
                <c:pt idx="229">
                  <c:v>14454</c:v>
                </c:pt>
                <c:pt idx="230">
                  <c:v>14622.5</c:v>
                </c:pt>
                <c:pt idx="231">
                  <c:v>14706.75</c:v>
                </c:pt>
                <c:pt idx="232">
                  <c:v>14791</c:v>
                </c:pt>
                <c:pt idx="233">
                  <c:v>14877.25</c:v>
                </c:pt>
                <c:pt idx="234">
                  <c:v>14963.5</c:v>
                </c:pt>
                <c:pt idx="235">
                  <c:v>15049.75</c:v>
                </c:pt>
                <c:pt idx="236">
                  <c:v>15136</c:v>
                </c:pt>
                <c:pt idx="237">
                  <c:v>15224</c:v>
                </c:pt>
                <c:pt idx="238">
                  <c:v>15312</c:v>
                </c:pt>
                <c:pt idx="239">
                  <c:v>15400</c:v>
                </c:pt>
                <c:pt idx="240">
                  <c:v>15488</c:v>
                </c:pt>
                <c:pt idx="241">
                  <c:v>15578.25</c:v>
                </c:pt>
                <c:pt idx="242">
                  <c:v>15668.5</c:v>
                </c:pt>
                <c:pt idx="243">
                  <c:v>15758.75</c:v>
                </c:pt>
                <c:pt idx="244">
                  <c:v>15849</c:v>
                </c:pt>
                <c:pt idx="245">
                  <c:v>15941.25</c:v>
                </c:pt>
                <c:pt idx="246">
                  <c:v>16033.5</c:v>
                </c:pt>
                <c:pt idx="247">
                  <c:v>16125.75</c:v>
                </c:pt>
                <c:pt idx="248">
                  <c:v>16218</c:v>
                </c:pt>
                <c:pt idx="249">
                  <c:v>16312.5</c:v>
                </c:pt>
                <c:pt idx="250">
                  <c:v>16407</c:v>
                </c:pt>
                <c:pt idx="251">
                  <c:v>16501.5</c:v>
                </c:pt>
                <c:pt idx="252">
                  <c:v>16596</c:v>
                </c:pt>
                <c:pt idx="253">
                  <c:v>16692.5</c:v>
                </c:pt>
                <c:pt idx="254">
                  <c:v>16789</c:v>
                </c:pt>
                <c:pt idx="255">
                  <c:v>16885.5</c:v>
                </c:pt>
                <c:pt idx="256">
                  <c:v>16982</c:v>
                </c:pt>
                <c:pt idx="257">
                  <c:v>17081</c:v>
                </c:pt>
                <c:pt idx="258">
                  <c:v>17180</c:v>
                </c:pt>
                <c:pt idx="259">
                  <c:v>17279</c:v>
                </c:pt>
                <c:pt idx="260">
                  <c:v>17378</c:v>
                </c:pt>
                <c:pt idx="261">
                  <c:v>17479.25</c:v>
                </c:pt>
                <c:pt idx="262">
                  <c:v>17580.5</c:v>
                </c:pt>
                <c:pt idx="263">
                  <c:v>17681.75</c:v>
                </c:pt>
                <c:pt idx="264">
                  <c:v>17783</c:v>
                </c:pt>
                <c:pt idx="265">
                  <c:v>17886.5</c:v>
                </c:pt>
                <c:pt idx="266">
                  <c:v>17990</c:v>
                </c:pt>
                <c:pt idx="267">
                  <c:v>18093.5</c:v>
                </c:pt>
                <c:pt idx="268">
                  <c:v>18197</c:v>
                </c:pt>
                <c:pt idx="269">
                  <c:v>18303</c:v>
                </c:pt>
                <c:pt idx="270">
                  <c:v>18409</c:v>
                </c:pt>
                <c:pt idx="271">
                  <c:v>18515</c:v>
                </c:pt>
                <c:pt idx="272">
                  <c:v>18621</c:v>
                </c:pt>
                <c:pt idx="273">
                  <c:v>18729.5</c:v>
                </c:pt>
                <c:pt idx="274">
                  <c:v>18838</c:v>
                </c:pt>
                <c:pt idx="275">
                  <c:v>18946.5</c:v>
                </c:pt>
                <c:pt idx="276">
                  <c:v>19055</c:v>
                </c:pt>
                <c:pt idx="277">
                  <c:v>19165.75</c:v>
                </c:pt>
                <c:pt idx="278">
                  <c:v>19276.5</c:v>
                </c:pt>
                <c:pt idx="279">
                  <c:v>19387.25</c:v>
                </c:pt>
                <c:pt idx="280">
                  <c:v>19498</c:v>
                </c:pt>
                <c:pt idx="281">
                  <c:v>19611.75</c:v>
                </c:pt>
                <c:pt idx="282">
                  <c:v>19725.5</c:v>
                </c:pt>
                <c:pt idx="283">
                  <c:v>19839.25</c:v>
                </c:pt>
                <c:pt idx="284">
                  <c:v>19953</c:v>
                </c:pt>
                <c:pt idx="285">
                  <c:v>20069</c:v>
                </c:pt>
                <c:pt idx="286">
                  <c:v>20185</c:v>
                </c:pt>
                <c:pt idx="287">
                  <c:v>20301</c:v>
                </c:pt>
                <c:pt idx="288">
                  <c:v>20417</c:v>
                </c:pt>
                <c:pt idx="289">
                  <c:v>20536</c:v>
                </c:pt>
                <c:pt idx="290">
                  <c:v>20655</c:v>
                </c:pt>
                <c:pt idx="291">
                  <c:v>20774</c:v>
                </c:pt>
                <c:pt idx="292">
                  <c:v>20893</c:v>
                </c:pt>
                <c:pt idx="293">
                  <c:v>21014.75</c:v>
                </c:pt>
                <c:pt idx="294">
                  <c:v>21136.5</c:v>
                </c:pt>
                <c:pt idx="295">
                  <c:v>21258.25</c:v>
                </c:pt>
                <c:pt idx="296">
                  <c:v>21380</c:v>
                </c:pt>
                <c:pt idx="297">
                  <c:v>21504.5</c:v>
                </c:pt>
                <c:pt idx="298">
                  <c:v>21629</c:v>
                </c:pt>
                <c:pt idx="299">
                  <c:v>21753.5</c:v>
                </c:pt>
                <c:pt idx="300">
                  <c:v>21878</c:v>
                </c:pt>
                <c:pt idx="301">
                  <c:v>22005.25</c:v>
                </c:pt>
                <c:pt idx="302">
                  <c:v>22132.5</c:v>
                </c:pt>
                <c:pt idx="303">
                  <c:v>22259.75</c:v>
                </c:pt>
                <c:pt idx="304">
                  <c:v>22387</c:v>
                </c:pt>
                <c:pt idx="305">
                  <c:v>22517.5</c:v>
                </c:pt>
                <c:pt idx="306">
                  <c:v>22648</c:v>
                </c:pt>
                <c:pt idx="307">
                  <c:v>22778.5</c:v>
                </c:pt>
                <c:pt idx="308">
                  <c:v>22909</c:v>
                </c:pt>
                <c:pt idx="309">
                  <c:v>23042.25</c:v>
                </c:pt>
                <c:pt idx="310">
                  <c:v>23175.5</c:v>
                </c:pt>
                <c:pt idx="311">
                  <c:v>23308.75</c:v>
                </c:pt>
                <c:pt idx="312">
                  <c:v>23442</c:v>
                </c:pt>
                <c:pt idx="313">
                  <c:v>23578.5</c:v>
                </c:pt>
                <c:pt idx="314">
                  <c:v>23715</c:v>
                </c:pt>
                <c:pt idx="315">
                  <c:v>23851.5</c:v>
                </c:pt>
                <c:pt idx="316">
                  <c:v>23988</c:v>
                </c:pt>
                <c:pt idx="317">
                  <c:v>24127.75</c:v>
                </c:pt>
                <c:pt idx="318">
                  <c:v>24267.5</c:v>
                </c:pt>
                <c:pt idx="319">
                  <c:v>24407.25</c:v>
                </c:pt>
                <c:pt idx="320">
                  <c:v>24547</c:v>
                </c:pt>
                <c:pt idx="321">
                  <c:v>24690</c:v>
                </c:pt>
                <c:pt idx="322">
                  <c:v>24833</c:v>
                </c:pt>
                <c:pt idx="323">
                  <c:v>24976</c:v>
                </c:pt>
                <c:pt idx="324">
                  <c:v>25119</c:v>
                </c:pt>
                <c:pt idx="325">
                  <c:v>25265.25</c:v>
                </c:pt>
                <c:pt idx="326">
                  <c:v>25411.5</c:v>
                </c:pt>
                <c:pt idx="327">
                  <c:v>25557.75</c:v>
                </c:pt>
                <c:pt idx="328">
                  <c:v>25704</c:v>
                </c:pt>
                <c:pt idx="329">
                  <c:v>25853.75</c:v>
                </c:pt>
                <c:pt idx="330">
                  <c:v>26003.5</c:v>
                </c:pt>
                <c:pt idx="331">
                  <c:v>26153.25</c:v>
                </c:pt>
                <c:pt idx="332">
                  <c:v>26303</c:v>
                </c:pt>
                <c:pt idx="333">
                  <c:v>26456</c:v>
                </c:pt>
                <c:pt idx="334">
                  <c:v>26609</c:v>
                </c:pt>
                <c:pt idx="335">
                  <c:v>26762</c:v>
                </c:pt>
                <c:pt idx="336">
                  <c:v>26915</c:v>
                </c:pt>
                <c:pt idx="337">
                  <c:v>27071.75</c:v>
                </c:pt>
                <c:pt idx="338">
                  <c:v>27228.5</c:v>
                </c:pt>
                <c:pt idx="339">
                  <c:v>27385.25</c:v>
                </c:pt>
                <c:pt idx="340">
                  <c:v>27542</c:v>
                </c:pt>
                <c:pt idx="341">
                  <c:v>27702.5</c:v>
                </c:pt>
                <c:pt idx="342">
                  <c:v>27863</c:v>
                </c:pt>
                <c:pt idx="343">
                  <c:v>28023.5</c:v>
                </c:pt>
                <c:pt idx="344">
                  <c:v>28184</c:v>
                </c:pt>
                <c:pt idx="345">
                  <c:v>28348</c:v>
                </c:pt>
                <c:pt idx="346">
                  <c:v>28512</c:v>
                </c:pt>
                <c:pt idx="347">
                  <c:v>28676</c:v>
                </c:pt>
                <c:pt idx="348">
                  <c:v>28840</c:v>
                </c:pt>
                <c:pt idx="349">
                  <c:v>29008</c:v>
                </c:pt>
                <c:pt idx="350">
                  <c:v>29176</c:v>
                </c:pt>
                <c:pt idx="351">
                  <c:v>29344</c:v>
                </c:pt>
                <c:pt idx="352">
                  <c:v>29512</c:v>
                </c:pt>
                <c:pt idx="353">
                  <c:v>29684</c:v>
                </c:pt>
                <c:pt idx="354">
                  <c:v>29856</c:v>
                </c:pt>
                <c:pt idx="355">
                  <c:v>30028</c:v>
                </c:pt>
                <c:pt idx="356">
                  <c:v>30200</c:v>
                </c:pt>
                <c:pt idx="357">
                  <c:v>30375.75</c:v>
                </c:pt>
                <c:pt idx="358">
                  <c:v>30551.5</c:v>
                </c:pt>
                <c:pt idx="359">
                  <c:v>30727.25</c:v>
                </c:pt>
                <c:pt idx="360">
                  <c:v>30903</c:v>
                </c:pt>
                <c:pt idx="361">
                  <c:v>31083</c:v>
                </c:pt>
                <c:pt idx="362">
                  <c:v>31263</c:v>
                </c:pt>
                <c:pt idx="363">
                  <c:v>31443</c:v>
                </c:pt>
                <c:pt idx="364">
                  <c:v>31623</c:v>
                </c:pt>
                <c:pt idx="365">
                  <c:v>31807</c:v>
                </c:pt>
                <c:pt idx="366">
                  <c:v>31991</c:v>
                </c:pt>
                <c:pt idx="367">
                  <c:v>32175</c:v>
                </c:pt>
                <c:pt idx="368">
                  <c:v>32359</c:v>
                </c:pt>
                <c:pt idx="369">
                  <c:v>32547.5</c:v>
                </c:pt>
                <c:pt idx="370">
                  <c:v>32736</c:v>
                </c:pt>
                <c:pt idx="371">
                  <c:v>32924.5</c:v>
                </c:pt>
                <c:pt idx="372">
                  <c:v>33113</c:v>
                </c:pt>
                <c:pt idx="373">
                  <c:v>33305.75</c:v>
                </c:pt>
                <c:pt idx="374">
                  <c:v>33498.5</c:v>
                </c:pt>
                <c:pt idx="375">
                  <c:v>33691.25</c:v>
                </c:pt>
                <c:pt idx="376">
                  <c:v>33884</c:v>
                </c:pt>
                <c:pt idx="377">
                  <c:v>34081.5</c:v>
                </c:pt>
                <c:pt idx="378">
                  <c:v>34279</c:v>
                </c:pt>
                <c:pt idx="379">
                  <c:v>34476.5</c:v>
                </c:pt>
                <c:pt idx="380">
                  <c:v>34674</c:v>
                </c:pt>
                <c:pt idx="381">
                  <c:v>34875.75</c:v>
                </c:pt>
                <c:pt idx="382">
                  <c:v>35077.5</c:v>
                </c:pt>
                <c:pt idx="383">
                  <c:v>35279.25</c:v>
                </c:pt>
                <c:pt idx="384">
                  <c:v>35481</c:v>
                </c:pt>
                <c:pt idx="385">
                  <c:v>35687.75</c:v>
                </c:pt>
                <c:pt idx="386">
                  <c:v>35894.5</c:v>
                </c:pt>
                <c:pt idx="387">
                  <c:v>36101.25</c:v>
                </c:pt>
                <c:pt idx="388">
                  <c:v>36308</c:v>
                </c:pt>
                <c:pt idx="389">
                  <c:v>36519.5</c:v>
                </c:pt>
                <c:pt idx="390">
                  <c:v>36731</c:v>
                </c:pt>
                <c:pt idx="391">
                  <c:v>36942.5</c:v>
                </c:pt>
                <c:pt idx="392">
                  <c:v>37154</c:v>
                </c:pt>
                <c:pt idx="393">
                  <c:v>37370.25</c:v>
                </c:pt>
                <c:pt idx="394">
                  <c:v>37586.5</c:v>
                </c:pt>
                <c:pt idx="395">
                  <c:v>37802.75</c:v>
                </c:pt>
                <c:pt idx="396">
                  <c:v>38019</c:v>
                </c:pt>
                <c:pt idx="397">
                  <c:v>38240.5</c:v>
                </c:pt>
                <c:pt idx="398">
                  <c:v>38462</c:v>
                </c:pt>
                <c:pt idx="399">
                  <c:v>38683.5</c:v>
                </c:pt>
                <c:pt idx="400">
                  <c:v>38905</c:v>
                </c:pt>
                <c:pt idx="401">
                  <c:v>39131.5</c:v>
                </c:pt>
                <c:pt idx="402">
                  <c:v>39358</c:v>
                </c:pt>
                <c:pt idx="403">
                  <c:v>39584.5</c:v>
                </c:pt>
                <c:pt idx="404">
                  <c:v>39811</c:v>
                </c:pt>
                <c:pt idx="405">
                  <c:v>40042.75</c:v>
                </c:pt>
                <c:pt idx="406">
                  <c:v>40274.5</c:v>
                </c:pt>
                <c:pt idx="407">
                  <c:v>40506.25</c:v>
                </c:pt>
                <c:pt idx="408">
                  <c:v>40738</c:v>
                </c:pt>
                <c:pt idx="409">
                  <c:v>40975.25</c:v>
                </c:pt>
                <c:pt idx="410">
                  <c:v>41212.5</c:v>
                </c:pt>
                <c:pt idx="411">
                  <c:v>41449.75</c:v>
                </c:pt>
                <c:pt idx="412">
                  <c:v>41687</c:v>
                </c:pt>
                <c:pt idx="413">
                  <c:v>41929.75</c:v>
                </c:pt>
                <c:pt idx="414">
                  <c:v>42172.5</c:v>
                </c:pt>
                <c:pt idx="415">
                  <c:v>42415.25</c:v>
                </c:pt>
                <c:pt idx="416">
                  <c:v>42658</c:v>
                </c:pt>
                <c:pt idx="417">
                  <c:v>42906.5</c:v>
                </c:pt>
                <c:pt idx="418">
                  <c:v>43155</c:v>
                </c:pt>
                <c:pt idx="419">
                  <c:v>43403.5</c:v>
                </c:pt>
                <c:pt idx="420">
                  <c:v>43652</c:v>
                </c:pt>
                <c:pt idx="421">
                  <c:v>43906</c:v>
                </c:pt>
                <c:pt idx="422">
                  <c:v>44160</c:v>
                </c:pt>
                <c:pt idx="423">
                  <c:v>44414</c:v>
                </c:pt>
                <c:pt idx="424">
                  <c:v>44668</c:v>
                </c:pt>
                <c:pt idx="425">
                  <c:v>44928.25</c:v>
                </c:pt>
                <c:pt idx="426">
                  <c:v>45188.5</c:v>
                </c:pt>
                <c:pt idx="427">
                  <c:v>45448.75</c:v>
                </c:pt>
                <c:pt idx="428">
                  <c:v>45709</c:v>
                </c:pt>
                <c:pt idx="429">
                  <c:v>45975.25</c:v>
                </c:pt>
                <c:pt idx="430">
                  <c:v>46241.5</c:v>
                </c:pt>
                <c:pt idx="431">
                  <c:v>46507.75</c:v>
                </c:pt>
                <c:pt idx="432">
                  <c:v>46774</c:v>
                </c:pt>
                <c:pt idx="433">
                  <c:v>47046.25</c:v>
                </c:pt>
                <c:pt idx="434">
                  <c:v>47318.5</c:v>
                </c:pt>
                <c:pt idx="435">
                  <c:v>47590.75</c:v>
                </c:pt>
                <c:pt idx="436">
                  <c:v>47863</c:v>
                </c:pt>
                <c:pt idx="437">
                  <c:v>48141.75</c:v>
                </c:pt>
                <c:pt idx="438">
                  <c:v>48420.5</c:v>
                </c:pt>
                <c:pt idx="439">
                  <c:v>48699.25</c:v>
                </c:pt>
                <c:pt idx="440">
                  <c:v>48978</c:v>
                </c:pt>
                <c:pt idx="441">
                  <c:v>49263.25</c:v>
                </c:pt>
                <c:pt idx="442">
                  <c:v>49548.5</c:v>
                </c:pt>
                <c:pt idx="443">
                  <c:v>49833.75</c:v>
                </c:pt>
                <c:pt idx="444">
                  <c:v>50119</c:v>
                </c:pt>
                <c:pt idx="445">
                  <c:v>50410.75</c:v>
                </c:pt>
                <c:pt idx="446">
                  <c:v>50702.5</c:v>
                </c:pt>
                <c:pt idx="447">
                  <c:v>50994.25</c:v>
                </c:pt>
                <c:pt idx="448">
                  <c:v>51286</c:v>
                </c:pt>
                <c:pt idx="449">
                  <c:v>51584.75</c:v>
                </c:pt>
                <c:pt idx="450">
                  <c:v>51883.5</c:v>
                </c:pt>
                <c:pt idx="451">
                  <c:v>52182.25</c:v>
                </c:pt>
                <c:pt idx="452">
                  <c:v>52481</c:v>
                </c:pt>
                <c:pt idx="453">
                  <c:v>52786.5</c:v>
                </c:pt>
                <c:pt idx="454">
                  <c:v>53092</c:v>
                </c:pt>
                <c:pt idx="455">
                  <c:v>53397.5</c:v>
                </c:pt>
                <c:pt idx="456">
                  <c:v>53703</c:v>
                </c:pt>
                <c:pt idx="457">
                  <c:v>54015.75</c:v>
                </c:pt>
                <c:pt idx="458">
                  <c:v>54328.5</c:v>
                </c:pt>
                <c:pt idx="459">
                  <c:v>54641.25</c:v>
                </c:pt>
                <c:pt idx="460">
                  <c:v>54954</c:v>
                </c:pt>
                <c:pt idx="461">
                  <c:v>55274</c:v>
                </c:pt>
                <c:pt idx="462">
                  <c:v>55594</c:v>
                </c:pt>
                <c:pt idx="463">
                  <c:v>55914</c:v>
                </c:pt>
                <c:pt idx="464">
                  <c:v>56234</c:v>
                </c:pt>
                <c:pt idx="465">
                  <c:v>56561.5</c:v>
                </c:pt>
                <c:pt idx="466">
                  <c:v>56889</c:v>
                </c:pt>
                <c:pt idx="467">
                  <c:v>57216.5</c:v>
                </c:pt>
                <c:pt idx="468">
                  <c:v>57544</c:v>
                </c:pt>
                <c:pt idx="469">
                  <c:v>57879</c:v>
                </c:pt>
                <c:pt idx="470">
                  <c:v>58214</c:v>
                </c:pt>
                <c:pt idx="471">
                  <c:v>58549</c:v>
                </c:pt>
                <c:pt idx="472">
                  <c:v>58884</c:v>
                </c:pt>
                <c:pt idx="473">
                  <c:v>59227</c:v>
                </c:pt>
                <c:pt idx="474">
                  <c:v>59570</c:v>
                </c:pt>
                <c:pt idx="475">
                  <c:v>59913</c:v>
                </c:pt>
                <c:pt idx="476">
                  <c:v>60256</c:v>
                </c:pt>
                <c:pt idx="477">
                  <c:v>60607</c:v>
                </c:pt>
                <c:pt idx="478">
                  <c:v>60958</c:v>
                </c:pt>
                <c:pt idx="479">
                  <c:v>61309</c:v>
                </c:pt>
                <c:pt idx="480">
                  <c:v>61660</c:v>
                </c:pt>
                <c:pt idx="481">
                  <c:v>62019</c:v>
                </c:pt>
                <c:pt idx="482">
                  <c:v>62378</c:v>
                </c:pt>
                <c:pt idx="483">
                  <c:v>62737</c:v>
                </c:pt>
                <c:pt idx="484">
                  <c:v>63096</c:v>
                </c:pt>
                <c:pt idx="485">
                  <c:v>63463.25</c:v>
                </c:pt>
                <c:pt idx="486">
                  <c:v>63830.5</c:v>
                </c:pt>
                <c:pt idx="487">
                  <c:v>64197.75</c:v>
                </c:pt>
                <c:pt idx="488">
                  <c:v>64565</c:v>
                </c:pt>
                <c:pt idx="489">
                  <c:v>64941</c:v>
                </c:pt>
                <c:pt idx="490">
                  <c:v>65317</c:v>
                </c:pt>
                <c:pt idx="491">
                  <c:v>65693</c:v>
                </c:pt>
                <c:pt idx="492">
                  <c:v>66069</c:v>
                </c:pt>
                <c:pt idx="493">
                  <c:v>66453.75</c:v>
                </c:pt>
                <c:pt idx="494">
                  <c:v>66838.5</c:v>
                </c:pt>
                <c:pt idx="495">
                  <c:v>67223.25</c:v>
                </c:pt>
                <c:pt idx="496">
                  <c:v>67608</c:v>
                </c:pt>
                <c:pt idx="497">
                  <c:v>68001.75</c:v>
                </c:pt>
                <c:pt idx="498">
                  <c:v>68395.5</c:v>
                </c:pt>
                <c:pt idx="499">
                  <c:v>68789.25</c:v>
                </c:pt>
                <c:pt idx="500">
                  <c:v>69183</c:v>
                </c:pt>
                <c:pt idx="501">
                  <c:v>69586</c:v>
                </c:pt>
                <c:pt idx="502">
                  <c:v>69989</c:v>
                </c:pt>
                <c:pt idx="503">
                  <c:v>70392</c:v>
                </c:pt>
                <c:pt idx="504">
                  <c:v>70795</c:v>
                </c:pt>
                <c:pt idx="505">
                  <c:v>71207.25</c:v>
                </c:pt>
                <c:pt idx="506">
                  <c:v>71619.5</c:v>
                </c:pt>
                <c:pt idx="507">
                  <c:v>72031.75</c:v>
                </c:pt>
                <c:pt idx="508">
                  <c:v>72444</c:v>
                </c:pt>
                <c:pt idx="509">
                  <c:v>72865.75</c:v>
                </c:pt>
                <c:pt idx="510">
                  <c:v>73287.5</c:v>
                </c:pt>
                <c:pt idx="511">
                  <c:v>73709.25</c:v>
                </c:pt>
                <c:pt idx="512">
                  <c:v>74131</c:v>
                </c:pt>
                <c:pt idx="513">
                  <c:v>74562.75</c:v>
                </c:pt>
                <c:pt idx="514">
                  <c:v>74994.5</c:v>
                </c:pt>
                <c:pt idx="515">
                  <c:v>75426.25</c:v>
                </c:pt>
                <c:pt idx="516">
                  <c:v>75858</c:v>
                </c:pt>
                <c:pt idx="517">
                  <c:v>76299.75</c:v>
                </c:pt>
                <c:pt idx="518">
                  <c:v>76741.5</c:v>
                </c:pt>
                <c:pt idx="519">
                  <c:v>77183.25</c:v>
                </c:pt>
                <c:pt idx="520">
                  <c:v>77625</c:v>
                </c:pt>
                <c:pt idx="521">
                  <c:v>78077</c:v>
                </c:pt>
                <c:pt idx="522">
                  <c:v>78529</c:v>
                </c:pt>
                <c:pt idx="523">
                  <c:v>78981</c:v>
                </c:pt>
                <c:pt idx="524">
                  <c:v>79433</c:v>
                </c:pt>
                <c:pt idx="525">
                  <c:v>79895.5</c:v>
                </c:pt>
                <c:pt idx="526">
                  <c:v>80358</c:v>
                </c:pt>
                <c:pt idx="527">
                  <c:v>80820.5</c:v>
                </c:pt>
                <c:pt idx="528">
                  <c:v>81283</c:v>
                </c:pt>
                <c:pt idx="529">
                  <c:v>81756.25</c:v>
                </c:pt>
                <c:pt idx="530">
                  <c:v>82229.5</c:v>
                </c:pt>
                <c:pt idx="531">
                  <c:v>82702.75</c:v>
                </c:pt>
                <c:pt idx="532">
                  <c:v>83176</c:v>
                </c:pt>
                <c:pt idx="533">
                  <c:v>83660.5</c:v>
                </c:pt>
                <c:pt idx="534">
                  <c:v>84145</c:v>
                </c:pt>
                <c:pt idx="535">
                  <c:v>84629.5</c:v>
                </c:pt>
                <c:pt idx="536">
                  <c:v>85114</c:v>
                </c:pt>
                <c:pt idx="537">
                  <c:v>85609.5</c:v>
                </c:pt>
                <c:pt idx="538">
                  <c:v>86105</c:v>
                </c:pt>
                <c:pt idx="539">
                  <c:v>86600.5</c:v>
                </c:pt>
                <c:pt idx="540">
                  <c:v>87096</c:v>
                </c:pt>
                <c:pt idx="541">
                  <c:v>87603.25</c:v>
                </c:pt>
                <c:pt idx="542">
                  <c:v>88110.5</c:v>
                </c:pt>
                <c:pt idx="543">
                  <c:v>88617.75</c:v>
                </c:pt>
                <c:pt idx="544">
                  <c:v>89125</c:v>
                </c:pt>
                <c:pt idx="545">
                  <c:v>89644</c:v>
                </c:pt>
                <c:pt idx="546">
                  <c:v>90163</c:v>
                </c:pt>
                <c:pt idx="547">
                  <c:v>90682</c:v>
                </c:pt>
                <c:pt idx="548">
                  <c:v>91201</c:v>
                </c:pt>
                <c:pt idx="549">
                  <c:v>91732</c:v>
                </c:pt>
                <c:pt idx="550">
                  <c:v>92263</c:v>
                </c:pt>
                <c:pt idx="551">
                  <c:v>92794</c:v>
                </c:pt>
                <c:pt idx="552">
                  <c:v>93325</c:v>
                </c:pt>
                <c:pt idx="553">
                  <c:v>93868.5</c:v>
                </c:pt>
                <c:pt idx="554">
                  <c:v>94412</c:v>
                </c:pt>
                <c:pt idx="555">
                  <c:v>94955.5</c:v>
                </c:pt>
                <c:pt idx="556">
                  <c:v>95499</c:v>
                </c:pt>
                <c:pt idx="557">
                  <c:v>96611.5</c:v>
                </c:pt>
                <c:pt idx="558">
                  <c:v>97724</c:v>
                </c:pt>
                <c:pt idx="559">
                  <c:v>98862</c:v>
                </c:pt>
                <c:pt idx="560">
                  <c:v>100000</c:v>
                </c:pt>
                <c:pt idx="561">
                  <c:v>101165</c:v>
                </c:pt>
                <c:pt idx="562">
                  <c:v>102330</c:v>
                </c:pt>
                <c:pt idx="563">
                  <c:v>103520</c:v>
                </c:pt>
                <c:pt idx="564">
                  <c:v>104710</c:v>
                </c:pt>
                <c:pt idx="565">
                  <c:v>105930</c:v>
                </c:pt>
                <c:pt idx="566">
                  <c:v>107150</c:v>
                </c:pt>
                <c:pt idx="567">
                  <c:v>108400</c:v>
                </c:pt>
                <c:pt idx="568">
                  <c:v>109650</c:v>
                </c:pt>
                <c:pt idx="569">
                  <c:v>110925</c:v>
                </c:pt>
                <c:pt idx="570">
                  <c:v>112200</c:v>
                </c:pt>
                <c:pt idx="571">
                  <c:v>113510</c:v>
                </c:pt>
                <c:pt idx="572">
                  <c:v>114820</c:v>
                </c:pt>
                <c:pt idx="573">
                  <c:v>116155</c:v>
                </c:pt>
                <c:pt idx="574">
                  <c:v>117490</c:v>
                </c:pt>
                <c:pt idx="575">
                  <c:v>118860</c:v>
                </c:pt>
                <c:pt idx="576">
                  <c:v>120230</c:v>
                </c:pt>
                <c:pt idx="577">
                  <c:v>126030</c:v>
                </c:pt>
                <c:pt idx="578">
                  <c:v>131830</c:v>
                </c:pt>
                <c:pt idx="579">
                  <c:v>144540</c:v>
                </c:pt>
                <c:pt idx="580">
                  <c:v>158490</c:v>
                </c:pt>
                <c:pt idx="581">
                  <c:v>173780</c:v>
                </c:pt>
                <c:pt idx="582">
                  <c:v>190550</c:v>
                </c:pt>
                <c:pt idx="583">
                  <c:v>208930</c:v>
                </c:pt>
                <c:pt idx="584">
                  <c:v>229090</c:v>
                </c:pt>
                <c:pt idx="585">
                  <c:v>251190</c:v>
                </c:pt>
                <c:pt idx="586">
                  <c:v>275420</c:v>
                </c:pt>
                <c:pt idx="587">
                  <c:v>302000</c:v>
                </c:pt>
                <c:pt idx="588">
                  <c:v>331130</c:v>
                </c:pt>
                <c:pt idx="589">
                  <c:v>363080</c:v>
                </c:pt>
                <c:pt idx="590">
                  <c:v>398110</c:v>
                </c:pt>
                <c:pt idx="591">
                  <c:v>436520</c:v>
                </c:pt>
                <c:pt idx="592">
                  <c:v>478630</c:v>
                </c:pt>
                <c:pt idx="593">
                  <c:v>524810</c:v>
                </c:pt>
                <c:pt idx="594">
                  <c:v>575440</c:v>
                </c:pt>
                <c:pt idx="595">
                  <c:v>630960</c:v>
                </c:pt>
                <c:pt idx="596">
                  <c:v>691830</c:v>
                </c:pt>
                <c:pt idx="597">
                  <c:v>758580</c:v>
                </c:pt>
                <c:pt idx="598">
                  <c:v>831760</c:v>
                </c:pt>
                <c:pt idx="599">
                  <c:v>912010</c:v>
                </c:pt>
                <c:pt idx="600">
                  <c:v>1000000</c:v>
                </c:pt>
              </c:numCache>
            </c:numRef>
          </c:xVal>
          <c:yVal>
            <c:numRef>
              <c:f>'Stability Calculations'!$V$13:$V$613</c:f>
              <c:numCache>
                <c:formatCode>0.00</c:formatCode>
                <c:ptCount val="601"/>
                <c:pt idx="0">
                  <c:v>-53.026060695921707</c:v>
                </c:pt>
                <c:pt idx="1">
                  <c:v>-55.529774491644581</c:v>
                </c:pt>
                <c:pt idx="2">
                  <c:v>-57.952289332892363</c:v>
                </c:pt>
                <c:pt idx="3">
                  <c:v>-60.279739120462388</c:v>
                </c:pt>
                <c:pt idx="4">
                  <c:v>-62.499906784484608</c:v>
                </c:pt>
                <c:pt idx="5">
                  <c:v>-64.608691050088922</c:v>
                </c:pt>
                <c:pt idx="6">
                  <c:v>-66.59815220651042</c:v>
                </c:pt>
                <c:pt idx="7">
                  <c:v>-68.46739121446889</c:v>
                </c:pt>
                <c:pt idx="8">
                  <c:v>-70.215092160718285</c:v>
                </c:pt>
                <c:pt idx="9">
                  <c:v>-71.844470081680072</c:v>
                </c:pt>
                <c:pt idx="10">
                  <c:v>-73.357907879218061</c:v>
                </c:pt>
                <c:pt idx="11">
                  <c:v>-74.760115537398548</c:v>
                </c:pt>
                <c:pt idx="12">
                  <c:v>-76.056999623128021</c:v>
                </c:pt>
                <c:pt idx="13">
                  <c:v>-77.253056664059059</c:v>
                </c:pt>
                <c:pt idx="14">
                  <c:v>-78.355295731007985</c:v>
                </c:pt>
                <c:pt idx="15">
                  <c:v>-79.369395402365811</c:v>
                </c:pt>
                <c:pt idx="16">
                  <c:v>-80.301554588587308</c:v>
                </c:pt>
                <c:pt idx="17">
                  <c:v>-81.157633638740393</c:v>
                </c:pt>
                <c:pt idx="18">
                  <c:v>-81.943654880014435</c:v>
                </c:pt>
                <c:pt idx="19">
                  <c:v>-82.664926718390873</c:v>
                </c:pt>
                <c:pt idx="20">
                  <c:v>-83.326838300629447</c:v>
                </c:pt>
                <c:pt idx="21">
                  <c:v>-83.934200867068313</c:v>
                </c:pt>
                <c:pt idx="22">
                  <c:v>-84.491786014914922</c:v>
                </c:pt>
                <c:pt idx="23">
                  <c:v>-85.003797634640605</c:v>
                </c:pt>
                <c:pt idx="24">
                  <c:v>-85.474414526927404</c:v>
                </c:pt>
                <c:pt idx="25">
                  <c:v>-85.907325128661554</c:v>
                </c:pt>
                <c:pt idx="26">
                  <c:v>-86.30612324345843</c:v>
                </c:pt>
                <c:pt idx="27">
                  <c:v>-86.673930917681673</c:v>
                </c:pt>
                <c:pt idx="28">
                  <c:v>-87.013793093452122</c:v>
                </c:pt>
                <c:pt idx="29">
                  <c:v>-87.328335871053</c:v>
                </c:pt>
                <c:pt idx="30">
                  <c:v>-87.62069332302039</c:v>
                </c:pt>
                <c:pt idx="31">
                  <c:v>-87.89287294968446</c:v>
                </c:pt>
                <c:pt idx="32">
                  <c:v>-88.147340578674232</c:v>
                </c:pt>
                <c:pt idx="33">
                  <c:v>-88.38605196535147</c:v>
                </c:pt>
                <c:pt idx="34">
                  <c:v>-88.611200231440179</c:v>
                </c:pt>
                <c:pt idx="35">
                  <c:v>-88.824551222117961</c:v>
                </c:pt>
                <c:pt idx="36">
                  <c:v>-89.02794087467413</c:v>
                </c:pt>
                <c:pt idx="37">
                  <c:v>-89.223189991422458</c:v>
                </c:pt>
                <c:pt idx="38">
                  <c:v>-89.411760818593791</c:v>
                </c:pt>
                <c:pt idx="39">
                  <c:v>-89.595400425871603</c:v>
                </c:pt>
                <c:pt idx="40">
                  <c:v>-89.775588872571603</c:v>
                </c:pt>
                <c:pt idx="41">
                  <c:v>-89.953864055732041</c:v>
                </c:pt>
                <c:pt idx="42">
                  <c:v>-90.131706552245078</c:v>
                </c:pt>
                <c:pt idx="43">
                  <c:v>-90.310668999267477</c:v>
                </c:pt>
                <c:pt idx="44">
                  <c:v>-90.49221147621229</c:v>
                </c:pt>
                <c:pt idx="45">
                  <c:v>-90.67789761789372</c:v>
                </c:pt>
                <c:pt idx="46">
                  <c:v>-90.869247800484246</c:v>
                </c:pt>
                <c:pt idx="47">
                  <c:v>-91.067904369349961</c:v>
                </c:pt>
                <c:pt idx="48">
                  <c:v>-91.275473690123263</c:v>
                </c:pt>
                <c:pt idx="49">
                  <c:v>-91.493730819448388</c:v>
                </c:pt>
                <c:pt idx="50">
                  <c:v>-91.724443755666854</c:v>
                </c:pt>
                <c:pt idx="51">
                  <c:v>-91.969559745950519</c:v>
                </c:pt>
                <c:pt idx="52">
                  <c:v>-92.230992913233081</c:v>
                </c:pt>
                <c:pt idx="53">
                  <c:v>-92.510848786873481</c:v>
                </c:pt>
                <c:pt idx="54">
                  <c:v>-92.811148078798624</c:v>
                </c:pt>
                <c:pt idx="55">
                  <c:v>-93.134752398626773</c:v>
                </c:pt>
                <c:pt idx="56">
                  <c:v>-93.483704757443448</c:v>
                </c:pt>
                <c:pt idx="57">
                  <c:v>-93.860844789755461</c:v>
                </c:pt>
                <c:pt idx="58">
                  <c:v>-94.268630944521206</c:v>
                </c:pt>
                <c:pt idx="59">
                  <c:v>-94.710225794139191</c:v>
                </c:pt>
                <c:pt idx="60">
                  <c:v>-95.188337397935257</c:v>
                </c:pt>
                <c:pt idx="61">
                  <c:v>-95.706042217730001</c:v>
                </c:pt>
                <c:pt idx="62">
                  <c:v>-96.266689333326738</c:v>
                </c:pt>
                <c:pt idx="63">
                  <c:v>-96.872751407497816</c:v>
                </c:pt>
                <c:pt idx="64">
                  <c:v>-97.5275915927254</c:v>
                </c:pt>
                <c:pt idx="65">
                  <c:v>-98.233632348733209</c:v>
                </c:pt>
                <c:pt idx="66">
                  <c:v>-98.993202974459564</c:v>
                </c:pt>
                <c:pt idx="67">
                  <c:v>-99.807899581698919</c:v>
                </c:pt>
                <c:pt idx="68">
                  <c:v>-100.6788883014606</c:v>
                </c:pt>
                <c:pt idx="69">
                  <c:v>-101.6058127141884</c:v>
                </c:pt>
                <c:pt idx="70">
                  <c:v>-102.58736829649624</c:v>
                </c:pt>
                <c:pt idx="71">
                  <c:v>-103.62016533333977</c:v>
                </c:pt>
                <c:pt idx="72">
                  <c:v>-104.69918043781728</c:v>
                </c:pt>
                <c:pt idx="73">
                  <c:v>-105.81650374472225</c:v>
                </c:pt>
                <c:pt idx="74">
                  <c:v>-106.96208445063151</c:v>
                </c:pt>
                <c:pt idx="75">
                  <c:v>-108.12252582673536</c:v>
                </c:pt>
                <c:pt idx="76">
                  <c:v>-109.28193899220845</c:v>
                </c:pt>
                <c:pt idx="77">
                  <c:v>-110.42101973842639</c:v>
                </c:pt>
                <c:pt idx="78">
                  <c:v>-111.51852744009484</c:v>
                </c:pt>
                <c:pt idx="79">
                  <c:v>-112.55089823893454</c:v>
                </c:pt>
                <c:pt idx="80">
                  <c:v>-113.49617290008919</c:v>
                </c:pt>
                <c:pt idx="81">
                  <c:v>-114.32973241886074</c:v>
                </c:pt>
                <c:pt idx="82">
                  <c:v>-115.0306899825796</c:v>
                </c:pt>
                <c:pt idx="83">
                  <c:v>-115.58020175222094</c:v>
                </c:pt>
                <c:pt idx="84">
                  <c:v>-115.96463417307218</c:v>
                </c:pt>
                <c:pt idx="85">
                  <c:v>-116.17495937986752</c:v>
                </c:pt>
                <c:pt idx="86">
                  <c:v>-116.20845505280855</c:v>
                </c:pt>
                <c:pt idx="87">
                  <c:v>-116.06841695832418</c:v>
                </c:pt>
                <c:pt idx="88">
                  <c:v>-115.76441361797916</c:v>
                </c:pt>
                <c:pt idx="89">
                  <c:v>-115.31115557356186</c:v>
                </c:pt>
                <c:pt idx="90">
                  <c:v>-114.72823423354059</c:v>
                </c:pt>
                <c:pt idx="91">
                  <c:v>-114.03848147325017</c:v>
                </c:pt>
                <c:pt idx="92">
                  <c:v>-113.26697266088149</c:v>
                </c:pt>
                <c:pt idx="93">
                  <c:v>-112.4392386215109</c:v>
                </c:pt>
                <c:pt idx="94">
                  <c:v>-112.22662286214003</c:v>
                </c:pt>
                <c:pt idx="95">
                  <c:v>-112.11905559250226</c:v>
                </c:pt>
                <c:pt idx="96">
                  <c:v>-112.01238746097076</c:v>
                </c:pt>
                <c:pt idx="97">
                  <c:v>-111.90420754297972</c:v>
                </c:pt>
                <c:pt idx="98">
                  <c:v>-111.79702723169184</c:v>
                </c:pt>
                <c:pt idx="99">
                  <c:v>-111.68839580963304</c:v>
                </c:pt>
                <c:pt idx="100">
                  <c:v>-111.58086096398767</c:v>
                </c:pt>
                <c:pt idx="101">
                  <c:v>-111.47201955550265</c:v>
                </c:pt>
                <c:pt idx="102">
                  <c:v>-111.36436637315281</c:v>
                </c:pt>
                <c:pt idx="103">
                  <c:v>-111.25539073366697</c:v>
                </c:pt>
                <c:pt idx="104">
                  <c:v>-111.14769306791966</c:v>
                </c:pt>
                <c:pt idx="105">
                  <c:v>-111.03881952883255</c:v>
                </c:pt>
                <c:pt idx="106">
                  <c:v>-110.93130814132745</c:v>
                </c:pt>
                <c:pt idx="107">
                  <c:v>-110.82276422774061</c:v>
                </c:pt>
                <c:pt idx="108">
                  <c:v>-110.71566080156205</c:v>
                </c:pt>
                <c:pt idx="109">
                  <c:v>-110.60759130578153</c:v>
                </c:pt>
                <c:pt idx="110">
                  <c:v>-110.50103666089983</c:v>
                </c:pt>
                <c:pt idx="111">
                  <c:v>-110.3935133924894</c:v>
                </c:pt>
                <c:pt idx="112">
                  <c:v>-110.28757748192686</c:v>
                </c:pt>
                <c:pt idx="113">
                  <c:v>-110.18081630167393</c:v>
                </c:pt>
                <c:pt idx="114">
                  <c:v>-110.07570894257013</c:v>
                </c:pt>
                <c:pt idx="115">
                  <c:v>-109.96984823649856</c:v>
                </c:pt>
                <c:pt idx="116">
                  <c:v>-109.86570383335524</c:v>
                </c:pt>
                <c:pt idx="117">
                  <c:v>-109.76087944010615</c:v>
                </c:pt>
                <c:pt idx="118">
                  <c:v>-109.65782985016605</c:v>
                </c:pt>
                <c:pt idx="119">
                  <c:v>-109.55423712724841</c:v>
                </c:pt>
                <c:pt idx="120">
                  <c:v>-109.45247152215228</c:v>
                </c:pt>
                <c:pt idx="121">
                  <c:v>-109.35023392944879</c:v>
                </c:pt>
                <c:pt idx="122">
                  <c:v>-109.24987180659214</c:v>
                </c:pt>
                <c:pt idx="123">
                  <c:v>-109.14905179855356</c:v>
                </c:pt>
                <c:pt idx="124">
                  <c:v>-109.05015390118444</c:v>
                </c:pt>
                <c:pt idx="125">
                  <c:v>-108.95093070246362</c:v>
                </c:pt>
                <c:pt idx="126">
                  <c:v>-108.85367012749522</c:v>
                </c:pt>
                <c:pt idx="127">
                  <c:v>-108.75615718671209</c:v>
                </c:pt>
                <c:pt idx="128">
                  <c:v>-108.66064353915354</c:v>
                </c:pt>
                <c:pt idx="129">
                  <c:v>-108.56495067473533</c:v>
                </c:pt>
                <c:pt idx="130">
                  <c:v>-108.47128998338485</c:v>
                </c:pt>
                <c:pt idx="131">
                  <c:v>-108.37752325657861</c:v>
                </c:pt>
                <c:pt idx="132">
                  <c:v>-108.33141499715346</c:v>
                </c:pt>
                <c:pt idx="133">
                  <c:v>-108.28581785324687</c:v>
                </c:pt>
                <c:pt idx="134">
                  <c:v>-108.23966186432524</c:v>
                </c:pt>
                <c:pt idx="135">
                  <c:v>-108.19403263342143</c:v>
                </c:pt>
                <c:pt idx="136">
                  <c:v>-108.14892563813855</c:v>
                </c:pt>
                <c:pt idx="137">
                  <c:v>-108.10433636152035</c:v>
                </c:pt>
                <c:pt idx="138">
                  <c:v>-108.05926552214331</c:v>
                </c:pt>
                <c:pt idx="139">
                  <c:v>-108.01472664729933</c:v>
                </c:pt>
                <c:pt idx="140">
                  <c:v>-107.97071493672124</c:v>
                </c:pt>
                <c:pt idx="141">
                  <c:v>-107.9272256048918</c:v>
                </c:pt>
                <c:pt idx="142">
                  <c:v>-107.88324112015113</c:v>
                </c:pt>
                <c:pt idx="143">
                  <c:v>-107.8397939887587</c:v>
                </c:pt>
                <c:pt idx="144">
                  <c:v>-107.79687913650146</c:v>
                </c:pt>
                <c:pt idx="145">
                  <c:v>-107.75449151293317</c:v>
                </c:pt>
                <c:pt idx="146">
                  <c:v>-107.7116624656458</c:v>
                </c:pt>
                <c:pt idx="147">
                  <c:v>-107.66937474172276</c:v>
                </c:pt>
                <c:pt idx="148">
                  <c:v>-107.62762301879818</c:v>
                </c:pt>
                <c:pt idx="149">
                  <c:v>-107.58640200689322</c:v>
                </c:pt>
                <c:pt idx="150">
                  <c:v>-107.5447716853479</c:v>
                </c:pt>
                <c:pt idx="151">
                  <c:v>-107.50368580653655</c:v>
                </c:pt>
                <c:pt idx="152">
                  <c:v>-107.4631388184073</c:v>
                </c:pt>
                <c:pt idx="153">
                  <c:v>-107.42312520953179</c:v>
                </c:pt>
                <c:pt idx="154">
                  <c:v>-107.38271631314898</c:v>
                </c:pt>
                <c:pt idx="155">
                  <c:v>-107.34285465446658</c:v>
                </c:pt>
                <c:pt idx="156">
                  <c:v>-107.30353446218628</c:v>
                </c:pt>
                <c:pt idx="157">
                  <c:v>-107.26475001356314</c:v>
                </c:pt>
                <c:pt idx="158">
                  <c:v>-107.22560454104637</c:v>
                </c:pt>
                <c:pt idx="159">
                  <c:v>-107.1870082726592</c:v>
                </c:pt>
                <c:pt idx="160">
                  <c:v>-107.14895523600158</c:v>
                </c:pt>
                <c:pt idx="161">
                  <c:v>-107.11143951477283</c:v>
                </c:pt>
                <c:pt idx="162">
                  <c:v>-107.07361370450766</c:v>
                </c:pt>
                <c:pt idx="163">
                  <c:v>-107.03633778257219</c:v>
                </c:pt>
                <c:pt idx="164">
                  <c:v>-106.99960560157675</c:v>
                </c:pt>
                <c:pt idx="165">
                  <c:v>-106.96341107726674</c:v>
                </c:pt>
                <c:pt idx="166">
                  <c:v>-106.92690846441751</c:v>
                </c:pt>
                <c:pt idx="167">
                  <c:v>-106.89095662323425</c:v>
                </c:pt>
                <c:pt idx="168">
                  <c:v>-106.85554923296171</c:v>
                </c:pt>
                <c:pt idx="169">
                  <c:v>-106.82068004282874</c:v>
                </c:pt>
                <c:pt idx="170">
                  <c:v>-106.78561180848943</c:v>
                </c:pt>
                <c:pt idx="171">
                  <c:v>-106.75109216022025</c:v>
                </c:pt>
                <c:pt idx="172">
                  <c:v>-106.71711466201884</c:v>
                </c:pt>
                <c:pt idx="173">
                  <c:v>-106.68367295367686</c:v>
                </c:pt>
                <c:pt idx="174">
                  <c:v>-106.64993781950066</c:v>
                </c:pt>
                <c:pt idx="175">
                  <c:v>-106.61675253519989</c:v>
                </c:pt>
                <c:pt idx="176">
                  <c:v>-106.58411049360643</c:v>
                </c:pt>
                <c:pt idx="177">
                  <c:v>-106.55200516988786</c:v>
                </c:pt>
                <c:pt idx="178">
                  <c:v>-106.51966031129278</c:v>
                </c:pt>
                <c:pt idx="179">
                  <c:v>-106.48786528621191</c:v>
                </c:pt>
                <c:pt idx="180">
                  <c:v>-106.45661334219118</c:v>
                </c:pt>
                <c:pt idx="181">
                  <c:v>-106.42589781514653</c:v>
                </c:pt>
                <c:pt idx="182">
                  <c:v>-106.39511377459611</c:v>
                </c:pt>
                <c:pt idx="183">
                  <c:v>-106.3648740947163</c:v>
                </c:pt>
                <c:pt idx="184">
                  <c:v>-106.33517198302424</c:v>
                </c:pt>
                <c:pt idx="185">
                  <c:v>-106.30600073944646</c:v>
                </c:pt>
                <c:pt idx="186">
                  <c:v>-106.27657469855033</c:v>
                </c:pt>
                <c:pt idx="187">
                  <c:v>-106.24769502732929</c:v>
                </c:pt>
                <c:pt idx="188">
                  <c:v>-106.21935475741444</c:v>
                </c:pt>
                <c:pt idx="189">
                  <c:v>-106.19154701923762</c:v>
                </c:pt>
                <c:pt idx="190">
                  <c:v>-106.16374946117013</c:v>
                </c:pt>
                <c:pt idx="191">
                  <c:v>-106.13649085806468</c:v>
                </c:pt>
                <c:pt idx="192">
                  <c:v>-106.10976424894348</c:v>
                </c:pt>
                <c:pt idx="193">
                  <c:v>-106.08356277445355</c:v>
                </c:pt>
                <c:pt idx="194">
                  <c:v>-106.05721324852937</c:v>
                </c:pt>
                <c:pt idx="195">
                  <c:v>-106.03140243951762</c:v>
                </c:pt>
                <c:pt idx="196">
                  <c:v>-106.00612325959682</c:v>
                </c:pt>
                <c:pt idx="197">
                  <c:v>-105.98136872787506</c:v>
                </c:pt>
                <c:pt idx="198">
                  <c:v>-105.95660697889996</c:v>
                </c:pt>
                <c:pt idx="199">
                  <c:v>-105.93237870263629</c:v>
                </c:pt>
                <c:pt idx="200">
                  <c:v>-105.9086767859249</c:v>
                </c:pt>
                <c:pt idx="201">
                  <c:v>-105.88549422572051</c:v>
                </c:pt>
                <c:pt idx="202">
                  <c:v>-105.86234389771616</c:v>
                </c:pt>
                <c:pt idx="203">
                  <c:v>-105.83972099775085</c:v>
                </c:pt>
                <c:pt idx="204">
                  <c:v>-105.81761840806598</c:v>
                </c:pt>
                <c:pt idx="205">
                  <c:v>-105.79602912363363</c:v>
                </c:pt>
                <c:pt idx="206">
                  <c:v>-105.774436527399</c:v>
                </c:pt>
                <c:pt idx="207">
                  <c:v>-105.75336814160043</c:v>
                </c:pt>
                <c:pt idx="208">
                  <c:v>-105.73281679061171</c:v>
                </c:pt>
                <c:pt idx="209">
                  <c:v>-105.71277541517269</c:v>
                </c:pt>
                <c:pt idx="210">
                  <c:v>-105.6927105901033</c:v>
                </c:pt>
                <c:pt idx="211">
                  <c:v>-105.67316923484094</c:v>
                </c:pt>
                <c:pt idx="212">
                  <c:v>-105.65414406682252</c:v>
                </c:pt>
                <c:pt idx="213">
                  <c:v>-105.63562792451198</c:v>
                </c:pt>
                <c:pt idx="214">
                  <c:v>-105.61725973434723</c:v>
                </c:pt>
                <c:pt idx="215">
                  <c:v>-105.599406392708</c:v>
                </c:pt>
                <c:pt idx="216">
                  <c:v>-105.5820606767123</c:v>
                </c:pt>
                <c:pt idx="217">
                  <c:v>-105.56521548540766</c:v>
                </c:pt>
                <c:pt idx="218">
                  <c:v>-105.54849669951767</c:v>
                </c:pt>
                <c:pt idx="219">
                  <c:v>-105.53228687847465</c:v>
                </c:pt>
                <c:pt idx="220">
                  <c:v>-105.51657880598387</c:v>
                </c:pt>
                <c:pt idx="221">
                  <c:v>-105.50136538965293</c:v>
                </c:pt>
                <c:pt idx="222">
                  <c:v>-105.48631688236576</c:v>
                </c:pt>
                <c:pt idx="223">
                  <c:v>-105.47177072858351</c:v>
                </c:pt>
                <c:pt idx="224">
                  <c:v>-105.45771973749423</c:v>
                </c:pt>
                <c:pt idx="225">
                  <c:v>-105.44415684363457</c:v>
                </c:pt>
                <c:pt idx="226">
                  <c:v>-105.43075516588722</c:v>
                </c:pt>
                <c:pt idx="227">
                  <c:v>-105.41785158176242</c:v>
                </c:pt>
                <c:pt idx="228">
                  <c:v>-105.40543887841629</c:v>
                </c:pt>
                <c:pt idx="229">
                  <c:v>-105.39350997082845</c:v>
                </c:pt>
                <c:pt idx="230">
                  <c:v>-105.37055361115648</c:v>
                </c:pt>
                <c:pt idx="231">
                  <c:v>-105.35980766009008</c:v>
                </c:pt>
                <c:pt idx="232">
                  <c:v>-105.34954037277937</c:v>
                </c:pt>
                <c:pt idx="233">
                  <c:v>-105.3395179317199</c:v>
                </c:pt>
                <c:pt idx="234">
                  <c:v>-105.32998253014237</c:v>
                </c:pt>
                <c:pt idx="235">
                  <c:v>-105.32092697280596</c:v>
                </c:pt>
                <c:pt idx="236">
                  <c:v>-105.31234419561282</c:v>
                </c:pt>
                <c:pt idx="237">
                  <c:v>-105.30406734565702</c:v>
                </c:pt>
                <c:pt idx="238">
                  <c:v>-105.29626820462046</c:v>
                </c:pt>
                <c:pt idx="239">
                  <c:v>-105.28893967427977</c:v>
                </c:pt>
                <c:pt idx="240">
                  <c:v>-105.28207478696167</c:v>
                </c:pt>
                <c:pt idx="241">
                  <c:v>-105.27550878913567</c:v>
                </c:pt>
                <c:pt idx="242">
                  <c:v>-105.26941601143872</c:v>
                </c:pt>
                <c:pt idx="243">
                  <c:v>-105.2637893477974</c:v>
                </c:pt>
                <c:pt idx="244">
                  <c:v>-105.25862182458826</c:v>
                </c:pt>
                <c:pt idx="245">
                  <c:v>-105.25380717635484</c:v>
                </c:pt>
                <c:pt idx="246">
                  <c:v>-105.24945792118909</c:v>
                </c:pt>
                <c:pt idx="247">
                  <c:v>-105.24556702213167</c:v>
                </c:pt>
                <c:pt idx="248">
                  <c:v>-105.24212757460933</c:v>
                </c:pt>
                <c:pt idx="249">
                  <c:v>-105.23906525917808</c:v>
                </c:pt>
                <c:pt idx="250">
                  <c:v>-105.23646243154009</c:v>
                </c:pt>
                <c:pt idx="251">
                  <c:v>-105.23431208276908</c:v>
                </c:pt>
                <c:pt idx="252">
                  <c:v>-105.23260733722432</c:v>
                </c:pt>
                <c:pt idx="253">
                  <c:v>-105.23131935218414</c:v>
                </c:pt>
                <c:pt idx="254">
                  <c:v>-105.23048195242302</c:v>
                </c:pt>
                <c:pt idx="255">
                  <c:v>-105.23008822768195</c:v>
                </c:pt>
                <c:pt idx="256">
                  <c:v>-105.23013140003546</c:v>
                </c:pt>
                <c:pt idx="257">
                  <c:v>-105.2306227444391</c:v>
                </c:pt>
                <c:pt idx="258">
                  <c:v>-105.23155987879974</c:v>
                </c:pt>
                <c:pt idx="259">
                  <c:v>-105.23293589936446</c:v>
                </c:pt>
                <c:pt idx="260">
                  <c:v>-105.23474403605253</c:v>
                </c:pt>
                <c:pt idx="261">
                  <c:v>-105.23703330690745</c:v>
                </c:pt>
                <c:pt idx="262">
                  <c:v>-105.23976065003777</c:v>
                </c:pt>
                <c:pt idx="263">
                  <c:v>-105.242919237302</c:v>
                </c:pt>
                <c:pt idx="264">
                  <c:v>-105.24650237374493</c:v>
                </c:pt>
                <c:pt idx="265">
                  <c:v>-105.25059710625382</c:v>
                </c:pt>
                <c:pt idx="266">
                  <c:v>-105.25512173197301</c:v>
                </c:pt>
                <c:pt idx="267">
                  <c:v>-105.26006951129304</c:v>
                </c:pt>
                <c:pt idx="268">
                  <c:v>-105.265433836906</c:v>
                </c:pt>
                <c:pt idx="269">
                  <c:v>-105.27135272769004</c:v>
                </c:pt>
                <c:pt idx="270">
                  <c:v>-105.27769491468007</c:v>
                </c:pt>
                <c:pt idx="271">
                  <c:v>-105.28445371155509</c:v>
                </c:pt>
                <c:pt idx="272">
                  <c:v>-105.29162256427455</c:v>
                </c:pt>
                <c:pt idx="273">
                  <c:v>-105.2993784647804</c:v>
                </c:pt>
                <c:pt idx="274">
                  <c:v>-105.30755050695687</c:v>
                </c:pt>
                <c:pt idx="275">
                  <c:v>-105.31613207236254</c:v>
                </c:pt>
                <c:pt idx="276">
                  <c:v>-105.32511667438364</c:v>
                </c:pt>
                <c:pt idx="277">
                  <c:v>-105.33469665143731</c:v>
                </c:pt>
                <c:pt idx="278">
                  <c:v>-105.34468330349658</c:v>
                </c:pt>
                <c:pt idx="279">
                  <c:v>-105.35507013677504</c:v>
                </c:pt>
                <c:pt idx="280">
                  <c:v>-105.36585078729949</c:v>
                </c:pt>
                <c:pt idx="281">
                  <c:v>-105.37732687705098</c:v>
                </c:pt>
                <c:pt idx="282">
                  <c:v>-105.38920520702176</c:v>
                </c:pt>
                <c:pt idx="283">
                  <c:v>-105.40147928913396</c:v>
                </c:pt>
                <c:pt idx="284">
                  <c:v>-105.41414276622737</c:v>
                </c:pt>
                <c:pt idx="285">
                  <c:v>-105.42745129717089</c:v>
                </c:pt>
                <c:pt idx="286">
                  <c:v>-105.44115182917434</c:v>
                </c:pt>
                <c:pt idx="287">
                  <c:v>-105.45523802065212</c:v>
                </c:pt>
                <c:pt idx="288">
                  <c:v>-105.46970365822425</c:v>
                </c:pt>
                <c:pt idx="289">
                  <c:v>-105.48493131974642</c:v>
                </c:pt>
                <c:pt idx="290">
                  <c:v>-105.50054546130318</c:v>
                </c:pt>
                <c:pt idx="291">
                  <c:v>-105.51653977501778</c:v>
                </c:pt>
                <c:pt idx="292">
                  <c:v>-105.53290808149089</c:v>
                </c:pt>
                <c:pt idx="293">
                  <c:v>-105.55003539069969</c:v>
                </c:pt>
                <c:pt idx="294">
                  <c:v>-105.56754148987429</c:v>
                </c:pt>
                <c:pt idx="295">
                  <c:v>-105.5854201582994</c:v>
                </c:pt>
                <c:pt idx="296">
                  <c:v>-105.60366530252448</c:v>
                </c:pt>
                <c:pt idx="297">
                  <c:v>-105.62269532165406</c:v>
                </c:pt>
                <c:pt idx="298">
                  <c:v>-105.64209606510316</c:v>
                </c:pt>
                <c:pt idx="299">
                  <c:v>-105.66186140960494</c:v>
                </c:pt>
                <c:pt idx="300">
                  <c:v>-105.68198535761704</c:v>
                </c:pt>
                <c:pt idx="301">
                  <c:v>-105.7029182678705</c:v>
                </c:pt>
                <c:pt idx="302">
                  <c:v>-105.72421351764642</c:v>
                </c:pt>
                <c:pt idx="303">
                  <c:v>-105.74586509009235</c:v>
                </c:pt>
                <c:pt idx="304">
                  <c:v>-105.76786709224683</c:v>
                </c:pt>
                <c:pt idx="305">
                  <c:v>-105.79078895523736</c:v>
                </c:pt>
                <c:pt idx="306">
                  <c:v>-105.8140672091093</c:v>
                </c:pt>
                <c:pt idx="307">
                  <c:v>-105.83769588347413</c:v>
                </c:pt>
                <c:pt idx="308">
                  <c:v>-105.86166913160204</c:v>
                </c:pt>
                <c:pt idx="309">
                  <c:v>-105.88649715574651</c:v>
                </c:pt>
                <c:pt idx="310">
                  <c:v>-105.91167248971512</c:v>
                </c:pt>
                <c:pt idx="311">
                  <c:v>-105.93718928835044</c:v>
                </c:pt>
                <c:pt idx="312">
                  <c:v>-105.96304182771433</c:v>
                </c:pt>
                <c:pt idx="313">
                  <c:v>-105.98986718152189</c:v>
                </c:pt>
                <c:pt idx="314">
                  <c:v>-106.01703307043732</c:v>
                </c:pt>
                <c:pt idx="315">
                  <c:v>-106.0445337171189</c:v>
                </c:pt>
                <c:pt idx="316">
                  <c:v>-106.07236346454451</c:v>
                </c:pt>
                <c:pt idx="317">
                  <c:v>-106.1011909885847</c:v>
                </c:pt>
                <c:pt idx="318">
                  <c:v>-106.13035184418462</c:v>
                </c:pt>
                <c:pt idx="319">
                  <c:v>-106.15984033262887</c:v>
                </c:pt>
                <c:pt idx="320">
                  <c:v>-106.18965087428634</c:v>
                </c:pt>
                <c:pt idx="321">
                  <c:v>-106.22048236023123</c:v>
                </c:pt>
                <c:pt idx="322">
                  <c:v>-106.25163960130173</c:v>
                </c:pt>
                <c:pt idx="323">
                  <c:v>-106.28311698692957</c:v>
                </c:pt>
                <c:pt idx="324">
                  <c:v>-106.31490902409246</c:v>
                </c:pt>
                <c:pt idx="325">
                  <c:v>-106.34774346235963</c:v>
                </c:pt>
                <c:pt idx="326">
                  <c:v>-106.380895758717</c:v>
                </c:pt>
                <c:pt idx="327">
                  <c:v>-106.41436039902156</c:v>
                </c:pt>
                <c:pt idx="328">
                  <c:v>-106.4481319848682</c:v>
                </c:pt>
                <c:pt idx="329">
                  <c:v>-106.48302431167228</c:v>
                </c:pt>
                <c:pt idx="330">
                  <c:v>-106.51822735494393</c:v>
                </c:pt>
                <c:pt idx="331">
                  <c:v>-106.55373567715884</c:v>
                </c:pt>
                <c:pt idx="332">
                  <c:v>-106.58954395523757</c:v>
                </c:pt>
                <c:pt idx="333">
                  <c:v>-106.62643374508933</c:v>
                </c:pt>
                <c:pt idx="334">
                  <c:v>-106.66362577064343</c:v>
                </c:pt>
                <c:pt idx="335">
                  <c:v>-106.70111470571689</c:v>
                </c:pt>
                <c:pt idx="336">
                  <c:v>-106.73889533627006</c:v>
                </c:pt>
                <c:pt idx="337">
                  <c:v>-106.77789913325513</c:v>
                </c:pt>
                <c:pt idx="338">
                  <c:v>-106.81719836835953</c:v>
                </c:pt>
                <c:pt idx="339">
                  <c:v>-106.8567877819398</c:v>
                </c:pt>
                <c:pt idx="340">
                  <c:v>-106.89666222541241</c:v>
                </c:pt>
                <c:pt idx="341">
                  <c:v>-106.9377806789925</c:v>
                </c:pt>
                <c:pt idx="342">
                  <c:v>-106.9791873827857</c:v>
                </c:pt>
                <c:pt idx="343">
                  <c:v>-107.02087715291188</c:v>
                </c:pt>
                <c:pt idx="344">
                  <c:v>-107.06284491517553</c:v>
                </c:pt>
                <c:pt idx="345">
                  <c:v>-107.10600984594608</c:v>
                </c:pt>
                <c:pt idx="346">
                  <c:v>-107.14945465190431</c:v>
                </c:pt>
                <c:pt idx="347">
                  <c:v>-107.19317425598437</c:v>
                </c:pt>
                <c:pt idx="348">
                  <c:v>-107.23716368852239</c:v>
                </c:pt>
                <c:pt idx="349">
                  <c:v>-107.28250072963864</c:v>
                </c:pt>
                <c:pt idx="350">
                  <c:v>-107.32811069812439</c:v>
                </c:pt>
                <c:pt idx="351">
                  <c:v>-107.37398858399968</c:v>
                </c:pt>
                <c:pt idx="352">
                  <c:v>-107.42012948348702</c:v>
                </c:pt>
                <c:pt idx="353">
                  <c:v>-107.46763644528771</c:v>
                </c:pt>
                <c:pt idx="354">
                  <c:v>-107.51540902073994</c:v>
                </c:pt>
                <c:pt idx="355">
                  <c:v>-107.56344227522257</c:v>
                </c:pt>
                <c:pt idx="356">
                  <c:v>-107.61173137885282</c:v>
                </c:pt>
                <c:pt idx="357">
                  <c:v>-107.66133265575587</c:v>
                </c:pt>
                <c:pt idx="358">
                  <c:v>-107.71119118672244</c:v>
                </c:pt>
                <c:pt idx="359">
                  <c:v>-107.76130214008158</c:v>
                </c:pt>
                <c:pt idx="360">
                  <c:v>-107.81166078662639</c:v>
                </c:pt>
                <c:pt idx="361">
                  <c:v>-107.86348912322528</c:v>
                </c:pt>
                <c:pt idx="362">
                  <c:v>-107.91556755368433</c:v>
                </c:pt>
                <c:pt idx="363">
                  <c:v>-107.96789131397261</c:v>
                </c:pt>
                <c:pt idx="364">
                  <c:v>-108.02045574121318</c:v>
                </c:pt>
                <c:pt idx="365">
                  <c:v>-108.07443226335533</c:v>
                </c:pt>
                <c:pt idx="366">
                  <c:v>-108.12865072637713</c:v>
                </c:pt>
                <c:pt idx="367">
                  <c:v>-108.18310646003076</c:v>
                </c:pt>
                <c:pt idx="368">
                  <c:v>-108.23779489314452</c:v>
                </c:pt>
                <c:pt idx="369">
                  <c:v>-108.29405744322811</c:v>
                </c:pt>
                <c:pt idx="370">
                  <c:v>-108.35055480907079</c:v>
                </c:pt>
                <c:pt idx="371">
                  <c:v>-108.40728238222231</c:v>
                </c:pt>
                <c:pt idx="372">
                  <c:v>-108.46423565210323</c:v>
                </c:pt>
                <c:pt idx="373">
                  <c:v>-108.5227018018021</c:v>
                </c:pt>
                <c:pt idx="374">
                  <c:v>-108.58139470339285</c:v>
                </c:pt>
                <c:pt idx="375">
                  <c:v>-108.64030983491338</c:v>
                </c:pt>
                <c:pt idx="376">
                  <c:v>-108.69944277034223</c:v>
                </c:pt>
                <c:pt idx="377">
                  <c:v>-108.7602543283471</c:v>
                </c:pt>
                <c:pt idx="378">
                  <c:v>-108.82128544692159</c:v>
                </c:pt>
                <c:pt idx="379">
                  <c:v>-108.88253166150713</c:v>
                </c:pt>
                <c:pt idx="380">
                  <c:v>-108.94398860234858</c:v>
                </c:pt>
                <c:pt idx="381">
                  <c:v>-109.00698116355117</c:v>
                </c:pt>
                <c:pt idx="382">
                  <c:v>-109.07018469165507</c:v>
                </c:pt>
                <c:pt idx="383">
                  <c:v>-109.13359481883761</c:v>
                </c:pt>
                <c:pt idx="384">
                  <c:v>-109.19720726980756</c:v>
                </c:pt>
                <c:pt idx="385">
                  <c:v>-109.26260176736186</c:v>
                </c:pt>
                <c:pt idx="386">
                  <c:v>-109.32819993777983</c:v>
                </c:pt>
                <c:pt idx="387">
                  <c:v>-109.39399746632475</c:v>
                </c:pt>
                <c:pt idx="388">
                  <c:v>-109.45999012972278</c:v>
                </c:pt>
                <c:pt idx="389">
                  <c:v>-109.52769654961737</c:v>
                </c:pt>
                <c:pt idx="390">
                  <c:v>-109.59559851550902</c:v>
                </c:pt>
                <c:pt idx="391">
                  <c:v>-109.66369178758488</c:v>
                </c:pt>
                <c:pt idx="392">
                  <c:v>-109.7319722157883</c:v>
                </c:pt>
                <c:pt idx="393">
                  <c:v>-109.80197540545927</c:v>
                </c:pt>
                <c:pt idx="394">
                  <c:v>-109.87216575446831</c:v>
                </c:pt>
                <c:pt idx="395">
                  <c:v>-109.94253910236147</c:v>
                </c:pt>
                <c:pt idx="396">
                  <c:v>-110.0130913765865</c:v>
                </c:pt>
                <c:pt idx="397">
                  <c:v>-110.08553780915884</c:v>
                </c:pt>
                <c:pt idx="398">
                  <c:v>-110.15816358466108</c:v>
                </c:pt>
                <c:pt idx="399">
                  <c:v>-110.23096459819941</c:v>
                </c:pt>
                <c:pt idx="400">
                  <c:v>-110.30393683157524</c:v>
                </c:pt>
                <c:pt idx="401">
                  <c:v>-110.37872925649506</c:v>
                </c:pt>
                <c:pt idx="402">
                  <c:v>-110.45369248782227</c:v>
                </c:pt>
                <c:pt idx="403">
                  <c:v>-110.52882249529293</c:v>
                </c:pt>
                <c:pt idx="404">
                  <c:v>-110.6041153335767</c:v>
                </c:pt>
                <c:pt idx="405">
                  <c:v>-110.68131787756226</c:v>
                </c:pt>
                <c:pt idx="406">
                  <c:v>-110.75868279434626</c:v>
                </c:pt>
                <c:pt idx="407">
                  <c:v>-110.83620611922059</c:v>
                </c:pt>
                <c:pt idx="408">
                  <c:v>-110.91388397088629</c:v>
                </c:pt>
                <c:pt idx="409">
                  <c:v>-110.99356141398403</c:v>
                </c:pt>
                <c:pt idx="410">
                  <c:v>-111.07339283173127</c:v>
                </c:pt>
                <c:pt idx="411">
                  <c:v>-111.15337431705127</c:v>
                </c:pt>
                <c:pt idx="412">
                  <c:v>-111.23350204495723</c:v>
                </c:pt>
                <c:pt idx="413">
                  <c:v>-111.31563477907216</c:v>
                </c:pt>
                <c:pt idx="414">
                  <c:v>-111.39791276694125</c:v>
                </c:pt>
                <c:pt idx="415">
                  <c:v>-111.48033216397799</c:v>
                </c:pt>
                <c:pt idx="416">
                  <c:v>-111.56288920621753</c:v>
                </c:pt>
                <c:pt idx="417">
                  <c:v>-111.64754049780676</c:v>
                </c:pt>
                <c:pt idx="418">
                  <c:v>-111.73232829992261</c:v>
                </c:pt>
                <c:pt idx="419">
                  <c:v>-111.81724882329398</c:v>
                </c:pt>
                <c:pt idx="420">
                  <c:v>-111.90229835799117</c:v>
                </c:pt>
                <c:pt idx="421">
                  <c:v>-111.98935982127075</c:v>
                </c:pt>
                <c:pt idx="422">
                  <c:v>-112.07654847660515</c:v>
                </c:pt>
                <c:pt idx="423">
                  <c:v>-112.16386060556033</c:v>
                </c:pt>
                <c:pt idx="424">
                  <c:v>-112.2512925673236</c:v>
                </c:pt>
                <c:pt idx="425">
                  <c:v>-112.34099647034174</c:v>
                </c:pt>
                <c:pt idx="426">
                  <c:v>-112.43081867846516</c:v>
                </c:pt>
                <c:pt idx="427">
                  <c:v>-112.52075551554435</c:v>
                </c:pt>
                <c:pt idx="428">
                  <c:v>-112.6108033821174</c:v>
                </c:pt>
                <c:pt idx="429">
                  <c:v>-112.70303850357243</c:v>
                </c:pt>
                <c:pt idx="430">
                  <c:v>-112.79538244846314</c:v>
                </c:pt>
                <c:pt idx="431">
                  <c:v>-112.8878315985496</c:v>
                </c:pt>
                <c:pt idx="432">
                  <c:v>-112.98038241090963</c:v>
                </c:pt>
                <c:pt idx="433">
                  <c:v>-113.07512038561956</c:v>
                </c:pt>
                <c:pt idx="434">
                  <c:v>-113.16995739630863</c:v>
                </c:pt>
                <c:pt idx="435">
                  <c:v>-113.26488988645865</c:v>
                </c:pt>
                <c:pt idx="436">
                  <c:v>-113.35991437339437</c:v>
                </c:pt>
                <c:pt idx="437">
                  <c:v>-113.45729933690498</c:v>
                </c:pt>
                <c:pt idx="438">
                  <c:v>-113.55477358216463</c:v>
                </c:pt>
                <c:pt idx="439">
                  <c:v>-113.65233359895745</c:v>
                </c:pt>
                <c:pt idx="440">
                  <c:v>-113.74997594986601</c:v>
                </c:pt>
                <c:pt idx="441">
                  <c:v>-113.84997688721782</c:v>
                </c:pt>
                <c:pt idx="442">
                  <c:v>-113.95005698528909</c:v>
                </c:pt>
                <c:pt idx="443">
                  <c:v>-114.05021278483359</c:v>
                </c:pt>
                <c:pt idx="444">
                  <c:v>-114.15044089823753</c:v>
                </c:pt>
                <c:pt idx="445">
                  <c:v>-114.25302425910189</c:v>
                </c:pt>
                <c:pt idx="446">
                  <c:v>-114.35567631999365</c:v>
                </c:pt>
                <c:pt idx="447">
                  <c:v>-114.45839367673577</c:v>
                </c:pt>
                <c:pt idx="448">
                  <c:v>-114.56117299551732</c:v>
                </c:pt>
                <c:pt idx="449">
                  <c:v>-114.66647911284088</c:v>
                </c:pt>
                <c:pt idx="450">
                  <c:v>-114.77184334403202</c:v>
                </c:pt>
                <c:pt idx="451">
                  <c:v>-114.87726232688949</c:v>
                </c:pt>
                <c:pt idx="452">
                  <c:v>-114.98273276868849</c:v>
                </c:pt>
                <c:pt idx="453">
                  <c:v>-115.09063608079919</c:v>
                </c:pt>
                <c:pt idx="454">
                  <c:v>-115.19858645380637</c:v>
                </c:pt>
                <c:pt idx="455">
                  <c:v>-115.30658058036552</c:v>
                </c:pt>
                <c:pt idx="456">
                  <c:v>-115.41461522138728</c:v>
                </c:pt>
                <c:pt idx="457">
                  <c:v>-115.52525235197946</c:v>
                </c:pt>
                <c:pt idx="458">
                  <c:v>-115.63592528441553</c:v>
                </c:pt>
                <c:pt idx="459">
                  <c:v>-115.74663075425111</c:v>
                </c:pt>
                <c:pt idx="460">
                  <c:v>-115.85736556442978</c:v>
                </c:pt>
                <c:pt idx="461">
                  <c:v>-115.97069447124949</c:v>
                </c:pt>
                <c:pt idx="462">
                  <c:v>-116.08404753140381</c:v>
                </c:pt>
                <c:pt idx="463">
                  <c:v>-116.19742152805877</c:v>
                </c:pt>
                <c:pt idx="464">
                  <c:v>-116.3108133108058</c:v>
                </c:pt>
                <c:pt idx="465">
                  <c:v>-116.4268779101167</c:v>
                </c:pt>
                <c:pt idx="466">
                  <c:v>-116.5429546677623</c:v>
                </c:pt>
                <c:pt idx="467">
                  <c:v>-116.65904041161365</c:v>
                </c:pt>
                <c:pt idx="468">
                  <c:v>-116.77513203512322</c:v>
                </c:pt>
                <c:pt idx="469">
                  <c:v>-116.89388515696854</c:v>
                </c:pt>
                <c:pt idx="470">
                  <c:v>-117.0126380583303</c:v>
                </c:pt>
                <c:pt idx="471">
                  <c:v>-117.13138761642209</c:v>
                </c:pt>
                <c:pt idx="472">
                  <c:v>-117.25013077311269</c:v>
                </c:pt>
                <c:pt idx="473">
                  <c:v>-117.3716998271496</c:v>
                </c:pt>
                <c:pt idx="474">
                  <c:v>-117.4932558825422</c:v>
                </c:pt>
                <c:pt idx="475">
                  <c:v>-117.61479585679285</c:v>
                </c:pt>
                <c:pt idx="476">
                  <c:v>-117.73631673143495</c:v>
                </c:pt>
                <c:pt idx="477">
                  <c:v>-117.86064905546652</c:v>
                </c:pt>
                <c:pt idx="478">
                  <c:v>-117.98495518138016</c:v>
                </c:pt>
                <c:pt idx="479">
                  <c:v>-118.10923207229806</c:v>
                </c:pt>
                <c:pt idx="480">
                  <c:v>-118.23347675466268</c:v>
                </c:pt>
                <c:pt idx="481">
                  <c:v>-118.36051687192115</c:v>
                </c:pt>
                <c:pt idx="482">
                  <c:v>-118.4875171994294</c:v>
                </c:pt>
                <c:pt idx="483">
                  <c:v>-118.61447475092565</c:v>
                </c:pt>
                <c:pt idx="484">
                  <c:v>-118.74138660268684</c:v>
                </c:pt>
                <c:pt idx="485">
                  <c:v>-118.87116468080241</c:v>
                </c:pt>
                <c:pt idx="486">
                  <c:v>-119.00088893870939</c:v>
                </c:pt>
                <c:pt idx="487">
                  <c:v>-119.13055643953332</c:v>
                </c:pt>
                <c:pt idx="488">
                  <c:v>-119.2601643082665</c:v>
                </c:pt>
                <c:pt idx="489">
                  <c:v>-119.39279546026904</c:v>
                </c:pt>
                <c:pt idx="490">
                  <c:v>-119.52535819779405</c:v>
                </c:pt>
                <c:pt idx="491">
                  <c:v>-119.65784962704275</c:v>
                </c:pt>
                <c:pt idx="492">
                  <c:v>-119.79026691567307</c:v>
                </c:pt>
                <c:pt idx="493">
                  <c:v>-119.925686083103</c:v>
                </c:pt>
                <c:pt idx="494">
                  <c:v>-120.06102180923463</c:v>
                </c:pt>
                <c:pt idx="495">
                  <c:v>-120.19627124944449</c:v>
                </c:pt>
                <c:pt idx="496">
                  <c:v>-120.33143162007958</c:v>
                </c:pt>
                <c:pt idx="497">
                  <c:v>-120.46965857547863</c:v>
                </c:pt>
                <c:pt idx="498">
                  <c:v>-120.6077865357575</c:v>
                </c:pt>
                <c:pt idx="499">
                  <c:v>-120.74581270606781</c:v>
                </c:pt>
                <c:pt idx="500">
                  <c:v>-120.88373435213359</c:v>
                </c:pt>
                <c:pt idx="501">
                  <c:v>-121.02478503442838</c:v>
                </c:pt>
                <c:pt idx="502">
                  <c:v>-121.16572061609547</c:v>
                </c:pt>
                <c:pt idx="503">
                  <c:v>-121.30653835326804</c:v>
                </c:pt>
                <c:pt idx="504">
                  <c:v>-121.44723556233623</c:v>
                </c:pt>
                <c:pt idx="505">
                  <c:v>-121.59103472800064</c:v>
                </c:pt>
                <c:pt idx="506">
                  <c:v>-121.73470227511075</c:v>
                </c:pt>
                <c:pt idx="507">
                  <c:v>-121.87823551743122</c:v>
                </c:pt>
                <c:pt idx="508">
                  <c:v>-122.02163182860008</c:v>
                </c:pt>
                <c:pt idx="509">
                  <c:v>-122.16818822482135</c:v>
                </c:pt>
                <c:pt idx="510">
                  <c:v>-122.31459593105747</c:v>
                </c:pt>
                <c:pt idx="511">
                  <c:v>-122.46085232056225</c:v>
                </c:pt>
                <c:pt idx="512">
                  <c:v>-122.6069548261616</c:v>
                </c:pt>
                <c:pt idx="513">
                  <c:v>-122.75635950934733</c:v>
                </c:pt>
                <c:pt idx="514">
                  <c:v>-122.90559766546819</c:v>
                </c:pt>
                <c:pt idx="515">
                  <c:v>-123.05466672534945</c:v>
                </c:pt>
                <c:pt idx="516">
                  <c:v>-123.20356417929692</c:v>
                </c:pt>
                <c:pt idx="517">
                  <c:v>-123.35573015870743</c:v>
                </c:pt>
                <c:pt idx="518">
                  <c:v>-123.5077113600981</c:v>
                </c:pt>
                <c:pt idx="519">
                  <c:v>-123.65950527974236</c:v>
                </c:pt>
                <c:pt idx="520">
                  <c:v>-123.81110947322806</c:v>
                </c:pt>
                <c:pt idx="521">
                  <c:v>-123.9660324949316</c:v>
                </c:pt>
                <c:pt idx="522">
                  <c:v>-124.12075189042449</c:v>
                </c:pt>
                <c:pt idx="523">
                  <c:v>-124.27526522517591</c:v>
                </c:pt>
                <c:pt idx="524">
                  <c:v>-124.42957012386459</c:v>
                </c:pt>
                <c:pt idx="525">
                  <c:v>-124.58724136664252</c:v>
                </c:pt>
                <c:pt idx="526">
                  <c:v>-124.74468952924526</c:v>
                </c:pt>
                <c:pt idx="527">
                  <c:v>-124.90191225071969</c:v>
                </c:pt>
                <c:pt idx="528">
                  <c:v>-125.05890722927086</c:v>
                </c:pt>
                <c:pt idx="529">
                  <c:v>-125.21931319515133</c:v>
                </c:pt>
                <c:pt idx="530">
                  <c:v>-125.37947601593487</c:v>
                </c:pt>
                <c:pt idx="531">
                  <c:v>-125.5393934092604</c:v>
                </c:pt>
                <c:pt idx="532">
                  <c:v>-125.69906315191947</c:v>
                </c:pt>
                <c:pt idx="533">
                  <c:v>-125.86226971837151</c:v>
                </c:pt>
                <c:pt idx="534">
                  <c:v>-126.02521218852054</c:v>
                </c:pt>
                <c:pt idx="535">
                  <c:v>-126.18788836088139</c:v>
                </c:pt>
                <c:pt idx="536">
                  <c:v>-126.35029609327466</c:v>
                </c:pt>
                <c:pt idx="537">
                  <c:v>-126.51611127855617</c:v>
                </c:pt>
                <c:pt idx="538">
                  <c:v>-126.68164134847775</c:v>
                </c:pt>
                <c:pt idx="539">
                  <c:v>-126.84688419553824</c:v>
                </c:pt>
                <c:pt idx="540">
                  <c:v>-127.01183777147936</c:v>
                </c:pt>
                <c:pt idx="541">
                  <c:v>-127.18040124147474</c:v>
                </c:pt>
                <c:pt idx="542">
                  <c:v>-127.34865739900468</c:v>
                </c:pt>
                <c:pt idx="543">
                  <c:v>-127.5166042310188</c:v>
                </c:pt>
                <c:pt idx="544">
                  <c:v>-127.68423978390447</c:v>
                </c:pt>
                <c:pt idx="545">
                  <c:v>-127.85543431182373</c:v>
                </c:pt>
                <c:pt idx="546">
                  <c:v>-128.02629901974268</c:v>
                </c:pt>
                <c:pt idx="547">
                  <c:v>-128.19683199980739</c:v>
                </c:pt>
                <c:pt idx="548">
                  <c:v>-128.36703140368394</c:v>
                </c:pt>
                <c:pt idx="549">
                  <c:v>-128.54081895278927</c:v>
                </c:pt>
                <c:pt idx="550">
                  <c:v>-128.71425359268815</c:v>
                </c:pt>
                <c:pt idx="551">
                  <c:v>-128.88733352878265</c:v>
                </c:pt>
                <c:pt idx="552">
                  <c:v>-129.0600570260745</c:v>
                </c:pt>
                <c:pt idx="553">
                  <c:v>-129.23647564571849</c:v>
                </c:pt>
                <c:pt idx="554">
                  <c:v>-129.41251735505978</c:v>
                </c:pt>
                <c:pt idx="555">
                  <c:v>-129.5881804791052</c:v>
                </c:pt>
                <c:pt idx="556">
                  <c:v>-129.76346340263396</c:v>
                </c:pt>
                <c:pt idx="557">
                  <c:v>-130.12106109385579</c:v>
                </c:pt>
                <c:pt idx="558">
                  <c:v>-130.47704672045157</c:v>
                </c:pt>
                <c:pt idx="559">
                  <c:v>-130.83951195852686</c:v>
                </c:pt>
                <c:pt idx="560">
                  <c:v>-131.20026670966192</c:v>
                </c:pt>
                <c:pt idx="561">
                  <c:v>-131.56779784379412</c:v>
                </c:pt>
                <c:pt idx="562">
                  <c:v>-131.93351503972357</c:v>
                </c:pt>
                <c:pt idx="563">
                  <c:v>-132.30519779657686</c:v>
                </c:pt>
                <c:pt idx="564">
                  <c:v>-132.67496922741532</c:v>
                </c:pt>
                <c:pt idx="565">
                  <c:v>-133.0520700379563</c:v>
                </c:pt>
                <c:pt idx="566">
                  <c:v>-133.42714588589214</c:v>
                </c:pt>
                <c:pt idx="567">
                  <c:v>-133.80933766594117</c:v>
                </c:pt>
                <c:pt idx="568">
                  <c:v>-134.18939047422268</c:v>
                </c:pt>
                <c:pt idx="569">
                  <c:v>-134.57483535293787</c:v>
                </c:pt>
                <c:pt idx="570">
                  <c:v>-134.95804484221583</c:v>
                </c:pt>
                <c:pt idx="571">
                  <c:v>-135.34944172840915</c:v>
                </c:pt>
                <c:pt idx="572">
                  <c:v>-135.73847204960626</c:v>
                </c:pt>
                <c:pt idx="573">
                  <c:v>-136.13248981579702</c:v>
                </c:pt>
                <c:pt idx="574">
                  <c:v>-136.52404662365632</c:v>
                </c:pt>
                <c:pt idx="575">
                  <c:v>-136.92331016570856</c:v>
                </c:pt>
                <c:pt idx="576">
                  <c:v>-137.31998253343761</c:v>
                </c:pt>
                <c:pt idx="577">
                  <c:v>-138.97067360150464</c:v>
                </c:pt>
                <c:pt idx="578">
                  <c:v>-140.57526089567665</c:v>
                </c:pt>
                <c:pt idx="579">
                  <c:v>-143.93306563894222</c:v>
                </c:pt>
                <c:pt idx="580">
                  <c:v>-147.37634056672306</c:v>
                </c:pt>
                <c:pt idx="581">
                  <c:v>-150.87533838386432</c:v>
                </c:pt>
                <c:pt idx="582">
                  <c:v>-154.40578260009192</c:v>
                </c:pt>
                <c:pt idx="583">
                  <c:v>-157.93754613176284</c:v>
                </c:pt>
                <c:pt idx="584">
                  <c:v>-161.44535582205643</c:v>
                </c:pt>
                <c:pt idx="585">
                  <c:v>-164.89940513788963</c:v>
                </c:pt>
                <c:pt idx="586">
                  <c:v>-168.27307560302941</c:v>
                </c:pt>
                <c:pt idx="587">
                  <c:v>-171.5420743471455</c:v>
                </c:pt>
                <c:pt idx="588">
                  <c:v>-174.67888473991539</c:v>
                </c:pt>
                <c:pt idx="589">
                  <c:v>-177.6638970883067</c:v>
                </c:pt>
                <c:pt idx="590">
                  <c:v>-180.47671575081176</c:v>
                </c:pt>
                <c:pt idx="591">
                  <c:v>-183.1021603595658</c:v>
                </c:pt>
                <c:pt idx="592">
                  <c:v>-185.52909657204808</c:v>
                </c:pt>
                <c:pt idx="593">
                  <c:v>-187.75284210296337</c:v>
                </c:pt>
                <c:pt idx="594">
                  <c:v>-189.77343782065873</c:v>
                </c:pt>
                <c:pt idx="595">
                  <c:v>-191.59830137382298</c:v>
                </c:pt>
                <c:pt idx="596">
                  <c:v>-193.24038006100253</c:v>
                </c:pt>
                <c:pt idx="597">
                  <c:v>-194.71919812880208</c:v>
                </c:pt>
                <c:pt idx="598">
                  <c:v>-196.05860070430387</c:v>
                </c:pt>
                <c:pt idx="599">
                  <c:v>-197.28706687840889</c:v>
                </c:pt>
                <c:pt idx="600">
                  <c:v>-198.43518027884349</c:v>
                </c:pt>
              </c:numCache>
            </c:numRef>
          </c:yVal>
          <c:smooth val="0"/>
          <c:extLst>
            <c:ext xmlns:c16="http://schemas.microsoft.com/office/drawing/2014/chart" uri="{C3380CC4-5D6E-409C-BE32-E72D297353CC}">
              <c16:uniqueId val="{00000001-1839-4D61-A0B5-FA68D8BCC26F}"/>
            </c:ext>
          </c:extLst>
        </c:ser>
        <c:dLbls>
          <c:showLegendKey val="0"/>
          <c:showVal val="0"/>
          <c:showCatName val="0"/>
          <c:showSerName val="0"/>
          <c:showPercent val="0"/>
          <c:showBubbleSize val="0"/>
        </c:dLbls>
        <c:axId val="333321344"/>
        <c:axId val="333322880"/>
      </c:scatterChart>
      <c:valAx>
        <c:axId val="332788864"/>
        <c:scaling>
          <c:logBase val="10"/>
          <c:orientation val="minMax"/>
          <c:max val="1000000"/>
          <c:min val="10"/>
        </c:scaling>
        <c:delete val="0"/>
        <c:axPos val="b"/>
        <c:majorGridlines>
          <c:spPr>
            <a:ln w="3175">
              <a:solidFill>
                <a:srgbClr val="000000"/>
              </a:solidFill>
              <a:prstDash val="solid"/>
            </a:ln>
          </c:spPr>
        </c:majorGridlines>
        <c:minorGridlines>
          <c:spPr>
            <a:ln w="3175">
              <a:solidFill>
                <a:srgbClr val="C0C0C0"/>
              </a:solidFill>
              <a:prstDash val="solid"/>
            </a:ln>
          </c:spPr>
        </c:minorGridlines>
        <c:title>
          <c:tx>
            <c:rich>
              <a:bodyPr/>
              <a:lstStyle/>
              <a:p>
                <a:pPr>
                  <a:defRPr sz="1200" b="1" i="0" u="none" strike="noStrike" baseline="0">
                    <a:solidFill>
                      <a:srgbClr val="000000"/>
                    </a:solidFill>
                    <a:latin typeface="Arial"/>
                    <a:ea typeface="Arial"/>
                    <a:cs typeface="Arial"/>
                  </a:defRPr>
                </a:pPr>
                <a:r>
                  <a:rPr lang="en-US"/>
                  <a:t>Frequency (Hz)</a:t>
                </a:r>
              </a:p>
            </c:rich>
          </c:tx>
          <c:layout>
            <c:manualLayout>
              <c:xMode val="edge"/>
              <c:yMode val="edge"/>
              <c:x val="0.42857142857142855"/>
              <c:y val="0.8836114034132848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332790784"/>
        <c:crossesAt val="-40"/>
        <c:crossBetween val="midCat"/>
        <c:majorUnit val="10"/>
        <c:minorUnit val="10"/>
      </c:valAx>
      <c:valAx>
        <c:axId val="332790784"/>
        <c:scaling>
          <c:orientation val="minMax"/>
          <c:max val="150"/>
          <c:min val="-40"/>
        </c:scaling>
        <c:delete val="0"/>
        <c:axPos val="l"/>
        <c:majorGridlines>
          <c:spPr>
            <a:ln w="3175">
              <a:solidFill>
                <a:srgbClr val="000000"/>
              </a:solidFill>
              <a:prstDash val="solid"/>
            </a:ln>
          </c:spPr>
        </c:majorGridlines>
        <c:title>
          <c:tx>
            <c:rich>
              <a:bodyPr/>
              <a:lstStyle/>
              <a:p>
                <a:pPr>
                  <a:defRPr sz="1200" b="1" i="0" u="none" strike="noStrike" baseline="0">
                    <a:solidFill>
                      <a:srgbClr val="FF0000"/>
                    </a:solidFill>
                    <a:latin typeface="Arial"/>
                    <a:ea typeface="Arial"/>
                    <a:cs typeface="Arial"/>
                  </a:defRPr>
                </a:pPr>
                <a:r>
                  <a:rPr lang="en-US"/>
                  <a:t>Gain (dB)</a:t>
                </a:r>
              </a:p>
            </c:rich>
          </c:tx>
          <c:layout>
            <c:manualLayout>
              <c:xMode val="edge"/>
              <c:yMode val="edge"/>
              <c:x val="1.5549076773566581E-2"/>
              <c:y val="0.3927162330515138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FF0000"/>
                </a:solidFill>
                <a:latin typeface="Arial"/>
                <a:ea typeface="Arial"/>
                <a:cs typeface="Arial"/>
              </a:defRPr>
            </a:pPr>
            <a:endParaRPr lang="en-US"/>
          </a:p>
        </c:txPr>
        <c:crossAx val="332788864"/>
        <c:crossesAt val="0.1"/>
        <c:crossBetween val="midCat"/>
        <c:majorUnit val="20"/>
        <c:minorUnit val="4"/>
      </c:valAx>
      <c:valAx>
        <c:axId val="333321344"/>
        <c:scaling>
          <c:logBase val="10"/>
          <c:orientation val="minMax"/>
        </c:scaling>
        <c:delete val="1"/>
        <c:axPos val="t"/>
        <c:numFmt formatCode="General" sourceLinked="1"/>
        <c:majorTickMark val="out"/>
        <c:minorTickMark val="none"/>
        <c:tickLblPos val="none"/>
        <c:crossAx val="333322880"/>
        <c:crossesAt val="0"/>
        <c:crossBetween val="midCat"/>
      </c:valAx>
      <c:valAx>
        <c:axId val="333322880"/>
        <c:scaling>
          <c:orientation val="minMax"/>
          <c:max val="-45"/>
          <c:min val="-180"/>
        </c:scaling>
        <c:delete val="0"/>
        <c:axPos val="r"/>
        <c:title>
          <c:tx>
            <c:rich>
              <a:bodyPr/>
              <a:lstStyle/>
              <a:p>
                <a:pPr>
                  <a:defRPr sz="1200" b="1" i="0" u="none" strike="noStrike" baseline="0">
                    <a:solidFill>
                      <a:srgbClr val="0000FF"/>
                    </a:solidFill>
                    <a:latin typeface="Arial"/>
                    <a:ea typeface="Arial"/>
                    <a:cs typeface="Arial"/>
                  </a:defRPr>
                </a:pPr>
                <a:r>
                  <a:rPr lang="en-US"/>
                  <a:t>Phase (°)</a:t>
                </a:r>
              </a:p>
            </c:rich>
          </c:tx>
          <c:layout>
            <c:manualLayout>
              <c:xMode val="edge"/>
              <c:yMode val="edge"/>
              <c:x val="0.96550048590864856"/>
              <c:y val="0.3982582822308516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FF"/>
                </a:solidFill>
                <a:latin typeface="Arial"/>
                <a:ea typeface="Arial"/>
                <a:cs typeface="Arial"/>
              </a:defRPr>
            </a:pPr>
            <a:endParaRPr lang="en-US"/>
          </a:p>
        </c:txPr>
        <c:crossAx val="333321344"/>
        <c:crosses val="max"/>
        <c:crossBetween val="midCat"/>
        <c:majorUnit val="45"/>
        <c:minorUnit val="22.5"/>
      </c:valAx>
      <c:spPr>
        <a:noFill/>
        <a:ln w="25400">
          <a:noFill/>
        </a:ln>
      </c:spPr>
    </c:plotArea>
    <c:plotVisOnly val="1"/>
    <c:dispBlanksAs val="gap"/>
    <c:showDLblsOverMax val="0"/>
  </c:chart>
  <c:spPr>
    <a:solidFill>
      <a:srgbClr val="FFFFFF"/>
    </a:solidFill>
    <a:ln w="25400">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167" r="0.75000000000000167"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i="0" u="none" strike="noStrike" baseline="0">
                <a:solidFill>
                  <a:srgbClr val="000000"/>
                </a:solidFill>
                <a:latin typeface="Arial" pitchFamily="34" charset="0"/>
                <a:ea typeface="Calibri"/>
                <a:cs typeface="Arial" pitchFamily="34" charset="0"/>
              </a:defRPr>
            </a:pPr>
            <a:r>
              <a:rPr lang="en-US" sz="2000" u="none">
                <a:latin typeface="Arial" pitchFamily="34" charset="0"/>
                <a:cs typeface="Arial" pitchFamily="34" charset="0"/>
              </a:rPr>
              <a:t>Bode Plot, V</a:t>
            </a:r>
            <a:r>
              <a:rPr lang="en-US" sz="2000" u="none" baseline="-25000">
                <a:latin typeface="Arial" pitchFamily="34" charset="0"/>
                <a:cs typeface="Arial" pitchFamily="34" charset="0"/>
              </a:rPr>
              <a:t>IN</a:t>
            </a:r>
            <a:r>
              <a:rPr lang="en-US" sz="2000" u="none" baseline="0">
                <a:latin typeface="Arial" pitchFamily="34" charset="0"/>
                <a:cs typeface="Arial" pitchFamily="34" charset="0"/>
              </a:rPr>
              <a:t> = </a:t>
            </a:r>
            <a:r>
              <a:rPr lang="en-US" sz="2000" u="none">
                <a:latin typeface="Arial" pitchFamily="34" charset="0"/>
                <a:cs typeface="Arial" pitchFamily="34" charset="0"/>
              </a:rPr>
              <a:t>V</a:t>
            </a:r>
            <a:r>
              <a:rPr lang="en-US" sz="2000" u="none" baseline="-25000">
                <a:latin typeface="Arial" pitchFamily="34" charset="0"/>
                <a:cs typeface="Arial" pitchFamily="34" charset="0"/>
              </a:rPr>
              <a:t>IN(nom)</a:t>
            </a:r>
            <a:endParaRPr lang="en-US" sz="2000" u="none">
              <a:latin typeface="Arial" pitchFamily="34" charset="0"/>
              <a:cs typeface="Arial" pitchFamily="34" charset="0"/>
            </a:endParaRPr>
          </a:p>
        </c:rich>
      </c:tx>
      <c:layout>
        <c:manualLayout>
          <c:xMode val="edge"/>
          <c:yMode val="edge"/>
          <c:x val="8.0358613068103324E-2"/>
          <c:y val="2.0629921259842518E-2"/>
        </c:manualLayout>
      </c:layout>
      <c:overlay val="0"/>
      <c:spPr>
        <a:noFill/>
        <a:ln w="25400">
          <a:noFill/>
        </a:ln>
      </c:spPr>
    </c:title>
    <c:autoTitleDeleted val="0"/>
    <c:plotArea>
      <c:layout>
        <c:manualLayout>
          <c:layoutTarget val="inner"/>
          <c:xMode val="edge"/>
          <c:yMode val="edge"/>
          <c:x val="8.6865550467700392E-2"/>
          <c:y val="0.11264619116931211"/>
          <c:w val="0.82929752780099952"/>
          <c:h val="0.762051843542218"/>
        </c:manualLayout>
      </c:layout>
      <c:scatterChart>
        <c:scatterStyle val="lineMarker"/>
        <c:varyColors val="0"/>
        <c:ser>
          <c:idx val="10"/>
          <c:order val="5"/>
          <c:tx>
            <c:v>FPCOMP</c:v>
          </c:tx>
          <c:spPr>
            <a:ln>
              <a:solidFill>
                <a:schemeClr val="tx1"/>
              </a:solidFill>
            </a:ln>
          </c:spPr>
          <c:marker>
            <c:symbol val="x"/>
            <c:size val="8"/>
            <c:spPr>
              <a:noFill/>
              <a:ln w="22225">
                <a:solidFill>
                  <a:schemeClr val="tx1"/>
                </a:solidFill>
              </a:ln>
            </c:spPr>
          </c:marker>
          <c:dLbls>
            <c:dLbl>
              <c:idx val="0"/>
              <c:layout>
                <c:manualLayout>
                  <c:x val="5.8718924670594424E-3"/>
                  <c:y val="-8.0265817928798291E-3"/>
                </c:manualLayout>
              </c:layout>
              <c:tx>
                <c:rich>
                  <a:bodyPr/>
                  <a:lstStyle/>
                  <a:p>
                    <a:r>
                      <a:rPr lang="en-US">
                        <a:solidFill>
                          <a:srgbClr val="0000FF"/>
                        </a:solidFill>
                        <a:latin typeface="Arial" pitchFamily="34" charset="0"/>
                        <a:cs typeface="Arial" pitchFamily="34" charset="0"/>
                      </a:rPr>
                      <a:t>F</a:t>
                    </a:r>
                    <a:r>
                      <a:rPr lang="en-US" baseline="-25000">
                        <a:solidFill>
                          <a:srgbClr val="0000FF"/>
                        </a:solidFill>
                        <a:latin typeface="Arial" pitchFamily="34" charset="0"/>
                        <a:cs typeface="Arial" pitchFamily="34" charset="0"/>
                      </a:rPr>
                      <a:t>PCOMP</a:t>
                    </a:r>
                  </a:p>
                </c:rich>
              </c:tx>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4BA7-4FA6-AB73-85DC72E7447B}"/>
                </c:ext>
              </c:extLst>
            </c:dLbl>
            <c:spPr>
              <a:noFill/>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'Stability Calculations'!$A$627</c:f>
              <c:numCache>
                <c:formatCode>0</c:formatCode>
                <c:ptCount val="1"/>
                <c:pt idx="0">
                  <c:v>413223.14049586788</c:v>
                </c:pt>
              </c:numCache>
            </c:numRef>
          </c:xVal>
          <c:yVal>
            <c:numRef>
              <c:f>'Stability Calculations'!$U$627</c:f>
              <c:numCache>
                <c:formatCode>0.00</c:formatCode>
                <c:ptCount val="1"/>
                <c:pt idx="0">
                  <c:v>-31.238667753451587</c:v>
                </c:pt>
              </c:numCache>
            </c:numRef>
          </c:yVal>
          <c:smooth val="0"/>
          <c:extLst>
            <c:ext xmlns:c16="http://schemas.microsoft.com/office/drawing/2014/chart" uri="{C3380CC4-5D6E-409C-BE32-E72D297353CC}">
              <c16:uniqueId val="{00000001-4BA7-4FA6-AB73-85DC72E7447B}"/>
            </c:ext>
          </c:extLst>
        </c:ser>
        <c:dLbls>
          <c:showLegendKey val="0"/>
          <c:showVal val="0"/>
          <c:showCatName val="0"/>
          <c:showSerName val="0"/>
          <c:showPercent val="0"/>
          <c:showBubbleSize val="0"/>
        </c:dLbls>
        <c:axId val="333063296"/>
        <c:axId val="333065216"/>
      </c:scatterChart>
      <c:scatterChart>
        <c:scatterStyle val="smoothMarker"/>
        <c:varyColors val="0"/>
        <c:ser>
          <c:idx val="2"/>
          <c:order val="0"/>
          <c:tx>
            <c:v>Loop Gain</c:v>
          </c:tx>
          <c:spPr>
            <a:ln w="31750">
              <a:solidFill>
                <a:srgbClr val="FF0000"/>
              </a:solidFill>
              <a:prstDash val="solid"/>
            </a:ln>
          </c:spPr>
          <c:marker>
            <c:symbol val="none"/>
          </c:marker>
          <c:xVal>
            <c:numRef>
              <c:f>'Stability Calculations'!$A$13:$A$613</c:f>
              <c:numCache>
                <c:formatCode>General</c:formatCode>
                <c:ptCount val="601"/>
                <c:pt idx="0">
                  <c:v>1</c:v>
                </c:pt>
                <c:pt idx="1">
                  <c:v>1.0965</c:v>
                </c:pt>
                <c:pt idx="2">
                  <c:v>1.2022999999999999</c:v>
                </c:pt>
                <c:pt idx="3">
                  <c:v>1.3183</c:v>
                </c:pt>
                <c:pt idx="4">
                  <c:v>1.4454</c:v>
                </c:pt>
                <c:pt idx="5">
                  <c:v>1.5849</c:v>
                </c:pt>
                <c:pt idx="6">
                  <c:v>1.7378</c:v>
                </c:pt>
                <c:pt idx="7">
                  <c:v>1.9055</c:v>
                </c:pt>
                <c:pt idx="8">
                  <c:v>2.0893000000000002</c:v>
                </c:pt>
                <c:pt idx="9">
                  <c:v>2.2909000000000002</c:v>
                </c:pt>
                <c:pt idx="10">
                  <c:v>2.5118999999999998</c:v>
                </c:pt>
                <c:pt idx="11">
                  <c:v>2.7542</c:v>
                </c:pt>
                <c:pt idx="12">
                  <c:v>3.02</c:v>
                </c:pt>
                <c:pt idx="13">
                  <c:v>3.3113000000000001</c:v>
                </c:pt>
                <c:pt idx="14">
                  <c:v>3.6307999999999998</c:v>
                </c:pt>
                <c:pt idx="15">
                  <c:v>3.9811000000000001</c:v>
                </c:pt>
                <c:pt idx="16">
                  <c:v>4.3651999999999997</c:v>
                </c:pt>
                <c:pt idx="17">
                  <c:v>4.7862999999999998</c:v>
                </c:pt>
                <c:pt idx="18">
                  <c:v>5.2481</c:v>
                </c:pt>
                <c:pt idx="19">
                  <c:v>5.7544000000000004</c:v>
                </c:pt>
                <c:pt idx="20">
                  <c:v>6.3095999999999997</c:v>
                </c:pt>
                <c:pt idx="21">
                  <c:v>6.9183000000000003</c:v>
                </c:pt>
                <c:pt idx="22">
                  <c:v>7.5857999999999999</c:v>
                </c:pt>
                <c:pt idx="23">
                  <c:v>8.3176000000000005</c:v>
                </c:pt>
                <c:pt idx="24">
                  <c:v>9.1201000000000008</c:v>
                </c:pt>
                <c:pt idx="25">
                  <c:v>10</c:v>
                </c:pt>
                <c:pt idx="26">
                  <c:v>10.965</c:v>
                </c:pt>
                <c:pt idx="27">
                  <c:v>12.023</c:v>
                </c:pt>
                <c:pt idx="28">
                  <c:v>13.183</c:v>
                </c:pt>
                <c:pt idx="29">
                  <c:v>14.454000000000001</c:v>
                </c:pt>
                <c:pt idx="30">
                  <c:v>15.849</c:v>
                </c:pt>
                <c:pt idx="31">
                  <c:v>17.378</c:v>
                </c:pt>
                <c:pt idx="32">
                  <c:v>19.055</c:v>
                </c:pt>
                <c:pt idx="33">
                  <c:v>20.893000000000001</c:v>
                </c:pt>
                <c:pt idx="34">
                  <c:v>22.909000000000002</c:v>
                </c:pt>
                <c:pt idx="35">
                  <c:v>25.119</c:v>
                </c:pt>
                <c:pt idx="36">
                  <c:v>27.542000000000002</c:v>
                </c:pt>
                <c:pt idx="37">
                  <c:v>30.2</c:v>
                </c:pt>
                <c:pt idx="38">
                  <c:v>33.113</c:v>
                </c:pt>
                <c:pt idx="39">
                  <c:v>36.308</c:v>
                </c:pt>
                <c:pt idx="40">
                  <c:v>39.811</c:v>
                </c:pt>
                <c:pt idx="41">
                  <c:v>43.652000000000001</c:v>
                </c:pt>
                <c:pt idx="42">
                  <c:v>47.863</c:v>
                </c:pt>
                <c:pt idx="43">
                  <c:v>52.481000000000002</c:v>
                </c:pt>
                <c:pt idx="44">
                  <c:v>57.544000000000004</c:v>
                </c:pt>
                <c:pt idx="45">
                  <c:v>63.095999999999997</c:v>
                </c:pt>
                <c:pt idx="46">
                  <c:v>69.183000000000007</c:v>
                </c:pt>
                <c:pt idx="47">
                  <c:v>75.858000000000004</c:v>
                </c:pt>
                <c:pt idx="48">
                  <c:v>83.176000000000002</c:v>
                </c:pt>
                <c:pt idx="49">
                  <c:v>91.201000000000008</c:v>
                </c:pt>
                <c:pt idx="50">
                  <c:v>100</c:v>
                </c:pt>
                <c:pt idx="51">
                  <c:v>109.65</c:v>
                </c:pt>
                <c:pt idx="52">
                  <c:v>120.23</c:v>
                </c:pt>
                <c:pt idx="53">
                  <c:v>131.83000000000001</c:v>
                </c:pt>
                <c:pt idx="54">
                  <c:v>144.54</c:v>
                </c:pt>
                <c:pt idx="55">
                  <c:v>158.49</c:v>
                </c:pt>
                <c:pt idx="56">
                  <c:v>173.78</c:v>
                </c:pt>
                <c:pt idx="57">
                  <c:v>190.55</c:v>
                </c:pt>
                <c:pt idx="58">
                  <c:v>208.93</c:v>
                </c:pt>
                <c:pt idx="59">
                  <c:v>229.09</c:v>
                </c:pt>
                <c:pt idx="60">
                  <c:v>251.19</c:v>
                </c:pt>
                <c:pt idx="61">
                  <c:v>275.42</c:v>
                </c:pt>
                <c:pt idx="62">
                  <c:v>302</c:v>
                </c:pt>
                <c:pt idx="63">
                  <c:v>331.13</c:v>
                </c:pt>
                <c:pt idx="64">
                  <c:v>363.08</c:v>
                </c:pt>
                <c:pt idx="65">
                  <c:v>398.11</c:v>
                </c:pt>
                <c:pt idx="66">
                  <c:v>436.52</c:v>
                </c:pt>
                <c:pt idx="67">
                  <c:v>478.63</c:v>
                </c:pt>
                <c:pt idx="68">
                  <c:v>524.80999999999995</c:v>
                </c:pt>
                <c:pt idx="69">
                  <c:v>575.44000000000005</c:v>
                </c:pt>
                <c:pt idx="70">
                  <c:v>630.96</c:v>
                </c:pt>
                <c:pt idx="71">
                  <c:v>691.83</c:v>
                </c:pt>
                <c:pt idx="72">
                  <c:v>758.58</c:v>
                </c:pt>
                <c:pt idx="73">
                  <c:v>831.76</c:v>
                </c:pt>
                <c:pt idx="74">
                  <c:v>912.01</c:v>
                </c:pt>
                <c:pt idx="75">
                  <c:v>1000</c:v>
                </c:pt>
                <c:pt idx="76">
                  <c:v>1096.5</c:v>
                </c:pt>
                <c:pt idx="77">
                  <c:v>1202.3</c:v>
                </c:pt>
                <c:pt idx="78">
                  <c:v>1318.3</c:v>
                </c:pt>
                <c:pt idx="79">
                  <c:v>1445.4</c:v>
                </c:pt>
                <c:pt idx="80">
                  <c:v>1584.9</c:v>
                </c:pt>
                <c:pt idx="81">
                  <c:v>1737.8</c:v>
                </c:pt>
                <c:pt idx="82">
                  <c:v>1905.5</c:v>
                </c:pt>
                <c:pt idx="83">
                  <c:v>2089.3000000000002</c:v>
                </c:pt>
                <c:pt idx="84">
                  <c:v>2290.9</c:v>
                </c:pt>
                <c:pt idx="85">
                  <c:v>2511.9</c:v>
                </c:pt>
                <c:pt idx="86">
                  <c:v>2754.2</c:v>
                </c:pt>
                <c:pt idx="87">
                  <c:v>3020</c:v>
                </c:pt>
                <c:pt idx="88">
                  <c:v>3311.3</c:v>
                </c:pt>
                <c:pt idx="89">
                  <c:v>3630.8</c:v>
                </c:pt>
                <c:pt idx="90">
                  <c:v>3981.1</c:v>
                </c:pt>
                <c:pt idx="91">
                  <c:v>4365.2</c:v>
                </c:pt>
                <c:pt idx="92">
                  <c:v>4786.3</c:v>
                </c:pt>
                <c:pt idx="93">
                  <c:v>5248.1</c:v>
                </c:pt>
                <c:pt idx="94">
                  <c:v>5370.3</c:v>
                </c:pt>
                <c:pt idx="95">
                  <c:v>5432.85</c:v>
                </c:pt>
                <c:pt idx="96">
                  <c:v>5495.4</c:v>
                </c:pt>
                <c:pt idx="97">
                  <c:v>5559.4</c:v>
                </c:pt>
                <c:pt idx="98">
                  <c:v>5623.4</c:v>
                </c:pt>
                <c:pt idx="99">
                  <c:v>5688.9</c:v>
                </c:pt>
                <c:pt idx="100">
                  <c:v>5754.4</c:v>
                </c:pt>
                <c:pt idx="101">
                  <c:v>5821.4</c:v>
                </c:pt>
                <c:pt idx="102">
                  <c:v>5888.4</c:v>
                </c:pt>
                <c:pt idx="103">
                  <c:v>5957</c:v>
                </c:pt>
                <c:pt idx="104">
                  <c:v>6025.6</c:v>
                </c:pt>
                <c:pt idx="105">
                  <c:v>6095.8</c:v>
                </c:pt>
                <c:pt idx="106">
                  <c:v>6166</c:v>
                </c:pt>
                <c:pt idx="107">
                  <c:v>6237.8</c:v>
                </c:pt>
                <c:pt idx="108">
                  <c:v>6309.6</c:v>
                </c:pt>
                <c:pt idx="109">
                  <c:v>6383.05</c:v>
                </c:pt>
                <c:pt idx="110">
                  <c:v>6456.5</c:v>
                </c:pt>
                <c:pt idx="111">
                  <c:v>6531.7</c:v>
                </c:pt>
                <c:pt idx="112">
                  <c:v>6606.9</c:v>
                </c:pt>
                <c:pt idx="113">
                  <c:v>6683.85</c:v>
                </c:pt>
                <c:pt idx="114">
                  <c:v>6760.8</c:v>
                </c:pt>
                <c:pt idx="115">
                  <c:v>6839.55</c:v>
                </c:pt>
                <c:pt idx="116">
                  <c:v>6918.3</c:v>
                </c:pt>
                <c:pt idx="117">
                  <c:v>6998.9</c:v>
                </c:pt>
                <c:pt idx="118">
                  <c:v>7079.5</c:v>
                </c:pt>
                <c:pt idx="119">
                  <c:v>7161.95</c:v>
                </c:pt>
                <c:pt idx="120">
                  <c:v>7244.4</c:v>
                </c:pt>
                <c:pt idx="121">
                  <c:v>7328.75</c:v>
                </c:pt>
                <c:pt idx="122">
                  <c:v>7413.1</c:v>
                </c:pt>
                <c:pt idx="123">
                  <c:v>7499.45</c:v>
                </c:pt>
                <c:pt idx="124">
                  <c:v>7585.8</c:v>
                </c:pt>
                <c:pt idx="125">
                  <c:v>7674.15</c:v>
                </c:pt>
                <c:pt idx="126">
                  <c:v>7762.5</c:v>
                </c:pt>
                <c:pt idx="127">
                  <c:v>7852.9</c:v>
                </c:pt>
                <c:pt idx="128">
                  <c:v>7943.3</c:v>
                </c:pt>
                <c:pt idx="129">
                  <c:v>8035.8</c:v>
                </c:pt>
                <c:pt idx="130">
                  <c:v>8128.3</c:v>
                </c:pt>
                <c:pt idx="131">
                  <c:v>8222.9500000000007</c:v>
                </c:pt>
                <c:pt idx="132">
                  <c:v>8270.2750000000015</c:v>
                </c:pt>
                <c:pt idx="133">
                  <c:v>8317.6</c:v>
                </c:pt>
                <c:pt idx="134">
                  <c:v>8366.0499999999993</c:v>
                </c:pt>
                <c:pt idx="135">
                  <c:v>8414.5</c:v>
                </c:pt>
                <c:pt idx="136">
                  <c:v>8462.9500000000007</c:v>
                </c:pt>
                <c:pt idx="137">
                  <c:v>8511.4</c:v>
                </c:pt>
                <c:pt idx="138">
                  <c:v>8560.9500000000007</c:v>
                </c:pt>
                <c:pt idx="139">
                  <c:v>8610.5</c:v>
                </c:pt>
                <c:pt idx="140">
                  <c:v>8660.0499999999993</c:v>
                </c:pt>
                <c:pt idx="141">
                  <c:v>8709.6</c:v>
                </c:pt>
                <c:pt idx="142">
                  <c:v>8760.3250000000007</c:v>
                </c:pt>
                <c:pt idx="143">
                  <c:v>8811.0499999999993</c:v>
                </c:pt>
                <c:pt idx="144">
                  <c:v>8861.7749999999996</c:v>
                </c:pt>
                <c:pt idx="145">
                  <c:v>8912.5</c:v>
                </c:pt>
                <c:pt idx="146">
                  <c:v>8964.4</c:v>
                </c:pt>
                <c:pt idx="147">
                  <c:v>9016.2999999999993</c:v>
                </c:pt>
                <c:pt idx="148">
                  <c:v>9068.2000000000007</c:v>
                </c:pt>
                <c:pt idx="149">
                  <c:v>9120.1</c:v>
                </c:pt>
                <c:pt idx="150">
                  <c:v>9173.2000000000007</c:v>
                </c:pt>
                <c:pt idx="151">
                  <c:v>9226.2999999999993</c:v>
                </c:pt>
                <c:pt idx="152">
                  <c:v>9279.4</c:v>
                </c:pt>
                <c:pt idx="153">
                  <c:v>9332.5</c:v>
                </c:pt>
                <c:pt idx="154">
                  <c:v>9386.85</c:v>
                </c:pt>
                <c:pt idx="155">
                  <c:v>9441.2000000000007</c:v>
                </c:pt>
                <c:pt idx="156">
                  <c:v>9495.5499999999993</c:v>
                </c:pt>
                <c:pt idx="157">
                  <c:v>9549.9</c:v>
                </c:pt>
                <c:pt idx="158">
                  <c:v>9605.5249999999996</c:v>
                </c:pt>
                <c:pt idx="159">
                  <c:v>9661.15</c:v>
                </c:pt>
                <c:pt idx="160">
                  <c:v>9716.7749999999996</c:v>
                </c:pt>
                <c:pt idx="161">
                  <c:v>9772.4</c:v>
                </c:pt>
                <c:pt idx="162">
                  <c:v>9829.2999999999993</c:v>
                </c:pt>
                <c:pt idx="163">
                  <c:v>9886.2000000000007</c:v>
                </c:pt>
                <c:pt idx="164">
                  <c:v>9943.1</c:v>
                </c:pt>
                <c:pt idx="165">
                  <c:v>10000</c:v>
                </c:pt>
                <c:pt idx="166">
                  <c:v>10058.25</c:v>
                </c:pt>
                <c:pt idx="167">
                  <c:v>10116.5</c:v>
                </c:pt>
                <c:pt idx="168">
                  <c:v>10174.75</c:v>
                </c:pt>
                <c:pt idx="169">
                  <c:v>10233</c:v>
                </c:pt>
                <c:pt idx="170">
                  <c:v>10292.5</c:v>
                </c:pt>
                <c:pt idx="171">
                  <c:v>10352</c:v>
                </c:pt>
                <c:pt idx="172">
                  <c:v>10411.5</c:v>
                </c:pt>
                <c:pt idx="173">
                  <c:v>10471</c:v>
                </c:pt>
                <c:pt idx="174">
                  <c:v>10532</c:v>
                </c:pt>
                <c:pt idx="175">
                  <c:v>10593</c:v>
                </c:pt>
                <c:pt idx="176">
                  <c:v>10654</c:v>
                </c:pt>
                <c:pt idx="177">
                  <c:v>10715</c:v>
                </c:pt>
                <c:pt idx="178">
                  <c:v>10777.5</c:v>
                </c:pt>
                <c:pt idx="179">
                  <c:v>10840</c:v>
                </c:pt>
                <c:pt idx="180">
                  <c:v>10902.5</c:v>
                </c:pt>
                <c:pt idx="181">
                  <c:v>10965</c:v>
                </c:pt>
                <c:pt idx="182">
                  <c:v>11028.75</c:v>
                </c:pt>
                <c:pt idx="183">
                  <c:v>11092.5</c:v>
                </c:pt>
                <c:pt idx="184">
                  <c:v>11156.25</c:v>
                </c:pt>
                <c:pt idx="185">
                  <c:v>11220</c:v>
                </c:pt>
                <c:pt idx="186">
                  <c:v>11285.5</c:v>
                </c:pt>
                <c:pt idx="187">
                  <c:v>11351</c:v>
                </c:pt>
                <c:pt idx="188">
                  <c:v>11416.5</c:v>
                </c:pt>
                <c:pt idx="189">
                  <c:v>11482</c:v>
                </c:pt>
                <c:pt idx="190">
                  <c:v>11548.75</c:v>
                </c:pt>
                <c:pt idx="191">
                  <c:v>11615.5</c:v>
                </c:pt>
                <c:pt idx="192">
                  <c:v>11682.25</c:v>
                </c:pt>
                <c:pt idx="193">
                  <c:v>11749</c:v>
                </c:pt>
                <c:pt idx="194">
                  <c:v>11817.5</c:v>
                </c:pt>
                <c:pt idx="195">
                  <c:v>11886</c:v>
                </c:pt>
                <c:pt idx="196">
                  <c:v>11954.5</c:v>
                </c:pt>
                <c:pt idx="197">
                  <c:v>12023</c:v>
                </c:pt>
                <c:pt idx="198">
                  <c:v>12093</c:v>
                </c:pt>
                <c:pt idx="199">
                  <c:v>12163</c:v>
                </c:pt>
                <c:pt idx="200">
                  <c:v>12233</c:v>
                </c:pt>
                <c:pt idx="201">
                  <c:v>12303</c:v>
                </c:pt>
                <c:pt idx="202">
                  <c:v>12374.5</c:v>
                </c:pt>
                <c:pt idx="203">
                  <c:v>12446</c:v>
                </c:pt>
                <c:pt idx="204">
                  <c:v>12517.5</c:v>
                </c:pt>
                <c:pt idx="205">
                  <c:v>12589</c:v>
                </c:pt>
                <c:pt idx="206">
                  <c:v>12662.25</c:v>
                </c:pt>
                <c:pt idx="207">
                  <c:v>12735.5</c:v>
                </c:pt>
                <c:pt idx="208">
                  <c:v>12808.75</c:v>
                </c:pt>
                <c:pt idx="209">
                  <c:v>12882</c:v>
                </c:pt>
                <c:pt idx="210">
                  <c:v>12957.25</c:v>
                </c:pt>
                <c:pt idx="211">
                  <c:v>13032.5</c:v>
                </c:pt>
                <c:pt idx="212">
                  <c:v>13107.75</c:v>
                </c:pt>
                <c:pt idx="213">
                  <c:v>13183</c:v>
                </c:pt>
                <c:pt idx="214">
                  <c:v>13259.75</c:v>
                </c:pt>
                <c:pt idx="215">
                  <c:v>13336.5</c:v>
                </c:pt>
                <c:pt idx="216">
                  <c:v>13413.25</c:v>
                </c:pt>
                <c:pt idx="217">
                  <c:v>13490</c:v>
                </c:pt>
                <c:pt idx="218">
                  <c:v>13568.5</c:v>
                </c:pt>
                <c:pt idx="219">
                  <c:v>13647</c:v>
                </c:pt>
                <c:pt idx="220">
                  <c:v>13725.5</c:v>
                </c:pt>
                <c:pt idx="221">
                  <c:v>13804</c:v>
                </c:pt>
                <c:pt idx="222">
                  <c:v>13884.25</c:v>
                </c:pt>
                <c:pt idx="223">
                  <c:v>13964.5</c:v>
                </c:pt>
                <c:pt idx="224">
                  <c:v>14044.75</c:v>
                </c:pt>
                <c:pt idx="225">
                  <c:v>14125</c:v>
                </c:pt>
                <c:pt idx="226">
                  <c:v>14207.25</c:v>
                </c:pt>
                <c:pt idx="227">
                  <c:v>14289.5</c:v>
                </c:pt>
                <c:pt idx="228">
                  <c:v>14371.75</c:v>
                </c:pt>
                <c:pt idx="229">
                  <c:v>14454</c:v>
                </c:pt>
                <c:pt idx="230">
                  <c:v>14622.5</c:v>
                </c:pt>
                <c:pt idx="231">
                  <c:v>14706.75</c:v>
                </c:pt>
                <c:pt idx="232">
                  <c:v>14791</c:v>
                </c:pt>
                <c:pt idx="233">
                  <c:v>14877.25</c:v>
                </c:pt>
                <c:pt idx="234">
                  <c:v>14963.5</c:v>
                </c:pt>
                <c:pt idx="235">
                  <c:v>15049.75</c:v>
                </c:pt>
                <c:pt idx="236">
                  <c:v>15136</c:v>
                </c:pt>
                <c:pt idx="237">
                  <c:v>15224</c:v>
                </c:pt>
                <c:pt idx="238">
                  <c:v>15312</c:v>
                </c:pt>
                <c:pt idx="239">
                  <c:v>15400</c:v>
                </c:pt>
                <c:pt idx="240">
                  <c:v>15488</c:v>
                </c:pt>
                <c:pt idx="241">
                  <c:v>15578.25</c:v>
                </c:pt>
                <c:pt idx="242">
                  <c:v>15668.5</c:v>
                </c:pt>
                <c:pt idx="243">
                  <c:v>15758.75</c:v>
                </c:pt>
                <c:pt idx="244">
                  <c:v>15849</c:v>
                </c:pt>
                <c:pt idx="245">
                  <c:v>15941.25</c:v>
                </c:pt>
                <c:pt idx="246">
                  <c:v>16033.5</c:v>
                </c:pt>
                <c:pt idx="247">
                  <c:v>16125.75</c:v>
                </c:pt>
                <c:pt idx="248">
                  <c:v>16218</c:v>
                </c:pt>
                <c:pt idx="249">
                  <c:v>16312.5</c:v>
                </c:pt>
                <c:pt idx="250">
                  <c:v>16407</c:v>
                </c:pt>
                <c:pt idx="251">
                  <c:v>16501.5</c:v>
                </c:pt>
                <c:pt idx="252">
                  <c:v>16596</c:v>
                </c:pt>
                <c:pt idx="253">
                  <c:v>16692.5</c:v>
                </c:pt>
                <c:pt idx="254">
                  <c:v>16789</c:v>
                </c:pt>
                <c:pt idx="255">
                  <c:v>16885.5</c:v>
                </c:pt>
                <c:pt idx="256">
                  <c:v>16982</c:v>
                </c:pt>
                <c:pt idx="257">
                  <c:v>17081</c:v>
                </c:pt>
                <c:pt idx="258">
                  <c:v>17180</c:v>
                </c:pt>
                <c:pt idx="259">
                  <c:v>17279</c:v>
                </c:pt>
                <c:pt idx="260">
                  <c:v>17378</c:v>
                </c:pt>
                <c:pt idx="261">
                  <c:v>17479.25</c:v>
                </c:pt>
                <c:pt idx="262">
                  <c:v>17580.5</c:v>
                </c:pt>
                <c:pt idx="263">
                  <c:v>17681.75</c:v>
                </c:pt>
                <c:pt idx="264">
                  <c:v>17783</c:v>
                </c:pt>
                <c:pt idx="265">
                  <c:v>17886.5</c:v>
                </c:pt>
                <c:pt idx="266">
                  <c:v>17990</c:v>
                </c:pt>
                <c:pt idx="267">
                  <c:v>18093.5</c:v>
                </c:pt>
                <c:pt idx="268">
                  <c:v>18197</c:v>
                </c:pt>
                <c:pt idx="269">
                  <c:v>18303</c:v>
                </c:pt>
                <c:pt idx="270">
                  <c:v>18409</c:v>
                </c:pt>
                <c:pt idx="271">
                  <c:v>18515</c:v>
                </c:pt>
                <c:pt idx="272">
                  <c:v>18621</c:v>
                </c:pt>
                <c:pt idx="273">
                  <c:v>18729.5</c:v>
                </c:pt>
                <c:pt idx="274">
                  <c:v>18838</c:v>
                </c:pt>
                <c:pt idx="275">
                  <c:v>18946.5</c:v>
                </c:pt>
                <c:pt idx="276">
                  <c:v>19055</c:v>
                </c:pt>
                <c:pt idx="277">
                  <c:v>19165.75</c:v>
                </c:pt>
                <c:pt idx="278">
                  <c:v>19276.5</c:v>
                </c:pt>
                <c:pt idx="279">
                  <c:v>19387.25</c:v>
                </c:pt>
                <c:pt idx="280">
                  <c:v>19498</c:v>
                </c:pt>
                <c:pt idx="281">
                  <c:v>19611.75</c:v>
                </c:pt>
                <c:pt idx="282">
                  <c:v>19725.5</c:v>
                </c:pt>
                <c:pt idx="283">
                  <c:v>19839.25</c:v>
                </c:pt>
                <c:pt idx="284">
                  <c:v>19953</c:v>
                </c:pt>
                <c:pt idx="285">
                  <c:v>20069</c:v>
                </c:pt>
                <c:pt idx="286">
                  <c:v>20185</c:v>
                </c:pt>
                <c:pt idx="287">
                  <c:v>20301</c:v>
                </c:pt>
                <c:pt idx="288">
                  <c:v>20417</c:v>
                </c:pt>
                <c:pt idx="289">
                  <c:v>20536</c:v>
                </c:pt>
                <c:pt idx="290">
                  <c:v>20655</c:v>
                </c:pt>
                <c:pt idx="291">
                  <c:v>20774</c:v>
                </c:pt>
                <c:pt idx="292">
                  <c:v>20893</c:v>
                </c:pt>
                <c:pt idx="293">
                  <c:v>21014.75</c:v>
                </c:pt>
                <c:pt idx="294">
                  <c:v>21136.5</c:v>
                </c:pt>
                <c:pt idx="295">
                  <c:v>21258.25</c:v>
                </c:pt>
                <c:pt idx="296">
                  <c:v>21380</c:v>
                </c:pt>
                <c:pt idx="297">
                  <c:v>21504.5</c:v>
                </c:pt>
                <c:pt idx="298">
                  <c:v>21629</c:v>
                </c:pt>
                <c:pt idx="299">
                  <c:v>21753.5</c:v>
                </c:pt>
                <c:pt idx="300">
                  <c:v>21878</c:v>
                </c:pt>
                <c:pt idx="301">
                  <c:v>22005.25</c:v>
                </c:pt>
                <c:pt idx="302">
                  <c:v>22132.5</c:v>
                </c:pt>
                <c:pt idx="303">
                  <c:v>22259.75</c:v>
                </c:pt>
                <c:pt idx="304">
                  <c:v>22387</c:v>
                </c:pt>
                <c:pt idx="305">
                  <c:v>22517.5</c:v>
                </c:pt>
                <c:pt idx="306">
                  <c:v>22648</c:v>
                </c:pt>
                <c:pt idx="307">
                  <c:v>22778.5</c:v>
                </c:pt>
                <c:pt idx="308">
                  <c:v>22909</c:v>
                </c:pt>
                <c:pt idx="309">
                  <c:v>23042.25</c:v>
                </c:pt>
                <c:pt idx="310">
                  <c:v>23175.5</c:v>
                </c:pt>
                <c:pt idx="311">
                  <c:v>23308.75</c:v>
                </c:pt>
                <c:pt idx="312">
                  <c:v>23442</c:v>
                </c:pt>
                <c:pt idx="313">
                  <c:v>23578.5</c:v>
                </c:pt>
                <c:pt idx="314">
                  <c:v>23715</c:v>
                </c:pt>
                <c:pt idx="315">
                  <c:v>23851.5</c:v>
                </c:pt>
                <c:pt idx="316">
                  <c:v>23988</c:v>
                </c:pt>
                <c:pt idx="317">
                  <c:v>24127.75</c:v>
                </c:pt>
                <c:pt idx="318">
                  <c:v>24267.5</c:v>
                </c:pt>
                <c:pt idx="319">
                  <c:v>24407.25</c:v>
                </c:pt>
                <c:pt idx="320">
                  <c:v>24547</c:v>
                </c:pt>
                <c:pt idx="321">
                  <c:v>24690</c:v>
                </c:pt>
                <c:pt idx="322">
                  <c:v>24833</c:v>
                </c:pt>
                <c:pt idx="323">
                  <c:v>24976</c:v>
                </c:pt>
                <c:pt idx="324">
                  <c:v>25119</c:v>
                </c:pt>
                <c:pt idx="325">
                  <c:v>25265.25</c:v>
                </c:pt>
                <c:pt idx="326">
                  <c:v>25411.5</c:v>
                </c:pt>
                <c:pt idx="327">
                  <c:v>25557.75</c:v>
                </c:pt>
                <c:pt idx="328">
                  <c:v>25704</c:v>
                </c:pt>
                <c:pt idx="329">
                  <c:v>25853.75</c:v>
                </c:pt>
                <c:pt idx="330">
                  <c:v>26003.5</c:v>
                </c:pt>
                <c:pt idx="331">
                  <c:v>26153.25</c:v>
                </c:pt>
                <c:pt idx="332">
                  <c:v>26303</c:v>
                </c:pt>
                <c:pt idx="333">
                  <c:v>26456</c:v>
                </c:pt>
                <c:pt idx="334">
                  <c:v>26609</c:v>
                </c:pt>
                <c:pt idx="335">
                  <c:v>26762</c:v>
                </c:pt>
                <c:pt idx="336">
                  <c:v>26915</c:v>
                </c:pt>
                <c:pt idx="337">
                  <c:v>27071.75</c:v>
                </c:pt>
                <c:pt idx="338">
                  <c:v>27228.5</c:v>
                </c:pt>
                <c:pt idx="339">
                  <c:v>27385.25</c:v>
                </c:pt>
                <c:pt idx="340">
                  <c:v>27542</c:v>
                </c:pt>
                <c:pt idx="341">
                  <c:v>27702.5</c:v>
                </c:pt>
                <c:pt idx="342">
                  <c:v>27863</c:v>
                </c:pt>
                <c:pt idx="343">
                  <c:v>28023.5</c:v>
                </c:pt>
                <c:pt idx="344">
                  <c:v>28184</c:v>
                </c:pt>
                <c:pt idx="345">
                  <c:v>28348</c:v>
                </c:pt>
                <c:pt idx="346">
                  <c:v>28512</c:v>
                </c:pt>
                <c:pt idx="347">
                  <c:v>28676</c:v>
                </c:pt>
                <c:pt idx="348">
                  <c:v>28840</c:v>
                </c:pt>
                <c:pt idx="349">
                  <c:v>29008</c:v>
                </c:pt>
                <c:pt idx="350">
                  <c:v>29176</c:v>
                </c:pt>
                <c:pt idx="351">
                  <c:v>29344</c:v>
                </c:pt>
                <c:pt idx="352">
                  <c:v>29512</c:v>
                </c:pt>
                <c:pt idx="353">
                  <c:v>29684</c:v>
                </c:pt>
                <c:pt idx="354">
                  <c:v>29856</c:v>
                </c:pt>
                <c:pt idx="355">
                  <c:v>30028</c:v>
                </c:pt>
                <c:pt idx="356">
                  <c:v>30200</c:v>
                </c:pt>
                <c:pt idx="357">
                  <c:v>30375.75</c:v>
                </c:pt>
                <c:pt idx="358">
                  <c:v>30551.5</c:v>
                </c:pt>
                <c:pt idx="359">
                  <c:v>30727.25</c:v>
                </c:pt>
                <c:pt idx="360">
                  <c:v>30903</c:v>
                </c:pt>
                <c:pt idx="361">
                  <c:v>31083</c:v>
                </c:pt>
                <c:pt idx="362">
                  <c:v>31263</c:v>
                </c:pt>
                <c:pt idx="363">
                  <c:v>31443</c:v>
                </c:pt>
                <c:pt idx="364">
                  <c:v>31623</c:v>
                </c:pt>
                <c:pt idx="365">
                  <c:v>31807</c:v>
                </c:pt>
                <c:pt idx="366">
                  <c:v>31991</c:v>
                </c:pt>
                <c:pt idx="367">
                  <c:v>32175</c:v>
                </c:pt>
                <c:pt idx="368">
                  <c:v>32359</c:v>
                </c:pt>
                <c:pt idx="369">
                  <c:v>32547.5</c:v>
                </c:pt>
                <c:pt idx="370">
                  <c:v>32736</c:v>
                </c:pt>
                <c:pt idx="371">
                  <c:v>32924.5</c:v>
                </c:pt>
                <c:pt idx="372">
                  <c:v>33113</c:v>
                </c:pt>
                <c:pt idx="373">
                  <c:v>33305.75</c:v>
                </c:pt>
                <c:pt idx="374">
                  <c:v>33498.5</c:v>
                </c:pt>
                <c:pt idx="375">
                  <c:v>33691.25</c:v>
                </c:pt>
                <c:pt idx="376">
                  <c:v>33884</c:v>
                </c:pt>
                <c:pt idx="377">
                  <c:v>34081.5</c:v>
                </c:pt>
                <c:pt idx="378">
                  <c:v>34279</c:v>
                </c:pt>
                <c:pt idx="379">
                  <c:v>34476.5</c:v>
                </c:pt>
                <c:pt idx="380">
                  <c:v>34674</c:v>
                </c:pt>
                <c:pt idx="381">
                  <c:v>34875.75</c:v>
                </c:pt>
                <c:pt idx="382">
                  <c:v>35077.5</c:v>
                </c:pt>
                <c:pt idx="383">
                  <c:v>35279.25</c:v>
                </c:pt>
                <c:pt idx="384">
                  <c:v>35481</c:v>
                </c:pt>
                <c:pt idx="385">
                  <c:v>35687.75</c:v>
                </c:pt>
                <c:pt idx="386">
                  <c:v>35894.5</c:v>
                </c:pt>
                <c:pt idx="387">
                  <c:v>36101.25</c:v>
                </c:pt>
                <c:pt idx="388">
                  <c:v>36308</c:v>
                </c:pt>
                <c:pt idx="389">
                  <c:v>36519.5</c:v>
                </c:pt>
                <c:pt idx="390">
                  <c:v>36731</c:v>
                </c:pt>
                <c:pt idx="391">
                  <c:v>36942.5</c:v>
                </c:pt>
                <c:pt idx="392">
                  <c:v>37154</c:v>
                </c:pt>
                <c:pt idx="393">
                  <c:v>37370.25</c:v>
                </c:pt>
                <c:pt idx="394">
                  <c:v>37586.5</c:v>
                </c:pt>
                <c:pt idx="395">
                  <c:v>37802.75</c:v>
                </c:pt>
                <c:pt idx="396">
                  <c:v>38019</c:v>
                </c:pt>
                <c:pt idx="397">
                  <c:v>38240.5</c:v>
                </c:pt>
                <c:pt idx="398">
                  <c:v>38462</c:v>
                </c:pt>
                <c:pt idx="399">
                  <c:v>38683.5</c:v>
                </c:pt>
                <c:pt idx="400">
                  <c:v>38905</c:v>
                </c:pt>
                <c:pt idx="401">
                  <c:v>39131.5</c:v>
                </c:pt>
                <c:pt idx="402">
                  <c:v>39358</c:v>
                </c:pt>
                <c:pt idx="403">
                  <c:v>39584.5</c:v>
                </c:pt>
                <c:pt idx="404">
                  <c:v>39811</c:v>
                </c:pt>
                <c:pt idx="405">
                  <c:v>40042.75</c:v>
                </c:pt>
                <c:pt idx="406">
                  <c:v>40274.5</c:v>
                </c:pt>
                <c:pt idx="407">
                  <c:v>40506.25</c:v>
                </c:pt>
                <c:pt idx="408">
                  <c:v>40738</c:v>
                </c:pt>
                <c:pt idx="409">
                  <c:v>40975.25</c:v>
                </c:pt>
                <c:pt idx="410">
                  <c:v>41212.5</c:v>
                </c:pt>
                <c:pt idx="411">
                  <c:v>41449.75</c:v>
                </c:pt>
                <c:pt idx="412">
                  <c:v>41687</c:v>
                </c:pt>
                <c:pt idx="413">
                  <c:v>41929.75</c:v>
                </c:pt>
                <c:pt idx="414">
                  <c:v>42172.5</c:v>
                </c:pt>
                <c:pt idx="415">
                  <c:v>42415.25</c:v>
                </c:pt>
                <c:pt idx="416">
                  <c:v>42658</c:v>
                </c:pt>
                <c:pt idx="417">
                  <c:v>42906.5</c:v>
                </c:pt>
                <c:pt idx="418">
                  <c:v>43155</c:v>
                </c:pt>
                <c:pt idx="419">
                  <c:v>43403.5</c:v>
                </c:pt>
                <c:pt idx="420">
                  <c:v>43652</c:v>
                </c:pt>
                <c:pt idx="421">
                  <c:v>43906</c:v>
                </c:pt>
                <c:pt idx="422">
                  <c:v>44160</c:v>
                </c:pt>
                <c:pt idx="423">
                  <c:v>44414</c:v>
                </c:pt>
                <c:pt idx="424">
                  <c:v>44668</c:v>
                </c:pt>
                <c:pt idx="425">
                  <c:v>44928.25</c:v>
                </c:pt>
                <c:pt idx="426">
                  <c:v>45188.5</c:v>
                </c:pt>
                <c:pt idx="427">
                  <c:v>45448.75</c:v>
                </c:pt>
                <c:pt idx="428">
                  <c:v>45709</c:v>
                </c:pt>
                <c:pt idx="429">
                  <c:v>45975.25</c:v>
                </c:pt>
                <c:pt idx="430">
                  <c:v>46241.5</c:v>
                </c:pt>
                <c:pt idx="431">
                  <c:v>46507.75</c:v>
                </c:pt>
                <c:pt idx="432">
                  <c:v>46774</c:v>
                </c:pt>
                <c:pt idx="433">
                  <c:v>47046.25</c:v>
                </c:pt>
                <c:pt idx="434">
                  <c:v>47318.5</c:v>
                </c:pt>
                <c:pt idx="435">
                  <c:v>47590.75</c:v>
                </c:pt>
                <c:pt idx="436">
                  <c:v>47863</c:v>
                </c:pt>
                <c:pt idx="437">
                  <c:v>48141.75</c:v>
                </c:pt>
                <c:pt idx="438">
                  <c:v>48420.5</c:v>
                </c:pt>
                <c:pt idx="439">
                  <c:v>48699.25</c:v>
                </c:pt>
                <c:pt idx="440">
                  <c:v>48978</c:v>
                </c:pt>
                <c:pt idx="441">
                  <c:v>49263.25</c:v>
                </c:pt>
                <c:pt idx="442">
                  <c:v>49548.5</c:v>
                </c:pt>
                <c:pt idx="443">
                  <c:v>49833.75</c:v>
                </c:pt>
                <c:pt idx="444">
                  <c:v>50119</c:v>
                </c:pt>
                <c:pt idx="445">
                  <c:v>50410.75</c:v>
                </c:pt>
                <c:pt idx="446">
                  <c:v>50702.5</c:v>
                </c:pt>
                <c:pt idx="447">
                  <c:v>50994.25</c:v>
                </c:pt>
                <c:pt idx="448">
                  <c:v>51286</c:v>
                </c:pt>
                <c:pt idx="449">
                  <c:v>51584.75</c:v>
                </c:pt>
                <c:pt idx="450">
                  <c:v>51883.5</c:v>
                </c:pt>
                <c:pt idx="451">
                  <c:v>52182.25</c:v>
                </c:pt>
                <c:pt idx="452">
                  <c:v>52481</c:v>
                </c:pt>
                <c:pt idx="453">
                  <c:v>52786.5</c:v>
                </c:pt>
                <c:pt idx="454">
                  <c:v>53092</c:v>
                </c:pt>
                <c:pt idx="455">
                  <c:v>53397.5</c:v>
                </c:pt>
                <c:pt idx="456">
                  <c:v>53703</c:v>
                </c:pt>
                <c:pt idx="457">
                  <c:v>54015.75</c:v>
                </c:pt>
                <c:pt idx="458">
                  <c:v>54328.5</c:v>
                </c:pt>
                <c:pt idx="459">
                  <c:v>54641.25</c:v>
                </c:pt>
                <c:pt idx="460">
                  <c:v>54954</c:v>
                </c:pt>
                <c:pt idx="461">
                  <c:v>55274</c:v>
                </c:pt>
                <c:pt idx="462">
                  <c:v>55594</c:v>
                </c:pt>
                <c:pt idx="463">
                  <c:v>55914</c:v>
                </c:pt>
                <c:pt idx="464">
                  <c:v>56234</c:v>
                </c:pt>
                <c:pt idx="465">
                  <c:v>56561.5</c:v>
                </c:pt>
                <c:pt idx="466">
                  <c:v>56889</c:v>
                </c:pt>
                <c:pt idx="467">
                  <c:v>57216.5</c:v>
                </c:pt>
                <c:pt idx="468">
                  <c:v>57544</c:v>
                </c:pt>
                <c:pt idx="469">
                  <c:v>57879</c:v>
                </c:pt>
                <c:pt idx="470">
                  <c:v>58214</c:v>
                </c:pt>
                <c:pt idx="471">
                  <c:v>58549</c:v>
                </c:pt>
                <c:pt idx="472">
                  <c:v>58884</c:v>
                </c:pt>
                <c:pt idx="473">
                  <c:v>59227</c:v>
                </c:pt>
                <c:pt idx="474">
                  <c:v>59570</c:v>
                </c:pt>
                <c:pt idx="475">
                  <c:v>59913</c:v>
                </c:pt>
                <c:pt idx="476">
                  <c:v>60256</c:v>
                </c:pt>
                <c:pt idx="477">
                  <c:v>60607</c:v>
                </c:pt>
                <c:pt idx="478">
                  <c:v>60958</c:v>
                </c:pt>
                <c:pt idx="479">
                  <c:v>61309</c:v>
                </c:pt>
                <c:pt idx="480">
                  <c:v>61660</c:v>
                </c:pt>
                <c:pt idx="481">
                  <c:v>62019</c:v>
                </c:pt>
                <c:pt idx="482">
                  <c:v>62378</c:v>
                </c:pt>
                <c:pt idx="483">
                  <c:v>62737</c:v>
                </c:pt>
                <c:pt idx="484">
                  <c:v>63096</c:v>
                </c:pt>
                <c:pt idx="485">
                  <c:v>63463.25</c:v>
                </c:pt>
                <c:pt idx="486">
                  <c:v>63830.5</c:v>
                </c:pt>
                <c:pt idx="487">
                  <c:v>64197.75</c:v>
                </c:pt>
                <c:pt idx="488">
                  <c:v>64565</c:v>
                </c:pt>
                <c:pt idx="489">
                  <c:v>64941</c:v>
                </c:pt>
                <c:pt idx="490">
                  <c:v>65317</c:v>
                </c:pt>
                <c:pt idx="491">
                  <c:v>65693</c:v>
                </c:pt>
                <c:pt idx="492">
                  <c:v>66069</c:v>
                </c:pt>
                <c:pt idx="493">
                  <c:v>66453.75</c:v>
                </c:pt>
                <c:pt idx="494">
                  <c:v>66838.5</c:v>
                </c:pt>
                <c:pt idx="495">
                  <c:v>67223.25</c:v>
                </c:pt>
                <c:pt idx="496">
                  <c:v>67608</c:v>
                </c:pt>
                <c:pt idx="497">
                  <c:v>68001.75</c:v>
                </c:pt>
                <c:pt idx="498">
                  <c:v>68395.5</c:v>
                </c:pt>
                <c:pt idx="499">
                  <c:v>68789.25</c:v>
                </c:pt>
                <c:pt idx="500">
                  <c:v>69183</c:v>
                </c:pt>
                <c:pt idx="501">
                  <c:v>69586</c:v>
                </c:pt>
                <c:pt idx="502">
                  <c:v>69989</c:v>
                </c:pt>
                <c:pt idx="503">
                  <c:v>70392</c:v>
                </c:pt>
                <c:pt idx="504">
                  <c:v>70795</c:v>
                </c:pt>
                <c:pt idx="505">
                  <c:v>71207.25</c:v>
                </c:pt>
                <c:pt idx="506">
                  <c:v>71619.5</c:v>
                </c:pt>
                <c:pt idx="507">
                  <c:v>72031.75</c:v>
                </c:pt>
                <c:pt idx="508">
                  <c:v>72444</c:v>
                </c:pt>
                <c:pt idx="509">
                  <c:v>72865.75</c:v>
                </c:pt>
                <c:pt idx="510">
                  <c:v>73287.5</c:v>
                </c:pt>
                <c:pt idx="511">
                  <c:v>73709.25</c:v>
                </c:pt>
                <c:pt idx="512">
                  <c:v>74131</c:v>
                </c:pt>
                <c:pt idx="513">
                  <c:v>74562.75</c:v>
                </c:pt>
                <c:pt idx="514">
                  <c:v>74994.5</c:v>
                </c:pt>
                <c:pt idx="515">
                  <c:v>75426.25</c:v>
                </c:pt>
                <c:pt idx="516">
                  <c:v>75858</c:v>
                </c:pt>
                <c:pt idx="517">
                  <c:v>76299.75</c:v>
                </c:pt>
                <c:pt idx="518">
                  <c:v>76741.5</c:v>
                </c:pt>
                <c:pt idx="519">
                  <c:v>77183.25</c:v>
                </c:pt>
                <c:pt idx="520">
                  <c:v>77625</c:v>
                </c:pt>
                <c:pt idx="521">
                  <c:v>78077</c:v>
                </c:pt>
                <c:pt idx="522">
                  <c:v>78529</c:v>
                </c:pt>
                <c:pt idx="523">
                  <c:v>78981</c:v>
                </c:pt>
                <c:pt idx="524">
                  <c:v>79433</c:v>
                </c:pt>
                <c:pt idx="525">
                  <c:v>79895.5</c:v>
                </c:pt>
                <c:pt idx="526">
                  <c:v>80358</c:v>
                </c:pt>
                <c:pt idx="527">
                  <c:v>80820.5</c:v>
                </c:pt>
                <c:pt idx="528">
                  <c:v>81283</c:v>
                </c:pt>
                <c:pt idx="529">
                  <c:v>81756.25</c:v>
                </c:pt>
                <c:pt idx="530">
                  <c:v>82229.5</c:v>
                </c:pt>
                <c:pt idx="531">
                  <c:v>82702.75</c:v>
                </c:pt>
                <c:pt idx="532">
                  <c:v>83176</c:v>
                </c:pt>
                <c:pt idx="533">
                  <c:v>83660.5</c:v>
                </c:pt>
                <c:pt idx="534">
                  <c:v>84145</c:v>
                </c:pt>
                <c:pt idx="535">
                  <c:v>84629.5</c:v>
                </c:pt>
                <c:pt idx="536">
                  <c:v>85114</c:v>
                </c:pt>
                <c:pt idx="537">
                  <c:v>85609.5</c:v>
                </c:pt>
                <c:pt idx="538">
                  <c:v>86105</c:v>
                </c:pt>
                <c:pt idx="539">
                  <c:v>86600.5</c:v>
                </c:pt>
                <c:pt idx="540">
                  <c:v>87096</c:v>
                </c:pt>
                <c:pt idx="541">
                  <c:v>87603.25</c:v>
                </c:pt>
                <c:pt idx="542">
                  <c:v>88110.5</c:v>
                </c:pt>
                <c:pt idx="543">
                  <c:v>88617.75</c:v>
                </c:pt>
                <c:pt idx="544">
                  <c:v>89125</c:v>
                </c:pt>
                <c:pt idx="545">
                  <c:v>89644</c:v>
                </c:pt>
                <c:pt idx="546">
                  <c:v>90163</c:v>
                </c:pt>
                <c:pt idx="547">
                  <c:v>90682</c:v>
                </c:pt>
                <c:pt idx="548">
                  <c:v>91201</c:v>
                </c:pt>
                <c:pt idx="549">
                  <c:v>91732</c:v>
                </c:pt>
                <c:pt idx="550">
                  <c:v>92263</c:v>
                </c:pt>
                <c:pt idx="551">
                  <c:v>92794</c:v>
                </c:pt>
                <c:pt idx="552">
                  <c:v>93325</c:v>
                </c:pt>
                <c:pt idx="553">
                  <c:v>93868.5</c:v>
                </c:pt>
                <c:pt idx="554">
                  <c:v>94412</c:v>
                </c:pt>
                <c:pt idx="555">
                  <c:v>94955.5</c:v>
                </c:pt>
                <c:pt idx="556">
                  <c:v>95499</c:v>
                </c:pt>
                <c:pt idx="557">
                  <c:v>96611.5</c:v>
                </c:pt>
                <c:pt idx="558">
                  <c:v>97724</c:v>
                </c:pt>
                <c:pt idx="559">
                  <c:v>98862</c:v>
                </c:pt>
                <c:pt idx="560">
                  <c:v>100000</c:v>
                </c:pt>
                <c:pt idx="561">
                  <c:v>101165</c:v>
                </c:pt>
                <c:pt idx="562">
                  <c:v>102330</c:v>
                </c:pt>
                <c:pt idx="563">
                  <c:v>103520</c:v>
                </c:pt>
                <c:pt idx="564">
                  <c:v>104710</c:v>
                </c:pt>
                <c:pt idx="565">
                  <c:v>105930</c:v>
                </c:pt>
                <c:pt idx="566">
                  <c:v>107150</c:v>
                </c:pt>
                <c:pt idx="567">
                  <c:v>108400</c:v>
                </c:pt>
                <c:pt idx="568">
                  <c:v>109650</c:v>
                </c:pt>
                <c:pt idx="569">
                  <c:v>110925</c:v>
                </c:pt>
                <c:pt idx="570">
                  <c:v>112200</c:v>
                </c:pt>
                <c:pt idx="571">
                  <c:v>113510</c:v>
                </c:pt>
                <c:pt idx="572">
                  <c:v>114820</c:v>
                </c:pt>
                <c:pt idx="573">
                  <c:v>116155</c:v>
                </c:pt>
                <c:pt idx="574">
                  <c:v>117490</c:v>
                </c:pt>
                <c:pt idx="575">
                  <c:v>118860</c:v>
                </c:pt>
                <c:pt idx="576">
                  <c:v>120230</c:v>
                </c:pt>
                <c:pt idx="577">
                  <c:v>126030</c:v>
                </c:pt>
                <c:pt idx="578">
                  <c:v>131830</c:v>
                </c:pt>
                <c:pt idx="579">
                  <c:v>144540</c:v>
                </c:pt>
                <c:pt idx="580">
                  <c:v>158490</c:v>
                </c:pt>
                <c:pt idx="581">
                  <c:v>173780</c:v>
                </c:pt>
                <c:pt idx="582">
                  <c:v>190550</c:v>
                </c:pt>
                <c:pt idx="583">
                  <c:v>208930</c:v>
                </c:pt>
                <c:pt idx="584">
                  <c:v>229090</c:v>
                </c:pt>
                <c:pt idx="585">
                  <c:v>251190</c:v>
                </c:pt>
                <c:pt idx="586">
                  <c:v>275420</c:v>
                </c:pt>
                <c:pt idx="587">
                  <c:v>302000</c:v>
                </c:pt>
                <c:pt idx="588">
                  <c:v>331130</c:v>
                </c:pt>
                <c:pt idx="589">
                  <c:v>363080</c:v>
                </c:pt>
                <c:pt idx="590">
                  <c:v>398110</c:v>
                </c:pt>
                <c:pt idx="591">
                  <c:v>436520</c:v>
                </c:pt>
                <c:pt idx="592">
                  <c:v>478630</c:v>
                </c:pt>
                <c:pt idx="593">
                  <c:v>524810</c:v>
                </c:pt>
                <c:pt idx="594">
                  <c:v>575440</c:v>
                </c:pt>
                <c:pt idx="595">
                  <c:v>630960</c:v>
                </c:pt>
                <c:pt idx="596">
                  <c:v>691830</c:v>
                </c:pt>
                <c:pt idx="597">
                  <c:v>758580</c:v>
                </c:pt>
                <c:pt idx="598">
                  <c:v>831760</c:v>
                </c:pt>
                <c:pt idx="599">
                  <c:v>912010</c:v>
                </c:pt>
                <c:pt idx="600">
                  <c:v>1000000</c:v>
                </c:pt>
              </c:numCache>
            </c:numRef>
          </c:xVal>
          <c:yVal>
            <c:numRef>
              <c:f>'Stability Calculations'!$U$13:$U$613</c:f>
              <c:numCache>
                <c:formatCode>0.00</c:formatCode>
                <c:ptCount val="601"/>
                <c:pt idx="0">
                  <c:v>97.910120864692971</c:v>
                </c:pt>
                <c:pt idx="1">
                  <c:v>97.382974754612306</c:v>
                </c:pt>
                <c:pt idx="2">
                  <c:v>96.823801482384383</c:v>
                </c:pt>
                <c:pt idx="3">
                  <c:v>96.234846201076479</c:v>
                </c:pt>
                <c:pt idx="4">
                  <c:v>95.618982119407946</c:v>
                </c:pt>
                <c:pt idx="5">
                  <c:v>94.977739423056349</c:v>
                </c:pt>
                <c:pt idx="6">
                  <c:v>94.314585839193455</c:v>
                </c:pt>
                <c:pt idx="7">
                  <c:v>93.631600897245804</c:v>
                </c:pt>
                <c:pt idx="8">
                  <c:v>92.9316693489627</c:v>
                </c:pt>
                <c:pt idx="9">
                  <c:v>92.216477074933536</c:v>
                </c:pt>
                <c:pt idx="10">
                  <c:v>91.488451340513848</c:v>
                </c:pt>
                <c:pt idx="11">
                  <c:v>90.749307946608951</c:v>
                </c:pt>
                <c:pt idx="12">
                  <c:v>90.000259911093309</c:v>
                </c:pt>
                <c:pt idx="13">
                  <c:v>89.24344071920423</c:v>
                </c:pt>
                <c:pt idx="14">
                  <c:v>88.479479006104199</c:v>
                </c:pt>
                <c:pt idx="15">
                  <c:v>87.709729064206172</c:v>
                </c:pt>
                <c:pt idx="16">
                  <c:v>86.93504182683013</c:v>
                </c:pt>
                <c:pt idx="17">
                  <c:v>86.156307188711708</c:v>
                </c:pt>
                <c:pt idx="18">
                  <c:v>85.373960880515881</c:v>
                </c:pt>
                <c:pt idx="19">
                  <c:v>84.58877322767195</c:v>
                </c:pt>
                <c:pt idx="20">
                  <c:v>83.801060553881882</c:v>
                </c:pt>
                <c:pt idx="21">
                  <c:v>83.011381276878723</c:v>
                </c:pt>
                <c:pt idx="22">
                  <c:v>82.219900558489201</c:v>
                </c:pt>
                <c:pt idx="23">
                  <c:v>81.427093935125598</c:v>
                </c:pt>
                <c:pt idx="24">
                  <c:v>80.63299358079199</c:v>
                </c:pt>
                <c:pt idx="25">
                  <c:v>79.837917610135349</c:v>
                </c:pt>
                <c:pt idx="26">
                  <c:v>79.041843528781556</c:v>
                </c:pt>
                <c:pt idx="27">
                  <c:v>78.245160440505359</c:v>
                </c:pt>
                <c:pt idx="28">
                  <c:v>77.44795052300519</c:v>
                </c:pt>
                <c:pt idx="29">
                  <c:v>76.650803439246971</c:v>
                </c:pt>
                <c:pt idx="30">
                  <c:v>75.85244900974385</c:v>
                </c:pt>
                <c:pt idx="31">
                  <c:v>75.054067130034028</c:v>
                </c:pt>
                <c:pt idx="32">
                  <c:v>74.255169854259179</c:v>
                </c:pt>
                <c:pt idx="33">
                  <c:v>73.456370665305599</c:v>
                </c:pt>
                <c:pt idx="34">
                  <c:v>72.657089842253953</c:v>
                </c:pt>
                <c:pt idx="35">
                  <c:v>71.857806682539177</c:v>
                </c:pt>
                <c:pt idx="36">
                  <c:v>71.058422529554178</c:v>
                </c:pt>
                <c:pt idx="37">
                  <c:v>70.258525250797391</c:v>
                </c:pt>
                <c:pt idx="38">
                  <c:v>69.458890278822565</c:v>
                </c:pt>
                <c:pt idx="39">
                  <c:v>68.658882606316425</c:v>
                </c:pt>
                <c:pt idx="40">
                  <c:v>67.858809470775611</c:v>
                </c:pt>
                <c:pt idx="41">
                  <c:v>67.058602163885638</c:v>
                </c:pt>
                <c:pt idx="42">
                  <c:v>66.258366236335902</c:v>
                </c:pt>
                <c:pt idx="43">
                  <c:v>65.457856606127422</c:v>
                </c:pt>
                <c:pt idx="44">
                  <c:v>64.657270718298662</c:v>
                </c:pt>
                <c:pt idx="45">
                  <c:v>63.856425720145367</c:v>
                </c:pt>
                <c:pt idx="46">
                  <c:v>63.055455449753772</c:v>
                </c:pt>
                <c:pt idx="47">
                  <c:v>62.254152171995386</c:v>
                </c:pt>
                <c:pt idx="48">
                  <c:v>61.452669356393926</c:v>
                </c:pt>
                <c:pt idx="49">
                  <c:v>60.650748696386984</c:v>
                </c:pt>
                <c:pt idx="50">
                  <c:v>59.848448753605112</c:v>
                </c:pt>
                <c:pt idx="51">
                  <c:v>59.04550372548168</c:v>
                </c:pt>
                <c:pt idx="52">
                  <c:v>58.242074715398374</c:v>
                </c:pt>
                <c:pt idx="53">
                  <c:v>57.438017588337836</c:v>
                </c:pt>
                <c:pt idx="54">
                  <c:v>56.633697650294614</c:v>
                </c:pt>
                <c:pt idx="55">
                  <c:v>55.827593156974046</c:v>
                </c:pt>
                <c:pt idx="56">
                  <c:v>55.020637323587735</c:v>
                </c:pt>
                <c:pt idx="57">
                  <c:v>54.212053789282777</c:v>
                </c:pt>
                <c:pt idx="58">
                  <c:v>53.402146641542686</c:v>
                </c:pt>
                <c:pt idx="59">
                  <c:v>52.589968044149408</c:v>
                </c:pt>
                <c:pt idx="60">
                  <c:v>51.775591676376315</c:v>
                </c:pt>
                <c:pt idx="61">
                  <c:v>50.958441496758752</c:v>
                </c:pt>
                <c:pt idx="62">
                  <c:v>50.137542754669731</c:v>
                </c:pt>
                <c:pt idx="63">
                  <c:v>49.313052691433953</c:v>
                </c:pt>
                <c:pt idx="64">
                  <c:v>48.483579190393975</c:v>
                </c:pt>
                <c:pt idx="65">
                  <c:v>47.648589038630639</c:v>
                </c:pt>
                <c:pt idx="66">
                  <c:v>46.807038010399907</c:v>
                </c:pt>
                <c:pt idx="67">
                  <c:v>45.957933868015701</c:v>
                </c:pt>
                <c:pt idx="68">
                  <c:v>45.099775154820072</c:v>
                </c:pt>
                <c:pt idx="69">
                  <c:v>44.231396846329496</c:v>
                </c:pt>
                <c:pt idx="70">
                  <c:v>43.351099906815264</c:v>
                </c:pt>
                <c:pt idx="71">
                  <c:v>42.457428738639479</c:v>
                </c:pt>
                <c:pt idx="72">
                  <c:v>41.548483880723346</c:v>
                </c:pt>
                <c:pt idx="73">
                  <c:v>40.622764448413385</c:v>
                </c:pt>
                <c:pt idx="74">
                  <c:v>39.678365184079261</c:v>
                </c:pt>
                <c:pt idx="75">
                  <c:v>38.713911571433478</c:v>
                </c:pt>
                <c:pt idx="76">
                  <c:v>37.727920113789303</c:v>
                </c:pt>
                <c:pt idx="77">
                  <c:v>36.719838969166673</c:v>
                </c:pt>
                <c:pt idx="78">
                  <c:v>35.689291292314934</c:v>
                </c:pt>
                <c:pt idx="79">
                  <c:v>34.637235829266217</c:v>
                </c:pt>
                <c:pt idx="80">
                  <c:v>33.562906752457437</c:v>
                </c:pt>
                <c:pt idx="81">
                  <c:v>32.469593580267428</c:v>
                </c:pt>
                <c:pt idx="82">
                  <c:v>31.359153858241505</c:v>
                </c:pt>
                <c:pt idx="83">
                  <c:v>30.235708344947767</c:v>
                </c:pt>
                <c:pt idx="84">
                  <c:v>29.102337739069682</c:v>
                </c:pt>
                <c:pt idx="85">
                  <c:v>27.964075096928479</c:v>
                </c:pt>
                <c:pt idx="86">
                  <c:v>26.825392460092612</c:v>
                </c:pt>
                <c:pt idx="87">
                  <c:v>25.690345464924029</c:v>
                </c:pt>
                <c:pt idx="88">
                  <c:v>24.56447481727221</c:v>
                </c:pt>
                <c:pt idx="89">
                  <c:v>23.450915165273216</c:v>
                </c:pt>
                <c:pt idx="90">
                  <c:v>22.353543958901327</c:v>
                </c:pt>
                <c:pt idx="91">
                  <c:v>21.274999937012446</c:v>
                </c:pt>
                <c:pt idx="92">
                  <c:v>20.217377392680035</c:v>
                </c:pt>
                <c:pt idx="93">
                  <c:v>19.181521791650635</c:v>
                </c:pt>
                <c:pt idx="94">
                  <c:v>18.926153040044305</c:v>
                </c:pt>
                <c:pt idx="95">
                  <c:v>18.798206881707912</c:v>
                </c:pt>
                <c:pt idx="96">
                  <c:v>18.672072929988143</c:v>
                </c:pt>
                <c:pt idx="97">
                  <c:v>18.544843397922634</c:v>
                </c:pt>
                <c:pt idx="98">
                  <c:v>18.419416572863035</c:v>
                </c:pt>
                <c:pt idx="99">
                  <c:v>18.292869238453001</c:v>
                </c:pt>
                <c:pt idx="100">
                  <c:v>18.168115458566703</c:v>
                </c:pt>
                <c:pt idx="101">
                  <c:v>18.042312950442188</c:v>
                </c:pt>
                <c:pt idx="102">
                  <c:v>17.918292469146884</c:v>
                </c:pt>
                <c:pt idx="103">
                  <c:v>17.793109234814231</c:v>
                </c:pt>
                <c:pt idx="104">
                  <c:v>17.669699432805203</c:v>
                </c:pt>
                <c:pt idx="105">
                  <c:v>17.545199784958953</c:v>
                </c:pt>
                <c:pt idx="106">
                  <c:v>17.422462580690329</c:v>
                </c:pt>
                <c:pt idx="107">
                  <c:v>17.298703764971002</c:v>
                </c:pt>
                <c:pt idx="108">
                  <c:v>17.176694223018046</c:v>
                </c:pt>
                <c:pt idx="109">
                  <c:v>17.053643682436061</c:v>
                </c:pt>
                <c:pt idx="110">
                  <c:v>16.932329605776079</c:v>
                </c:pt>
                <c:pt idx="111">
                  <c:v>16.809877046962075</c:v>
                </c:pt>
                <c:pt idx="112">
                  <c:v>16.689150696421219</c:v>
                </c:pt>
                <c:pt idx="113">
                  <c:v>16.567354842666113</c:v>
                </c:pt>
                <c:pt idx="114">
                  <c:v>16.44727277800477</c:v>
                </c:pt>
                <c:pt idx="115">
                  <c:v>16.326109355810459</c:v>
                </c:pt>
                <c:pt idx="116">
                  <c:v>16.206647481957646</c:v>
                </c:pt>
                <c:pt idx="117">
                  <c:v>16.086094546141091</c:v>
                </c:pt>
                <c:pt idx="118">
                  <c:v>15.967231048963042</c:v>
                </c:pt>
                <c:pt idx="119">
                  <c:v>15.847340953347022</c:v>
                </c:pt>
                <c:pt idx="120">
                  <c:v>15.729126271437943</c:v>
                </c:pt>
                <c:pt idx="121">
                  <c:v>15.609875081052074</c:v>
                </c:pt>
                <c:pt idx="122">
                  <c:v>15.492285509760386</c:v>
                </c:pt>
                <c:pt idx="123">
                  <c:v>15.37358311996627</c:v>
                </c:pt>
                <c:pt idx="124">
                  <c:v>15.256530630500533</c:v>
                </c:pt>
                <c:pt idx="125">
                  <c:v>15.138429091673638</c:v>
                </c:pt>
                <c:pt idx="126">
                  <c:v>15.021963899693953</c:v>
                </c:pt>
                <c:pt idx="127">
                  <c:v>14.904444802698457</c:v>
                </c:pt>
                <c:pt idx="128">
                  <c:v>14.788548632745984</c:v>
                </c:pt>
                <c:pt idx="129">
                  <c:v>14.671595140135329</c:v>
                </c:pt>
                <c:pt idx="130">
                  <c:v>14.556251264066475</c:v>
                </c:pt>
                <c:pt idx="131">
                  <c:v>14.43984796587312</c:v>
                </c:pt>
                <c:pt idx="132">
                  <c:v>14.382247656627356</c:v>
                </c:pt>
                <c:pt idx="133">
                  <c:v>14.325041062669893</c:v>
                </c:pt>
                <c:pt idx="134">
                  <c:v>14.266876943442707</c:v>
                </c:pt>
                <c:pt idx="135">
                  <c:v>14.209114439460384</c:v>
                </c:pt>
                <c:pt idx="136">
                  <c:v>14.151748124273331</c:v>
                </c:pt>
                <c:pt idx="137">
                  <c:v>14.094772675004936</c:v>
                </c:pt>
                <c:pt idx="138">
                  <c:v>14.036902502132119</c:v>
                </c:pt>
                <c:pt idx="139">
                  <c:v>13.979430204970399</c:v>
                </c:pt>
                <c:pt idx="140">
                  <c:v>13.922350410090802</c:v>
                </c:pt>
                <c:pt idx="141">
                  <c:v>13.865657846911308</c:v>
                </c:pt>
                <c:pt idx="142">
                  <c:v>13.808016626304854</c:v>
                </c:pt>
                <c:pt idx="143">
                  <c:v>13.750770361975722</c:v>
                </c:pt>
                <c:pt idx="144">
                  <c:v>13.69391371848312</c:v>
                </c:pt>
                <c:pt idx="145">
                  <c:v>13.637441462855699</c:v>
                </c:pt>
                <c:pt idx="146">
                  <c:v>13.580053570982669</c:v>
                </c:pt>
                <c:pt idx="147">
                  <c:v>13.523057315842186</c:v>
                </c:pt>
                <c:pt idx="148">
                  <c:v>13.466447409514879</c:v>
                </c:pt>
                <c:pt idx="149">
                  <c:v>13.410218665897244</c:v>
                </c:pt>
                <c:pt idx="150">
                  <c:v>13.353079015313069</c:v>
                </c:pt>
                <c:pt idx="151">
                  <c:v>13.296327690122604</c:v>
                </c:pt>
                <c:pt idx="152">
                  <c:v>13.239959451152551</c:v>
                </c:pt>
                <c:pt idx="153">
                  <c:v>13.183969160327365</c:v>
                </c:pt>
                <c:pt idx="154">
                  <c:v>13.127046969996179</c:v>
                </c:pt>
                <c:pt idx="155">
                  <c:v>13.07051015294681</c:v>
                </c:pt>
                <c:pt idx="156">
                  <c:v>13.014353512827883</c:v>
                </c:pt>
                <c:pt idx="157">
                  <c:v>12.958571953787644</c:v>
                </c:pt>
                <c:pt idx="158">
                  <c:v>12.901864979648662</c:v>
                </c:pt>
                <c:pt idx="159">
                  <c:v>12.845540402317797</c:v>
                </c:pt>
                <c:pt idx="160">
                  <c:v>12.789593070009527</c:v>
                </c:pt>
                <c:pt idx="161">
                  <c:v>12.734017930764121</c:v>
                </c:pt>
                <c:pt idx="162">
                  <c:v>12.677548857147949</c:v>
                </c:pt>
                <c:pt idx="163">
                  <c:v>12.621458850198518</c:v>
                </c:pt>
                <c:pt idx="164">
                  <c:v>12.565742810995991</c:v>
                </c:pt>
                <c:pt idx="165">
                  <c:v>12.510395739528061</c:v>
                </c:pt>
                <c:pt idx="166">
                  <c:v>12.454112596250983</c:v>
                </c:pt>
                <c:pt idx="167">
                  <c:v>12.398205839169133</c:v>
                </c:pt>
                <c:pt idx="168">
                  <c:v>12.34267041027449</c:v>
                </c:pt>
                <c:pt idx="169">
                  <c:v>12.287501349827037</c:v>
                </c:pt>
                <c:pt idx="170">
                  <c:v>12.23152159275805</c:v>
                </c:pt>
                <c:pt idx="171">
                  <c:v>12.175913939140607</c:v>
                </c:pt>
                <c:pt idx="172">
                  <c:v>12.120673405056353</c:v>
                </c:pt>
                <c:pt idx="173">
                  <c:v>12.065795103330132</c:v>
                </c:pt>
                <c:pt idx="174">
                  <c:v>12.009904343538125</c:v>
                </c:pt>
                <c:pt idx="175">
                  <c:v>11.95438420886212</c:v>
                </c:pt>
                <c:pt idx="176">
                  <c:v>11.899229734244843</c:v>
                </c:pt>
                <c:pt idx="177">
                  <c:v>11.844436051246095</c:v>
                </c:pt>
                <c:pt idx="178">
                  <c:v>11.7886641994206</c:v>
                </c:pt>
                <c:pt idx="179">
                  <c:v>11.733261054559224</c:v>
                </c:pt>
                <c:pt idx="180">
                  <c:v>11.678221680204759</c:v>
                </c:pt>
                <c:pt idx="181">
                  <c:v>11.623541236114765</c:v>
                </c:pt>
                <c:pt idx="182">
                  <c:v>11.568132031204021</c:v>
                </c:pt>
                <c:pt idx="183">
                  <c:v>11.513086380539532</c:v>
                </c:pt>
                <c:pt idx="184">
                  <c:v>11.458399441706611</c:v>
                </c:pt>
                <c:pt idx="185">
                  <c:v>11.404066466384432</c:v>
                </c:pt>
                <c:pt idx="186">
                  <c:v>11.348605775661802</c:v>
                </c:pt>
                <c:pt idx="187">
                  <c:v>11.293508880817519</c:v>
                </c:pt>
                <c:pt idx="188">
                  <c:v>11.238770926667856</c:v>
                </c:pt>
                <c:pt idx="189">
                  <c:v>11.184387152741257</c:v>
                </c:pt>
                <c:pt idx="190">
                  <c:v>11.129325071275527</c:v>
                </c:pt>
                <c:pt idx="191">
                  <c:v>11.07462112527082</c:v>
                </c:pt>
                <c:pt idx="192">
                  <c:v>11.020270564991804</c:v>
                </c:pt>
                <c:pt idx="193">
                  <c:v>10.966268732952303</c:v>
                </c:pt>
                <c:pt idx="194">
                  <c:v>10.911208895027524</c:v>
                </c:pt>
                <c:pt idx="195">
                  <c:v>10.856506660322967</c:v>
                </c:pt>
                <c:pt idx="196">
                  <c:v>10.802157283307434</c:v>
                </c:pt>
                <c:pt idx="197">
                  <c:v>10.748156110832053</c:v>
                </c:pt>
                <c:pt idx="198">
                  <c:v>10.693327408353943</c:v>
                </c:pt>
                <c:pt idx="199">
                  <c:v>10.638852787657187</c:v>
                </c:pt>
                <c:pt idx="200">
                  <c:v>10.584727567276706</c:v>
                </c:pt>
                <c:pt idx="201">
                  <c:v>10.530947156695447</c:v>
                </c:pt>
                <c:pt idx="202">
                  <c:v>10.476365600572873</c:v>
                </c:pt>
                <c:pt idx="203">
                  <c:v>10.422134389171731</c:v>
                </c:pt>
                <c:pt idx="204">
                  <c:v>10.368248909753282</c:v>
                </c:pt>
                <c:pt idx="205">
                  <c:v>10.314704638954396</c:v>
                </c:pt>
                <c:pt idx="206">
                  <c:v>10.260199044334877</c:v>
                </c:pt>
                <c:pt idx="207">
                  <c:v>10.206042231988192</c:v>
                </c:pt>
                <c:pt idx="208">
                  <c:v>10.152229615519371</c:v>
                </c:pt>
                <c:pt idx="209">
                  <c:v>10.098756697411059</c:v>
                </c:pt>
                <c:pt idx="210">
                  <c:v>10.044172871060358</c:v>
                </c:pt>
                <c:pt idx="211">
                  <c:v>9.9899382024275241</c:v>
                </c:pt>
                <c:pt idx="212">
                  <c:v>9.936048093836634</c:v>
                </c:pt>
                <c:pt idx="213">
                  <c:v>9.8824980369448028</c:v>
                </c:pt>
                <c:pt idx="214">
                  <c:v>9.8282262398072788</c:v>
                </c:pt>
                <c:pt idx="215">
                  <c:v>9.7742989873295603</c:v>
                </c:pt>
                <c:pt idx="216">
                  <c:v>9.7207117689785871</c:v>
                </c:pt>
                <c:pt idx="217">
                  <c:v>9.6674601614565354</c:v>
                </c:pt>
                <c:pt idx="218">
                  <c:v>9.6133370031333971</c:v>
                </c:pt>
                <c:pt idx="219">
                  <c:v>9.5595558446768649</c:v>
                </c:pt>
                <c:pt idx="220">
                  <c:v>9.5061122223424892</c:v>
                </c:pt>
                <c:pt idx="221">
                  <c:v>9.4530017585493695</c:v>
                </c:pt>
                <c:pt idx="222">
                  <c:v>9.3990472147675757</c:v>
                </c:pt>
                <c:pt idx="223">
                  <c:v>9.345431863703821</c:v>
                </c:pt>
                <c:pt idx="224">
                  <c:v>9.2921512937494306</c:v>
                </c:pt>
                <c:pt idx="225">
                  <c:v>9.2392011782377779</c:v>
                </c:pt>
                <c:pt idx="226">
                  <c:v>9.1852699042950761</c:v>
                </c:pt>
                <c:pt idx="227">
                  <c:v>9.1316768224468277</c:v>
                </c:pt>
                <c:pt idx="228">
                  <c:v>9.0784175383282033</c:v>
                </c:pt>
                <c:pt idx="229">
                  <c:v>9.0254877421753683</c:v>
                </c:pt>
                <c:pt idx="230">
                  <c:v>8.9180652429699077</c:v>
                </c:pt>
                <c:pt idx="231">
                  <c:v>8.8648548473224693</c:v>
                </c:pt>
                <c:pt idx="232">
                  <c:v>8.8119726122877573</c:v>
                </c:pt>
                <c:pt idx="233">
                  <c:v>8.758170562546189</c:v>
                </c:pt>
                <c:pt idx="234">
                  <c:v>8.7047036100795339</c:v>
                </c:pt>
                <c:pt idx="235">
                  <c:v>8.6515674169699199</c:v>
                </c:pt>
                <c:pt idx="236">
                  <c:v>8.5987577286205568</c:v>
                </c:pt>
                <c:pt idx="237">
                  <c:v>8.5452087184910486</c:v>
                </c:pt>
                <c:pt idx="238">
                  <c:v>8.4919909051625062</c:v>
                </c:pt>
                <c:pt idx="239">
                  <c:v>8.4391000245820766</c:v>
                </c:pt>
                <c:pt idx="240">
                  <c:v>8.3865318942002745</c:v>
                </c:pt>
                <c:pt idx="241">
                  <c:v>8.3329506285996899</c:v>
                </c:pt>
                <c:pt idx="242">
                  <c:v>8.2797001718808954</c:v>
                </c:pt>
                <c:pt idx="243">
                  <c:v>8.226776266221826</c:v>
                </c:pt>
                <c:pt idx="244">
                  <c:v>8.1741747351980525</c:v>
                </c:pt>
                <c:pt idx="245">
                  <c:v>8.1207364240203876</c:v>
                </c:pt>
                <c:pt idx="246">
                  <c:v>8.0676263614626578</c:v>
                </c:pt>
                <c:pt idx="247">
                  <c:v>8.0148403377971711</c:v>
                </c:pt>
                <c:pt idx="248">
                  <c:v>7.9623742235167194</c:v>
                </c:pt>
                <c:pt idx="249">
                  <c:v>7.9089559220633907</c:v>
                </c:pt>
                <c:pt idx="250">
                  <c:v>7.8558648025433842</c:v>
                </c:pt>
                <c:pt idx="251">
                  <c:v>7.8030966746990575</c:v>
                </c:pt>
                <c:pt idx="252">
                  <c:v>7.7506474280342399</c:v>
                </c:pt>
                <c:pt idx="253">
                  <c:v>7.6974130296042063</c:v>
                </c:pt>
                <c:pt idx="254">
                  <c:v>7.6445027351594241</c:v>
                </c:pt>
                <c:pt idx="255">
                  <c:v>7.5919124123688766</c:v>
                </c:pt>
                <c:pt idx="256">
                  <c:v>7.5396380072260873</c:v>
                </c:pt>
                <c:pt idx="257">
                  <c:v>7.4863334744004177</c:v>
                </c:pt>
                <c:pt idx="258">
                  <c:v>7.4333530405264447</c:v>
                </c:pt>
                <c:pt idx="259">
                  <c:v>7.3806925725426398</c:v>
                </c:pt>
                <c:pt idx="260">
                  <c:v>7.3283480157483982</c:v>
                </c:pt>
                <c:pt idx="261">
                  <c:v>7.2751364267269807</c:v>
                </c:pt>
                <c:pt idx="262">
                  <c:v>7.222246935583688</c:v>
                </c:pt>
                <c:pt idx="263">
                  <c:v>7.1696754465572088</c:v>
                </c:pt>
                <c:pt idx="264">
                  <c:v>7.1174179413197365</c:v>
                </c:pt>
                <c:pt idx="265">
                  <c:v>7.0643195806377799</c:v>
                </c:pt>
                <c:pt idx="266">
                  <c:v>7.0115410618201697</c:v>
                </c:pt>
                <c:pt idx="267">
                  <c:v>6.9590783311336359</c:v>
                </c:pt>
                <c:pt idx="268">
                  <c:v>6.9069274112290868</c:v>
                </c:pt>
                <c:pt idx="269">
                  <c:v>6.8538359289751565</c:v>
                </c:pt>
                <c:pt idx="270">
                  <c:v>6.8010632957318347</c:v>
                </c:pt>
                <c:pt idx="271">
                  <c:v>6.7486054757518268</c:v>
                </c:pt>
                <c:pt idx="272">
                  <c:v>6.6964585092213555</c:v>
                </c:pt>
                <c:pt idx="273">
                  <c:v>6.6433995429694273</c:v>
                </c:pt>
                <c:pt idx="274">
                  <c:v>6.5906581061291645</c:v>
                </c:pt>
                <c:pt idx="275">
                  <c:v>6.5382301870411208</c:v>
                </c:pt>
                <c:pt idx="276">
                  <c:v>6.4861118493721603</c:v>
                </c:pt>
                <c:pt idx="277">
                  <c:v>6.4332279834808297</c:v>
                </c:pt>
                <c:pt idx="278">
                  <c:v>6.3806586161599244</c:v>
                </c:pt>
                <c:pt idx="279">
                  <c:v>6.3283997919513491</c:v>
                </c:pt>
                <c:pt idx="280">
                  <c:v>6.2764476293142826</c:v>
                </c:pt>
                <c:pt idx="281">
                  <c:v>6.2234034180435138</c:v>
                </c:pt>
                <c:pt idx="282">
                  <c:v>6.1706746384781921</c:v>
                </c:pt>
                <c:pt idx="283">
                  <c:v>6.1182573165828105</c:v>
                </c:pt>
                <c:pt idx="284">
                  <c:v>6.066147552687351</c:v>
                </c:pt>
                <c:pt idx="285">
                  <c:v>6.0133198226464293</c:v>
                </c:pt>
                <c:pt idx="286">
                  <c:v>5.9608039752113751</c:v>
                </c:pt>
                <c:pt idx="287">
                  <c:v>5.9085961019101951</c:v>
                </c:pt>
                <c:pt idx="288">
                  <c:v>5.8566923669934559</c:v>
                </c:pt>
                <c:pt idx="289">
                  <c:v>5.8037583872850433</c:v>
                </c:pt>
                <c:pt idx="290">
                  <c:v>5.7511365300116033</c:v>
                </c:pt>
                <c:pt idx="291">
                  <c:v>5.6988228809667945</c:v>
                </c:pt>
                <c:pt idx="292">
                  <c:v>5.646813598789068</c:v>
                </c:pt>
                <c:pt idx="293">
                  <c:v>5.5939134884489725</c:v>
                </c:pt>
                <c:pt idx="294">
                  <c:v>5.5413240658442087</c:v>
                </c:pt>
                <c:pt idx="295">
                  <c:v>5.489041442262506</c:v>
                </c:pt>
                <c:pt idx="296">
                  <c:v>5.4370618011845897</c:v>
                </c:pt>
                <c:pt idx="297">
                  <c:v>5.3842175043381468</c:v>
                </c:pt>
                <c:pt idx="298">
                  <c:v>5.3316821832182759</c:v>
                </c:pt>
                <c:pt idx="299">
                  <c:v>5.2794519795826114</c:v>
                </c:pt>
                <c:pt idx="300">
                  <c:v>5.227523106607209</c:v>
                </c:pt>
                <c:pt idx="301">
                  <c:v>5.1747547292306608</c:v>
                </c:pt>
                <c:pt idx="302">
                  <c:v>5.1222933627826839</c:v>
                </c:pt>
                <c:pt idx="303">
                  <c:v>5.0701351839628668</c:v>
                </c:pt>
                <c:pt idx="304">
                  <c:v>5.0182764400057822</c:v>
                </c:pt>
                <c:pt idx="305">
                  <c:v>4.9654003550411989</c:v>
                </c:pt>
                <c:pt idx="306">
                  <c:v>4.912831421125369</c:v>
                </c:pt>
                <c:pt idx="307">
                  <c:v>4.8605658104691809</c:v>
                </c:pt>
                <c:pt idx="308">
                  <c:v>4.8085997659023763</c:v>
                </c:pt>
                <c:pt idx="309">
                  <c:v>4.7558439210268419</c:v>
                </c:pt>
                <c:pt idx="310">
                  <c:v>4.7033927014188652</c:v>
                </c:pt>
                <c:pt idx="311">
                  <c:v>4.6512423242031211</c:v>
                </c:pt>
                <c:pt idx="312">
                  <c:v>4.5993890759971814</c:v>
                </c:pt>
                <c:pt idx="313">
                  <c:v>4.5465753920263978</c:v>
                </c:pt>
                <c:pt idx="314">
                  <c:v>4.4940658356715879</c:v>
                </c:pt>
                <c:pt idx="315">
                  <c:v>4.4418566310291254</c:v>
                </c:pt>
                <c:pt idx="316">
                  <c:v>4.3899440714909259</c:v>
                </c:pt>
                <c:pt idx="317">
                  <c:v>4.3370990227766848</c:v>
                </c:pt>
                <c:pt idx="318">
                  <c:v>4.284557265653131</c:v>
                </c:pt>
                <c:pt idx="319">
                  <c:v>4.2323150372436134</c:v>
                </c:pt>
                <c:pt idx="320">
                  <c:v>4.1803686436222698</c:v>
                </c:pt>
                <c:pt idx="321">
                  <c:v>4.1275166460903181</c:v>
                </c:pt>
                <c:pt idx="322">
                  <c:v>4.0749667915876584</c:v>
                </c:pt>
                <c:pt idx="323">
                  <c:v>4.0227153358202861</c:v>
                </c:pt>
                <c:pt idx="324">
                  <c:v>3.970758602965911</c:v>
                </c:pt>
                <c:pt idx="325">
                  <c:v>3.9179221207998811</c:v>
                </c:pt>
                <c:pt idx="326">
                  <c:v>3.8653863453996555</c:v>
                </c:pt>
                <c:pt idx="327">
                  <c:v>3.8131475561247101</c:v>
                </c:pt>
                <c:pt idx="328">
                  <c:v>3.7612021002056939</c:v>
                </c:pt>
                <c:pt idx="329">
                  <c:v>3.7083137068811256</c:v>
                </c:pt>
                <c:pt idx="330">
                  <c:v>3.6557253147451396</c:v>
                </c:pt>
                <c:pt idx="331">
                  <c:v>3.603433213030546</c:v>
                </c:pt>
                <c:pt idx="332">
                  <c:v>3.5514337585767959</c:v>
                </c:pt>
                <c:pt idx="333">
                  <c:v>3.4986042906295687</c:v>
                </c:pt>
                <c:pt idx="334">
                  <c:v>3.4460728306345279</c:v>
                </c:pt>
                <c:pt idx="335">
                  <c:v>3.3938357012299658</c:v>
                </c:pt>
                <c:pt idx="336">
                  <c:v>3.3418892918291125</c:v>
                </c:pt>
                <c:pt idx="337">
                  <c:v>3.2889674752147853</c:v>
                </c:pt>
                <c:pt idx="338">
                  <c:v>3.2363433398044821</c:v>
                </c:pt>
                <c:pt idx="339">
                  <c:v>3.1840132106021968</c:v>
                </c:pt>
                <c:pt idx="340">
                  <c:v>3.1319734793072849</c:v>
                </c:pt>
                <c:pt idx="341">
                  <c:v>3.0789859800948403</c:v>
                </c:pt>
                <c:pt idx="342">
                  <c:v>3.026295490470102</c:v>
                </c:pt>
                <c:pt idx="343">
                  <c:v>2.9738983439008693</c:v>
                </c:pt>
                <c:pt idx="344">
                  <c:v>2.9217909403254252</c:v>
                </c:pt>
                <c:pt idx="345">
                  <c:v>2.8688428498362266</c:v>
                </c:pt>
                <c:pt idx="346">
                  <c:v>2.8161898827960172</c:v>
                </c:pt>
                <c:pt idx="347">
                  <c:v>2.7638284032671017</c:v>
                </c:pt>
                <c:pt idx="348">
                  <c:v>2.7117548410273509</c:v>
                </c:pt>
                <c:pt idx="349">
                  <c:v>2.6587060638365196</c:v>
                </c:pt>
                <c:pt idx="350">
                  <c:v>2.6059520401939902</c:v>
                </c:pt>
                <c:pt idx="351">
                  <c:v>2.5534891365310797</c:v>
                </c:pt>
                <c:pt idx="352">
                  <c:v>2.5013137849213338</c:v>
                </c:pt>
                <c:pt idx="353">
                  <c:v>2.4481904079006989</c:v>
                </c:pt>
                <c:pt idx="354">
                  <c:v>2.3953610742175759</c:v>
                </c:pt>
                <c:pt idx="355">
                  <c:v>2.3428221586673503</c:v>
                </c:pt>
                <c:pt idx="356">
                  <c:v>2.2905701014728859</c:v>
                </c:pt>
                <c:pt idx="357">
                  <c:v>2.2374714987522952</c:v>
                </c:pt>
                <c:pt idx="358">
                  <c:v>2.1846650869392708</c:v>
                </c:pt>
                <c:pt idx="359">
                  <c:v>2.1321472699622386</c:v>
                </c:pt>
                <c:pt idx="360">
                  <c:v>2.0799145164679986</c:v>
                </c:pt>
                <c:pt idx="361">
                  <c:v>2.0267105299052974</c:v>
                </c:pt>
                <c:pt idx="362">
                  <c:v>1.9737982638162033</c:v>
                </c:pt>
                <c:pt idx="363">
                  <c:v>1.9211741255395189</c:v>
                </c:pt>
                <c:pt idx="364">
                  <c:v>1.8688345870427598</c:v>
                </c:pt>
                <c:pt idx="365">
                  <c:v>1.8156224969311969</c:v>
                </c:pt>
                <c:pt idx="366">
                  <c:v>1.7627005409953014</c:v>
                </c:pt>
                <c:pt idx="367">
                  <c:v>1.7100651502523025</c:v>
                </c:pt>
                <c:pt idx="368">
                  <c:v>1.6577128197777478</c:v>
                </c:pt>
                <c:pt idx="369">
                  <c:v>1.6043700639075937</c:v>
                </c:pt>
                <c:pt idx="370">
                  <c:v>1.5513171356297828</c:v>
                </c:pt>
                <c:pt idx="371">
                  <c:v>1.4985504658187381</c:v>
                </c:pt>
                <c:pt idx="372">
                  <c:v>1.4460665494093337</c:v>
                </c:pt>
                <c:pt idx="373">
                  <c:v>1.3926881102869084</c:v>
                </c:pt>
                <c:pt idx="374">
                  <c:v>1.3395981045180791</c:v>
                </c:pt>
                <c:pt idx="375">
                  <c:v>1.2867929825862947</c:v>
                </c:pt>
                <c:pt idx="376">
                  <c:v>1.234269258570476</c:v>
                </c:pt>
                <c:pt idx="377">
                  <c:v>1.1807394806101721</c:v>
                </c:pt>
                <c:pt idx="378">
                  <c:v>1.1274979289684914</c:v>
                </c:pt>
                <c:pt idx="379">
                  <c:v>1.0745410516159122</c:v>
                </c:pt>
                <c:pt idx="380">
                  <c:v>1.0218653601848462</c:v>
                </c:pt>
                <c:pt idx="381">
                  <c:v>0.9683429058603743</c:v>
                </c:pt>
                <c:pt idx="382">
                  <c:v>0.91510670748074829</c:v>
                </c:pt>
                <c:pt idx="383">
                  <c:v>0.86215324271917004</c:v>
                </c:pt>
                <c:pt idx="384">
                  <c:v>0.80947905221485694</c:v>
                </c:pt>
                <c:pt idx="385">
                  <c:v>0.75578561747203543</c:v>
                </c:pt>
                <c:pt idx="386">
                  <c:v>0.7023783115434068</c:v>
                </c:pt>
                <c:pt idx="387">
                  <c:v>0.64925360761646511</c:v>
                </c:pt>
                <c:pt idx="388">
                  <c:v>0.59640804196680497</c:v>
                </c:pt>
                <c:pt idx="389">
                  <c:v>0.54263365493233517</c:v>
                </c:pt>
                <c:pt idx="390">
                  <c:v>0.48914424276281515</c:v>
                </c:pt>
                <c:pt idx="391">
                  <c:v>0.43593629282559337</c:v>
                </c:pt>
                <c:pt idx="392">
                  <c:v>0.38300635525946813</c:v>
                </c:pt>
                <c:pt idx="393">
                  <c:v>0.32917160256404282</c:v>
                </c:pt>
                <c:pt idx="394">
                  <c:v>0.2756203904046664</c:v>
                </c:pt>
                <c:pt idx="395">
                  <c:v>0.22234922527010134</c:v>
                </c:pt>
                <c:pt idx="396">
                  <c:v>0.16935467599205137</c:v>
                </c:pt>
                <c:pt idx="397">
                  <c:v>0.11535680259415962</c:v>
                </c:pt>
                <c:pt idx="398">
                  <c:v>6.1642046356384456E-2</c:v>
                </c:pt>
                <c:pt idx="399">
                  <c:v>8.2069140353326544E-3</c:v>
                </c:pt>
                <c:pt idx="400">
                  <c:v>-4.4952025244939145E-2</c:v>
                </c:pt>
                <c:pt idx="401">
                  <c:v>-9.9028836076645518E-2</c:v>
                </c:pt>
                <c:pt idx="402">
                  <c:v>-0.15282390660537035</c:v>
                </c:pt>
                <c:pt idx="403">
                  <c:v>-0.20634071243151311</c:v>
                </c:pt>
                <c:pt idx="404">
                  <c:v>-0.25958266716989309</c:v>
                </c:pt>
                <c:pt idx="405">
                  <c:v>-0.31377772297218565</c:v>
                </c:pt>
                <c:pt idx="406">
                  <c:v>-0.36769207631686962</c:v>
                </c:pt>
                <c:pt idx="407">
                  <c:v>-0.42132919160094295</c:v>
                </c:pt>
                <c:pt idx="408">
                  <c:v>-0.47469247145881244</c:v>
                </c:pt>
                <c:pt idx="409">
                  <c:v>-0.52904202230983366</c:v>
                </c:pt>
                <c:pt idx="410">
                  <c:v>-0.58311161055952476</c:v>
                </c:pt>
                <c:pt idx="411">
                  <c:v>-0.63690469507963698</c:v>
                </c:pt>
                <c:pt idx="412">
                  <c:v>-0.69042467306133437</c:v>
                </c:pt>
                <c:pt idx="413">
                  <c:v>-0.74490617051826247</c:v>
                </c:pt>
                <c:pt idx="414">
                  <c:v>-0.79910875613357413</c:v>
                </c:pt>
                <c:pt idx="415">
                  <c:v>-0.8530358776711443</c:v>
                </c:pt>
                <c:pt idx="416">
                  <c:v>-0.90669092142182772</c:v>
                </c:pt>
                <c:pt idx="417">
                  <c:v>-0.96133853900889599</c:v>
                </c:pt>
                <c:pt idx="418">
                  <c:v>-1.0157080268715701</c:v>
                </c:pt>
                <c:pt idx="419">
                  <c:v>-1.0698028267706934</c:v>
                </c:pt>
                <c:pt idx="420">
                  <c:v>-1.1236263190736575</c:v>
                </c:pt>
                <c:pt idx="421">
                  <c:v>-1.1783641509866543</c:v>
                </c:pt>
                <c:pt idx="422">
                  <c:v>-1.2328254841745032</c:v>
                </c:pt>
                <c:pt idx="423">
                  <c:v>-1.2870137387996203</c:v>
                </c:pt>
                <c:pt idx="424">
                  <c:v>-1.3409322740729461</c:v>
                </c:pt>
                <c:pt idx="425">
                  <c:v>-1.3959012389255243</c:v>
                </c:pt>
                <c:pt idx="426">
                  <c:v>-1.4505939973431126</c:v>
                </c:pt>
                <c:pt idx="427">
                  <c:v>-1.5050139727531473</c:v>
                </c:pt>
                <c:pt idx="428">
                  <c:v>-1.5591645274764987</c:v>
                </c:pt>
                <c:pt idx="429">
                  <c:v>-1.6142881441872521</c:v>
                </c:pt>
                <c:pt idx="430">
                  <c:v>-1.6691367038394493</c:v>
                </c:pt>
                <c:pt idx="431">
                  <c:v>-1.7237136173223457</c:v>
                </c:pt>
                <c:pt idx="432">
                  <c:v>-1.7780222346302363</c:v>
                </c:pt>
                <c:pt idx="433">
                  <c:v>-1.8332807024352882</c:v>
                </c:pt>
                <c:pt idx="434">
                  <c:v>-1.8882655410838323</c:v>
                </c:pt>
                <c:pt idx="435">
                  <c:v>-1.9429801437826151</c:v>
                </c:pt>
                <c:pt idx="436">
                  <c:v>-1.9974278431689063</c:v>
                </c:pt>
                <c:pt idx="437">
                  <c:v>-2.0529023679958378</c:v>
                </c:pt>
                <c:pt idx="438">
                  <c:v>-2.1081039749113732</c:v>
                </c:pt>
                <c:pt idx="439">
                  <c:v>-2.1630360527251016</c:v>
                </c:pt>
                <c:pt idx="440">
                  <c:v>-2.2177019296787313</c:v>
                </c:pt>
                <c:pt idx="441">
                  <c:v>-2.2733703526066047</c:v>
                </c:pt>
                <c:pt idx="442">
                  <c:v>-2.3287668787715856</c:v>
                </c:pt>
                <c:pt idx="443">
                  <c:v>-2.383894886799947</c:v>
                </c:pt>
                <c:pt idx="444">
                  <c:v>-2.438757694880044</c:v>
                </c:pt>
                <c:pt idx="445">
                  <c:v>-2.4945997265402777</c:v>
                </c:pt>
                <c:pt idx="446">
                  <c:v>-2.5501711681379917</c:v>
                </c:pt>
                <c:pt idx="447">
                  <c:v>-2.6054753827258099</c:v>
                </c:pt>
                <c:pt idx="448">
                  <c:v>-2.6605156731674944</c:v>
                </c:pt>
                <c:pt idx="449">
                  <c:v>-2.7166064428837453</c:v>
                </c:pt>
                <c:pt idx="450">
                  <c:v>-2.7724272939794243</c:v>
                </c:pt>
                <c:pt idx="451">
                  <c:v>-2.8279815856206145</c:v>
                </c:pt>
                <c:pt idx="452">
                  <c:v>-2.8832726167458778</c:v>
                </c:pt>
                <c:pt idx="453">
                  <c:v>-2.9395440270061597</c:v>
                </c:pt>
                <c:pt idx="454">
                  <c:v>-2.9955469366109631</c:v>
                </c:pt>
                <c:pt idx="455">
                  <c:v>-3.051284686784308</c:v>
                </c:pt>
                <c:pt idx="456">
                  <c:v>-3.1067605588091234</c:v>
                </c:pt>
                <c:pt idx="457">
                  <c:v>-3.1632850516919979</c:v>
                </c:pt>
                <c:pt idx="458">
                  <c:v>-3.2195418622158298</c:v>
                </c:pt>
                <c:pt idx="459">
                  <c:v>-3.2755343246019892</c:v>
                </c:pt>
                <c:pt idx="460">
                  <c:v>-3.3312657131462888</c:v>
                </c:pt>
                <c:pt idx="461">
                  <c:v>-3.3880221680744151</c:v>
                </c:pt>
                <c:pt idx="462">
                  <c:v>-3.4445120537373946</c:v>
                </c:pt>
                <c:pt idx="463">
                  <c:v>-3.5007386915963479</c:v>
                </c:pt>
                <c:pt idx="464">
                  <c:v>-3.5567053433294609</c:v>
                </c:pt>
                <c:pt idx="465">
                  <c:v>-3.6137178581294096</c:v>
                </c:pt>
                <c:pt idx="466">
                  <c:v>-3.6704647840684439</c:v>
                </c:pt>
                <c:pt idx="467">
                  <c:v>-3.7269494319921597</c:v>
                </c:pt>
                <c:pt idx="468">
                  <c:v>-3.7831750530439994</c:v>
                </c:pt>
                <c:pt idx="469">
                  <c:v>-3.8404236192873786</c:v>
                </c:pt>
                <c:pt idx="470">
                  <c:v>-3.8974078550696016</c:v>
                </c:pt>
                <c:pt idx="471">
                  <c:v>-3.9541310550513358</c:v>
                </c:pt>
                <c:pt idx="472">
                  <c:v>-4.0105964543948254</c:v>
                </c:pt>
                <c:pt idx="473">
                  <c:v>-4.0681464899867006</c:v>
                </c:pt>
                <c:pt idx="474">
                  <c:v>-4.1254329438764596</c:v>
                </c:pt>
                <c:pt idx="475">
                  <c:v>-4.1824591035905438</c:v>
                </c:pt>
                <c:pt idx="476">
                  <c:v>-4.2392281971323929</c:v>
                </c:pt>
                <c:pt idx="477">
                  <c:v>-4.2970585282894955</c:v>
                </c:pt>
                <c:pt idx="478">
                  <c:v>-4.3546263165264918</c:v>
                </c:pt>
                <c:pt idx="479">
                  <c:v>-4.4119348363137103</c:v>
                </c:pt>
                <c:pt idx="480">
                  <c:v>-4.4689873027051732</c:v>
                </c:pt>
                <c:pt idx="481">
                  <c:v>-4.5270785265853322</c:v>
                </c:pt>
                <c:pt idx="482">
                  <c:v>-4.5849085109338503</c:v>
                </c:pt>
                <c:pt idx="483">
                  <c:v>-4.6424805116438508</c:v>
                </c:pt>
                <c:pt idx="484">
                  <c:v>-4.699797725421381</c:v>
                </c:pt>
                <c:pt idx="485">
                  <c:v>-4.7581717530616263</c:v>
                </c:pt>
                <c:pt idx="486">
                  <c:v>-4.8162857326907602</c:v>
                </c:pt>
                <c:pt idx="487">
                  <c:v>-4.8741429030520589</c:v>
                </c:pt>
                <c:pt idx="488">
                  <c:v>-4.9317464438860723</c:v>
                </c:pt>
                <c:pt idx="489">
                  <c:v>-4.9904629252620287</c:v>
                </c:pt>
                <c:pt idx="490">
                  <c:v>-5.0489201092183507</c:v>
                </c:pt>
                <c:pt idx="491">
                  <c:v>-5.1071212248258524</c:v>
                </c:pt>
                <c:pt idx="492">
                  <c:v>-5.1650694421449721</c:v>
                </c:pt>
                <c:pt idx="493">
                  <c:v>-5.2241076403466362</c:v>
                </c:pt>
                <c:pt idx="494">
                  <c:v>-5.2828875652845708</c:v>
                </c:pt>
                <c:pt idx="495">
                  <c:v>-5.3414124304484121</c:v>
                </c:pt>
                <c:pt idx="496">
                  <c:v>-5.3996853904422517</c:v>
                </c:pt>
                <c:pt idx="497">
                  <c:v>-5.4590638790054014</c:v>
                </c:pt>
                <c:pt idx="498">
                  <c:v>-5.5181850415969684</c:v>
                </c:pt>
                <c:pt idx="499">
                  <c:v>-5.5770520766591947</c:v>
                </c:pt>
                <c:pt idx="500">
                  <c:v>-5.6356681238503405</c:v>
                </c:pt>
                <c:pt idx="501">
                  <c:v>-5.6954044978312046</c:v>
                </c:pt>
                <c:pt idx="502">
                  <c:v>-5.7548844252832252</c:v>
                </c:pt>
                <c:pt idx="503">
                  <c:v>-5.8141110898799777</c:v>
                </c:pt>
                <c:pt idx="504">
                  <c:v>-5.8730876165956634</c:v>
                </c:pt>
                <c:pt idx="505">
                  <c:v>-5.9331622050686406</c:v>
                </c:pt>
                <c:pt idx="506">
                  <c:v>-5.9929814741077809</c:v>
                </c:pt>
                <c:pt idx="507">
                  <c:v>-6.052548586959098</c:v>
                </c:pt>
                <c:pt idx="508">
                  <c:v>-6.1118666483832378</c:v>
                </c:pt>
                <c:pt idx="509">
                  <c:v>-6.1722971024997619</c:v>
                </c:pt>
                <c:pt idx="510">
                  <c:v>-6.2324732868065871</c:v>
                </c:pt>
                <c:pt idx="511">
                  <c:v>-6.2923983444184204</c:v>
                </c:pt>
                <c:pt idx="512">
                  <c:v>-6.3520753601629822</c:v>
                </c:pt>
                <c:pt idx="513">
                  <c:v>-6.4129135888741402</c:v>
                </c:pt>
                <c:pt idx="514">
                  <c:v>-6.4734982347967742</c:v>
                </c:pt>
                <c:pt idx="515">
                  <c:v>-6.5338324263777992</c:v>
                </c:pt>
                <c:pt idx="516">
                  <c:v>-6.5939192338327155</c:v>
                </c:pt>
                <c:pt idx="517">
                  <c:v>-6.6551448423956359</c:v>
                </c:pt>
                <c:pt idx="518">
                  <c:v>-6.7161177962821608</c:v>
                </c:pt>
                <c:pt idx="519">
                  <c:v>-6.7768412034938414</c:v>
                </c:pt>
                <c:pt idx="520">
                  <c:v>-6.8373181139918948</c:v>
                </c:pt>
                <c:pt idx="521">
                  <c:v>-6.8989462600432363</c:v>
                </c:pt>
                <c:pt idx="522">
                  <c:v>-6.9603226177649935</c:v>
                </c:pt>
                <c:pt idx="523">
                  <c:v>-7.0214502744457254</c:v>
                </c:pt>
                <c:pt idx="524">
                  <c:v>-7.0823322595254243</c:v>
                </c:pt>
                <c:pt idx="525">
                  <c:v>-7.1443773409951117</c:v>
                </c:pt>
                <c:pt idx="526">
                  <c:v>-7.2061714419983423</c:v>
                </c:pt>
                <c:pt idx="527">
                  <c:v>-7.2677176286932745</c:v>
                </c:pt>
                <c:pt idx="528">
                  <c:v>-7.3290189095868374</c:v>
                </c:pt>
                <c:pt idx="529">
                  <c:v>-7.3914945997779471</c:v>
                </c:pt>
                <c:pt idx="530">
                  <c:v>-7.453720061184085</c:v>
                </c:pt>
                <c:pt idx="531">
                  <c:v>-7.5156983382862643</c:v>
                </c:pt>
                <c:pt idx="532">
                  <c:v>-7.5774324181217665</c:v>
                </c:pt>
                <c:pt idx="533">
                  <c:v>-7.6403841138191755</c:v>
                </c:pt>
                <c:pt idx="534">
                  <c:v>-7.7030860214839691</c:v>
                </c:pt>
                <c:pt idx="535">
                  <c:v>-7.7655411679024251</c:v>
                </c:pt>
                <c:pt idx="536">
                  <c:v>-7.8277525225220499</c:v>
                </c:pt>
                <c:pt idx="537">
                  <c:v>-7.8911271912151628</c:v>
                </c:pt>
                <c:pt idx="538">
                  <c:v>-7.9542529767983519</c:v>
                </c:pt>
                <c:pt idx="539">
                  <c:v>-8.0171328782246469</c:v>
                </c:pt>
                <c:pt idx="540">
                  <c:v>-8.0797698374681044</c:v>
                </c:pt>
                <c:pt idx="541">
                  <c:v>-8.1436434944290266</c:v>
                </c:pt>
                <c:pt idx="542">
                  <c:v>-8.2072686128890098</c:v>
                </c:pt>
                <c:pt idx="543">
                  <c:v>-8.2706481722712919</c:v>
                </c:pt>
                <c:pt idx="544">
                  <c:v>-8.3337850951715744</c:v>
                </c:pt>
                <c:pt idx="545">
                  <c:v>-8.3981363871732757</c:v>
                </c:pt>
                <c:pt idx="546">
                  <c:v>-8.4622396851920456</c:v>
                </c:pt>
                <c:pt idx="547">
                  <c:v>-8.5260979436499333</c:v>
                </c:pt>
                <c:pt idx="548">
                  <c:v>-8.5897140604345381</c:v>
                </c:pt>
                <c:pt idx="549">
                  <c:v>-8.6545534301210871</c:v>
                </c:pt>
                <c:pt idx="550">
                  <c:v>-8.7191452929743587</c:v>
                </c:pt>
                <c:pt idx="551">
                  <c:v>-8.7834925775266584</c:v>
                </c:pt>
                <c:pt idx="552">
                  <c:v>-8.8475981560971029</c:v>
                </c:pt>
                <c:pt idx="553">
                  <c:v>-8.9129654438924319</c:v>
                </c:pt>
                <c:pt idx="554">
                  <c:v>-8.9780854265105656</c:v>
                </c:pt>
                <c:pt idx="555">
                  <c:v>-9.0429610096613846</c:v>
                </c:pt>
                <c:pt idx="556">
                  <c:v>-9.1075950430920951</c:v>
                </c:pt>
                <c:pt idx="557">
                  <c:v>-9.239154069245501</c:v>
                </c:pt>
                <c:pt idx="558">
                  <c:v>-9.3697359686040382</c:v>
                </c:pt>
                <c:pt idx="559">
                  <c:v>-9.5023233429101861</c:v>
                </c:pt>
                <c:pt idx="560">
                  <c:v>-9.6339347613253583</c:v>
                </c:pt>
                <c:pt idx="561">
                  <c:v>-9.7676809445565933</c:v>
                </c:pt>
                <c:pt idx="562">
                  <c:v>-9.9004504071822872</c:v>
                </c:pt>
                <c:pt idx="563">
                  <c:v>-10.035083474181846</c:v>
                </c:pt>
                <c:pt idx="564">
                  <c:v>-10.16874292438712</c:v>
                </c:pt>
                <c:pt idx="565">
                  <c:v>-10.304783873094831</c:v>
                </c:pt>
                <c:pt idx="566">
                  <c:v>-10.439846712183041</c:v>
                </c:pt>
                <c:pt idx="567">
                  <c:v>-10.57723884621759</c:v>
                </c:pt>
                <c:pt idx="568">
                  <c:v>-10.713649140572535</c:v>
                </c:pt>
                <c:pt idx="569">
                  <c:v>-10.851798390752458</c:v>
                </c:pt>
                <c:pt idx="570">
                  <c:v>-10.98897033216986</c:v>
                </c:pt>
                <c:pt idx="571">
                  <c:v>-11.12891196551557</c:v>
                </c:pt>
                <c:pt idx="572">
                  <c:v>-11.267866037683083</c:v>
                </c:pt>
                <c:pt idx="573">
                  <c:v>-11.408477720008214</c:v>
                </c:pt>
                <c:pt idx="574">
                  <c:v>-11.548107133528063</c:v>
                </c:pt>
                <c:pt idx="575">
                  <c:v>-11.690397630816383</c:v>
                </c:pt>
                <c:pt idx="576">
                  <c:v>-11.831696819487895</c:v>
                </c:pt>
                <c:pt idx="577">
                  <c:v>-12.41937545742088</c:v>
                </c:pt>
                <c:pt idx="578">
                  <c:v>-12.99105428535211</c:v>
                </c:pt>
                <c:pt idx="579">
                  <c:v>-14.193551304825123</c:v>
                </c:pt>
                <c:pt idx="580">
                  <c:v>-15.443401892668531</c:v>
                </c:pt>
                <c:pt idx="581">
                  <c:v>-16.740542708066513</c:v>
                </c:pt>
                <c:pt idx="582">
                  <c:v>-18.086913931113362</c:v>
                </c:pt>
                <c:pt idx="583">
                  <c:v>-19.482008602899377</c:v>
                </c:pt>
                <c:pt idx="584">
                  <c:v>-20.926742958648394</c:v>
                </c:pt>
                <c:pt idx="585">
                  <c:v>-22.419543729196366</c:v>
                </c:pt>
                <c:pt idx="586">
                  <c:v>-23.95923838172234</c:v>
                </c:pt>
                <c:pt idx="587">
                  <c:v>-25.544695219303598</c:v>
                </c:pt>
                <c:pt idx="588">
                  <c:v>-27.171809609675485</c:v>
                </c:pt>
                <c:pt idx="589">
                  <c:v>-28.838686884659822</c:v>
                </c:pt>
                <c:pt idx="590">
                  <c:v>-30.540935454094299</c:v>
                </c:pt>
                <c:pt idx="591">
                  <c:v>-32.274386392737014</c:v>
                </c:pt>
                <c:pt idx="592">
                  <c:v>-34.034029009753183</c:v>
                </c:pt>
                <c:pt idx="593">
                  <c:v>-35.815283499248615</c:v>
                </c:pt>
                <c:pt idx="594">
                  <c:v>-37.612415315823853</c:v>
                </c:pt>
                <c:pt idx="595">
                  <c:v>-39.4205566477236</c:v>
                </c:pt>
                <c:pt idx="596">
                  <c:v>-41.234360368044719</c:v>
                </c:pt>
                <c:pt idx="597">
                  <c:v>-43.049691365825694</c:v>
                </c:pt>
                <c:pt idx="598">
                  <c:v>-44.862217856742035</c:v>
                </c:pt>
                <c:pt idx="599">
                  <c:v>-46.669296513244561</c:v>
                </c:pt>
                <c:pt idx="600">
                  <c:v>-48.468405259593879</c:v>
                </c:pt>
              </c:numCache>
            </c:numRef>
          </c:yVal>
          <c:smooth val="1"/>
          <c:extLst>
            <c:ext xmlns:c16="http://schemas.microsoft.com/office/drawing/2014/chart" uri="{C3380CC4-5D6E-409C-BE32-E72D297353CC}">
              <c16:uniqueId val="{00000002-4BA7-4FA6-AB73-85DC72E7447B}"/>
            </c:ext>
          </c:extLst>
        </c:ser>
        <c:ser>
          <c:idx val="6"/>
          <c:order val="2"/>
          <c:tx>
            <c:v>FZCOMP</c:v>
          </c:tx>
          <c:spPr>
            <a:ln w="28575">
              <a:noFill/>
            </a:ln>
          </c:spPr>
          <c:marker>
            <c:symbol val="circle"/>
            <c:size val="8"/>
            <c:spPr>
              <a:noFill/>
              <a:ln w="19050">
                <a:solidFill>
                  <a:srgbClr val="000000"/>
                </a:solidFill>
                <a:prstDash val="solid"/>
              </a:ln>
            </c:spPr>
          </c:marker>
          <c:dLbls>
            <c:dLbl>
              <c:idx val="0"/>
              <c:layout>
                <c:manualLayout>
                  <c:x val="-1.771840147036232E-2"/>
                  <c:y val="-3.7917270685628536E-2"/>
                </c:manualLayout>
              </c:layout>
              <c:tx>
                <c:rich>
                  <a:bodyPr/>
                  <a:lstStyle/>
                  <a:p>
                    <a:r>
                      <a:rPr lang="en-US"/>
                      <a:t>F</a:t>
                    </a:r>
                    <a:r>
                      <a:rPr lang="en-US" baseline="-25000"/>
                      <a:t>ZCOMP</a:t>
                    </a:r>
                  </a:p>
                </c:rich>
              </c:tx>
              <c:dLblPos val="r"/>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BA7-4FA6-AB73-85DC72E7447B}"/>
                </c:ext>
              </c:extLst>
            </c:dLbl>
            <c:spPr>
              <a:noFill/>
              <a:ln w="25400">
                <a:noFill/>
              </a:ln>
            </c:spPr>
            <c:txPr>
              <a:bodyPr/>
              <a:lstStyle/>
              <a:p>
                <a:pPr>
                  <a:defRPr sz="1000" b="1" i="0" u="none" strike="noStrike" baseline="0">
                    <a:solidFill>
                      <a:srgbClr val="0000FF"/>
                    </a:solidFill>
                    <a:latin typeface="Arial"/>
                    <a:ea typeface="Arial"/>
                    <a:cs typeface="Aria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'Stability Calculations'!$C$635</c:f>
              <c:numCache>
                <c:formatCode>0.00</c:formatCode>
                <c:ptCount val="1"/>
                <c:pt idx="0">
                  <c:v>3985.8488172741386</c:v>
                </c:pt>
              </c:numCache>
            </c:numRef>
          </c:xVal>
          <c:yVal>
            <c:numRef>
              <c:f>'Stability Calculations'!$D$635</c:f>
              <c:numCache>
                <c:formatCode>0.00</c:formatCode>
                <c:ptCount val="1"/>
                <c:pt idx="0">
                  <c:v>22.33945894694952</c:v>
                </c:pt>
              </c:numCache>
            </c:numRef>
          </c:yVal>
          <c:smooth val="1"/>
          <c:extLst>
            <c:ext xmlns:c16="http://schemas.microsoft.com/office/drawing/2014/chart" uri="{C3380CC4-5D6E-409C-BE32-E72D297353CC}">
              <c16:uniqueId val="{00000004-4BA7-4FA6-AB73-85DC72E7447B}"/>
            </c:ext>
          </c:extLst>
        </c:ser>
        <c:ser>
          <c:idx val="8"/>
          <c:order val="3"/>
          <c:tx>
            <c:v>FpEA</c:v>
          </c:tx>
          <c:spPr>
            <a:ln w="28575">
              <a:noFill/>
            </a:ln>
          </c:spPr>
          <c:marker>
            <c:symbol val="x"/>
            <c:size val="8"/>
            <c:spPr>
              <a:noFill/>
              <a:ln w="22225">
                <a:solidFill>
                  <a:srgbClr val="000000"/>
                </a:solidFill>
                <a:prstDash val="solid"/>
              </a:ln>
            </c:spPr>
          </c:marker>
          <c:dLbls>
            <c:dLbl>
              <c:idx val="0"/>
              <c:layout>
                <c:manualLayout>
                  <c:x val="-2.9316756823388307E-3"/>
                  <c:y val="-1.5965166604475167E-2"/>
                </c:manualLayout>
              </c:layout>
              <c:tx>
                <c:rich>
                  <a:bodyPr/>
                  <a:lstStyle/>
                  <a:p>
                    <a:r>
                      <a:rPr lang="en-US">
                        <a:solidFill>
                          <a:srgbClr val="0000FF"/>
                        </a:solidFill>
                      </a:rPr>
                      <a:t>F</a:t>
                    </a:r>
                    <a:r>
                      <a:rPr lang="en-US" baseline="-25000">
                        <a:solidFill>
                          <a:srgbClr val="0000FF"/>
                        </a:solidFill>
                      </a:rPr>
                      <a:t>PEA</a:t>
                    </a:r>
                    <a:endParaRPr lang="en-US" baseline="-25000"/>
                  </a:p>
                </c:rich>
              </c:tx>
              <c:dLblPos val="r"/>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BA7-4FA6-AB73-85DC72E7447B}"/>
                </c:ext>
              </c:extLst>
            </c:dLbl>
            <c:spPr>
              <a:noFill/>
              <a:ln w="25400">
                <a:noFill/>
              </a:ln>
            </c:spPr>
            <c:txPr>
              <a:bodyPr/>
              <a:lstStyle/>
              <a:p>
                <a:pPr>
                  <a:defRPr sz="1000" b="1" i="0" u="none" strike="noStrike" baseline="0">
                    <a:solidFill>
                      <a:srgbClr val="0000FF"/>
                    </a:solidFill>
                    <a:latin typeface="Arial"/>
                    <a:ea typeface="Arial"/>
                    <a:cs typeface="Arial"/>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'Stability Calculations'!$C$5</c:f>
              <c:numCache>
                <c:formatCode>0.0</c:formatCode>
                <c:ptCount val="1"/>
                <c:pt idx="0">
                  <c:v>0.75343209626019259</c:v>
                </c:pt>
              </c:numCache>
            </c:numRef>
          </c:xVal>
          <c:yVal>
            <c:numRef>
              <c:f>'Stability Calculations'!$U$624</c:f>
              <c:numCache>
                <c:formatCode>0.00</c:formatCode>
                <c:ptCount val="1"/>
                <c:pt idx="0">
                  <c:v>99.311457727540045</c:v>
                </c:pt>
              </c:numCache>
            </c:numRef>
          </c:yVal>
          <c:smooth val="1"/>
          <c:extLst>
            <c:ext xmlns:c16="http://schemas.microsoft.com/office/drawing/2014/chart" uri="{C3380CC4-5D6E-409C-BE32-E72D297353CC}">
              <c16:uniqueId val="{00000006-4BA7-4FA6-AB73-85DC72E7447B}"/>
            </c:ext>
          </c:extLst>
        </c:ser>
        <c:ser>
          <c:idx val="9"/>
          <c:order val="4"/>
          <c:tx>
            <c:v>FpLOAD</c:v>
          </c:tx>
          <c:spPr>
            <a:ln w="28575">
              <a:solidFill>
                <a:schemeClr val="tx1"/>
              </a:solidFill>
            </a:ln>
          </c:spPr>
          <c:marker>
            <c:symbol val="x"/>
            <c:size val="8"/>
            <c:spPr>
              <a:noFill/>
              <a:ln w="22225">
                <a:solidFill>
                  <a:schemeClr val="tx1"/>
                </a:solidFill>
              </a:ln>
            </c:spPr>
          </c:marker>
          <c:dLbls>
            <c:dLbl>
              <c:idx val="0"/>
              <c:tx>
                <c:rich>
                  <a:bodyPr/>
                  <a:lstStyle/>
                  <a:p>
                    <a:r>
                      <a:rPr lang="en-US">
                        <a:solidFill>
                          <a:schemeClr val="tx1"/>
                        </a:solidFill>
                      </a:rPr>
                      <a:t>F</a:t>
                    </a:r>
                    <a:r>
                      <a:rPr lang="en-US" baseline="-25000">
                        <a:solidFill>
                          <a:schemeClr val="tx1"/>
                        </a:solidFill>
                      </a:rPr>
                      <a:t>PLOAD</a:t>
                    </a:r>
                  </a:p>
                </c:rich>
              </c:tx>
              <c:dLblPos val="t"/>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4BA7-4FA6-AB73-85DC72E7447B}"/>
                </c:ext>
              </c:extLst>
            </c:dLbl>
            <c:spPr>
              <a:noFill/>
              <a:ln w="25400">
                <a:noFill/>
              </a:ln>
            </c:spPr>
            <c:txPr>
              <a:bodyPr/>
              <a:lstStyle/>
              <a:p>
                <a:pPr>
                  <a:defRPr sz="1000" b="1" i="0" u="none" strike="noStrike" baseline="0">
                    <a:solidFill>
                      <a:srgbClr val="0000FF"/>
                    </a:solidFill>
                    <a:latin typeface="Arial"/>
                    <a:ea typeface="Arial"/>
                    <a:cs typeface="Arial"/>
                  </a:defRPr>
                </a:pPr>
                <a:endParaRPr lang="en-US"/>
              </a:p>
            </c:txPr>
            <c:dLblPos val="t"/>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'Stability Calculations'!$K$4</c:f>
              <c:numCache>
                <c:formatCode>0</c:formatCode>
                <c:ptCount val="1"/>
                <c:pt idx="0">
                  <c:v>1612.2183364797347</c:v>
                </c:pt>
              </c:numCache>
            </c:numRef>
          </c:xVal>
          <c:yVal>
            <c:numRef>
              <c:f>'Stability Calculations'!$D$632</c:f>
              <c:numCache>
                <c:formatCode>0.00</c:formatCode>
                <c:ptCount val="1"/>
                <c:pt idx="0">
                  <c:v>33.361431691897664</c:v>
                </c:pt>
              </c:numCache>
            </c:numRef>
          </c:yVal>
          <c:smooth val="1"/>
          <c:extLst>
            <c:ext xmlns:c16="http://schemas.microsoft.com/office/drawing/2014/chart" uri="{C3380CC4-5D6E-409C-BE32-E72D297353CC}">
              <c16:uniqueId val="{00000008-4BA7-4FA6-AB73-85DC72E7447B}"/>
            </c:ext>
          </c:extLst>
        </c:ser>
        <c:ser>
          <c:idx val="4"/>
          <c:order val="6"/>
          <c:tx>
            <c:v>FZESR</c:v>
          </c:tx>
          <c:spPr>
            <a:ln w="28575">
              <a:noFill/>
            </a:ln>
          </c:spPr>
          <c:marker>
            <c:symbol val="circle"/>
            <c:size val="8"/>
            <c:spPr>
              <a:noFill/>
              <a:ln w="19050">
                <a:solidFill>
                  <a:srgbClr val="000000"/>
                </a:solidFill>
                <a:prstDash val="solid"/>
              </a:ln>
            </c:spPr>
          </c:marker>
          <c:dLbls>
            <c:dLbl>
              <c:idx val="0"/>
              <c:layout>
                <c:manualLayout>
                  <c:x val="-3.9306499421109475E-2"/>
                  <c:y val="3.9912923770191157E-2"/>
                </c:manualLayout>
              </c:layout>
              <c:tx>
                <c:rich>
                  <a:bodyPr/>
                  <a:lstStyle/>
                  <a:p>
                    <a:r>
                      <a:rPr lang="en-US" b="1"/>
                      <a:t>F</a:t>
                    </a:r>
                    <a:r>
                      <a:rPr lang="en-US" b="1" baseline="-25000"/>
                      <a:t>ZESR</a:t>
                    </a:r>
                    <a:endParaRPr lang="en-US" baseline="-25000"/>
                  </a:p>
                </c:rich>
              </c:tx>
              <c:dLblPos val="r"/>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4BA7-4FA6-AB73-85DC72E7447B}"/>
                </c:ext>
              </c:extLst>
            </c:dLbl>
            <c:spPr>
              <a:noFill/>
              <a:ln w="25400">
                <a:noFill/>
              </a:ln>
            </c:spPr>
            <c:txPr>
              <a:bodyPr/>
              <a:lstStyle/>
              <a:p>
                <a:pPr>
                  <a:defRPr sz="1000" b="1" i="0" u="none" strike="noStrike" baseline="0">
                    <a:solidFill>
                      <a:srgbClr val="000000"/>
                    </a:solidFill>
                    <a:latin typeface="Arial"/>
                    <a:ea typeface="Arial"/>
                    <a:cs typeface="Arial"/>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'Stability Calculations'!$A$623</c:f>
              <c:numCache>
                <c:formatCode>0</c:formatCode>
                <c:ptCount val="1"/>
                <c:pt idx="0">
                  <c:v>795774.71636878187</c:v>
                </c:pt>
              </c:numCache>
            </c:numRef>
          </c:xVal>
          <c:yVal>
            <c:numRef>
              <c:f>'Stability Calculations'!$U$623</c:f>
              <c:numCache>
                <c:formatCode>0.00</c:formatCode>
                <c:ptCount val="1"/>
                <c:pt idx="0">
                  <c:v>-43.992310066601135</c:v>
                </c:pt>
              </c:numCache>
            </c:numRef>
          </c:yVal>
          <c:smooth val="1"/>
          <c:extLst>
            <c:ext xmlns:c16="http://schemas.microsoft.com/office/drawing/2014/chart" uri="{C3380CC4-5D6E-409C-BE32-E72D297353CC}">
              <c16:uniqueId val="{0000000A-4BA7-4FA6-AB73-85DC72E7447B}"/>
            </c:ext>
          </c:extLst>
        </c:ser>
        <c:dLbls>
          <c:showLegendKey val="0"/>
          <c:showVal val="0"/>
          <c:showCatName val="0"/>
          <c:showSerName val="0"/>
          <c:showPercent val="0"/>
          <c:showBubbleSize val="0"/>
        </c:dLbls>
        <c:axId val="333063296"/>
        <c:axId val="333065216"/>
      </c:scatterChart>
      <c:scatterChart>
        <c:scatterStyle val="lineMarker"/>
        <c:varyColors val="0"/>
        <c:ser>
          <c:idx val="3"/>
          <c:order val="1"/>
          <c:tx>
            <c:v>Loop Phase</c:v>
          </c:tx>
          <c:spPr>
            <a:ln w="34925">
              <a:solidFill>
                <a:srgbClr val="002060"/>
              </a:solidFill>
              <a:prstDash val="sysDash"/>
            </a:ln>
          </c:spPr>
          <c:marker>
            <c:symbol val="none"/>
          </c:marker>
          <c:xVal>
            <c:numRef>
              <c:f>'Stability Calculations'!$A$13:$A$613</c:f>
              <c:numCache>
                <c:formatCode>General</c:formatCode>
                <c:ptCount val="601"/>
                <c:pt idx="0">
                  <c:v>1</c:v>
                </c:pt>
                <c:pt idx="1">
                  <c:v>1.0965</c:v>
                </c:pt>
                <c:pt idx="2">
                  <c:v>1.2022999999999999</c:v>
                </c:pt>
                <c:pt idx="3">
                  <c:v>1.3183</c:v>
                </c:pt>
                <c:pt idx="4">
                  <c:v>1.4454</c:v>
                </c:pt>
                <c:pt idx="5">
                  <c:v>1.5849</c:v>
                </c:pt>
                <c:pt idx="6">
                  <c:v>1.7378</c:v>
                </c:pt>
                <c:pt idx="7">
                  <c:v>1.9055</c:v>
                </c:pt>
                <c:pt idx="8">
                  <c:v>2.0893000000000002</c:v>
                </c:pt>
                <c:pt idx="9">
                  <c:v>2.2909000000000002</c:v>
                </c:pt>
                <c:pt idx="10">
                  <c:v>2.5118999999999998</c:v>
                </c:pt>
                <c:pt idx="11">
                  <c:v>2.7542</c:v>
                </c:pt>
                <c:pt idx="12">
                  <c:v>3.02</c:v>
                </c:pt>
                <c:pt idx="13">
                  <c:v>3.3113000000000001</c:v>
                </c:pt>
                <c:pt idx="14">
                  <c:v>3.6307999999999998</c:v>
                </c:pt>
                <c:pt idx="15">
                  <c:v>3.9811000000000001</c:v>
                </c:pt>
                <c:pt idx="16">
                  <c:v>4.3651999999999997</c:v>
                </c:pt>
                <c:pt idx="17">
                  <c:v>4.7862999999999998</c:v>
                </c:pt>
                <c:pt idx="18">
                  <c:v>5.2481</c:v>
                </c:pt>
                <c:pt idx="19">
                  <c:v>5.7544000000000004</c:v>
                </c:pt>
                <c:pt idx="20">
                  <c:v>6.3095999999999997</c:v>
                </c:pt>
                <c:pt idx="21">
                  <c:v>6.9183000000000003</c:v>
                </c:pt>
                <c:pt idx="22">
                  <c:v>7.5857999999999999</c:v>
                </c:pt>
                <c:pt idx="23">
                  <c:v>8.3176000000000005</c:v>
                </c:pt>
                <c:pt idx="24">
                  <c:v>9.1201000000000008</c:v>
                </c:pt>
                <c:pt idx="25">
                  <c:v>10</c:v>
                </c:pt>
                <c:pt idx="26">
                  <c:v>10.965</c:v>
                </c:pt>
                <c:pt idx="27">
                  <c:v>12.023</c:v>
                </c:pt>
                <c:pt idx="28">
                  <c:v>13.183</c:v>
                </c:pt>
                <c:pt idx="29">
                  <c:v>14.454000000000001</c:v>
                </c:pt>
                <c:pt idx="30">
                  <c:v>15.849</c:v>
                </c:pt>
                <c:pt idx="31">
                  <c:v>17.378</c:v>
                </c:pt>
                <c:pt idx="32">
                  <c:v>19.055</c:v>
                </c:pt>
                <c:pt idx="33">
                  <c:v>20.893000000000001</c:v>
                </c:pt>
                <c:pt idx="34">
                  <c:v>22.909000000000002</c:v>
                </c:pt>
                <c:pt idx="35">
                  <c:v>25.119</c:v>
                </c:pt>
                <c:pt idx="36">
                  <c:v>27.542000000000002</c:v>
                </c:pt>
                <c:pt idx="37">
                  <c:v>30.2</c:v>
                </c:pt>
                <c:pt idx="38">
                  <c:v>33.113</c:v>
                </c:pt>
                <c:pt idx="39">
                  <c:v>36.308</c:v>
                </c:pt>
                <c:pt idx="40">
                  <c:v>39.811</c:v>
                </c:pt>
                <c:pt idx="41">
                  <c:v>43.652000000000001</c:v>
                </c:pt>
                <c:pt idx="42">
                  <c:v>47.863</c:v>
                </c:pt>
                <c:pt idx="43">
                  <c:v>52.481000000000002</c:v>
                </c:pt>
                <c:pt idx="44">
                  <c:v>57.544000000000004</c:v>
                </c:pt>
                <c:pt idx="45">
                  <c:v>63.095999999999997</c:v>
                </c:pt>
                <c:pt idx="46">
                  <c:v>69.183000000000007</c:v>
                </c:pt>
                <c:pt idx="47">
                  <c:v>75.858000000000004</c:v>
                </c:pt>
                <c:pt idx="48">
                  <c:v>83.176000000000002</c:v>
                </c:pt>
                <c:pt idx="49">
                  <c:v>91.201000000000008</c:v>
                </c:pt>
                <c:pt idx="50">
                  <c:v>100</c:v>
                </c:pt>
                <c:pt idx="51">
                  <c:v>109.65</c:v>
                </c:pt>
                <c:pt idx="52">
                  <c:v>120.23</c:v>
                </c:pt>
                <c:pt idx="53">
                  <c:v>131.83000000000001</c:v>
                </c:pt>
                <c:pt idx="54">
                  <c:v>144.54</c:v>
                </c:pt>
                <c:pt idx="55">
                  <c:v>158.49</c:v>
                </c:pt>
                <c:pt idx="56">
                  <c:v>173.78</c:v>
                </c:pt>
                <c:pt idx="57">
                  <c:v>190.55</c:v>
                </c:pt>
                <c:pt idx="58">
                  <c:v>208.93</c:v>
                </c:pt>
                <c:pt idx="59">
                  <c:v>229.09</c:v>
                </c:pt>
                <c:pt idx="60">
                  <c:v>251.19</c:v>
                </c:pt>
                <c:pt idx="61">
                  <c:v>275.42</c:v>
                </c:pt>
                <c:pt idx="62">
                  <c:v>302</c:v>
                </c:pt>
                <c:pt idx="63">
                  <c:v>331.13</c:v>
                </c:pt>
                <c:pt idx="64">
                  <c:v>363.08</c:v>
                </c:pt>
                <c:pt idx="65">
                  <c:v>398.11</c:v>
                </c:pt>
                <c:pt idx="66">
                  <c:v>436.52</c:v>
                </c:pt>
                <c:pt idx="67">
                  <c:v>478.63</c:v>
                </c:pt>
                <c:pt idx="68">
                  <c:v>524.80999999999995</c:v>
                </c:pt>
                <c:pt idx="69">
                  <c:v>575.44000000000005</c:v>
                </c:pt>
                <c:pt idx="70">
                  <c:v>630.96</c:v>
                </c:pt>
                <c:pt idx="71">
                  <c:v>691.83</c:v>
                </c:pt>
                <c:pt idx="72">
                  <c:v>758.58</c:v>
                </c:pt>
                <c:pt idx="73">
                  <c:v>831.76</c:v>
                </c:pt>
                <c:pt idx="74">
                  <c:v>912.01</c:v>
                </c:pt>
                <c:pt idx="75">
                  <c:v>1000</c:v>
                </c:pt>
                <c:pt idx="76">
                  <c:v>1096.5</c:v>
                </c:pt>
                <c:pt idx="77">
                  <c:v>1202.3</c:v>
                </c:pt>
                <c:pt idx="78">
                  <c:v>1318.3</c:v>
                </c:pt>
                <c:pt idx="79">
                  <c:v>1445.4</c:v>
                </c:pt>
                <c:pt idx="80">
                  <c:v>1584.9</c:v>
                </c:pt>
                <c:pt idx="81">
                  <c:v>1737.8</c:v>
                </c:pt>
                <c:pt idx="82">
                  <c:v>1905.5</c:v>
                </c:pt>
                <c:pt idx="83">
                  <c:v>2089.3000000000002</c:v>
                </c:pt>
                <c:pt idx="84">
                  <c:v>2290.9</c:v>
                </c:pt>
                <c:pt idx="85">
                  <c:v>2511.9</c:v>
                </c:pt>
                <c:pt idx="86">
                  <c:v>2754.2</c:v>
                </c:pt>
                <c:pt idx="87">
                  <c:v>3020</c:v>
                </c:pt>
                <c:pt idx="88">
                  <c:v>3311.3</c:v>
                </c:pt>
                <c:pt idx="89">
                  <c:v>3630.8</c:v>
                </c:pt>
                <c:pt idx="90">
                  <c:v>3981.1</c:v>
                </c:pt>
                <c:pt idx="91">
                  <c:v>4365.2</c:v>
                </c:pt>
                <c:pt idx="92">
                  <c:v>4786.3</c:v>
                </c:pt>
                <c:pt idx="93">
                  <c:v>5248.1</c:v>
                </c:pt>
                <c:pt idx="94">
                  <c:v>5370.3</c:v>
                </c:pt>
                <c:pt idx="95">
                  <c:v>5432.85</c:v>
                </c:pt>
                <c:pt idx="96">
                  <c:v>5495.4</c:v>
                </c:pt>
                <c:pt idx="97">
                  <c:v>5559.4</c:v>
                </c:pt>
                <c:pt idx="98">
                  <c:v>5623.4</c:v>
                </c:pt>
                <c:pt idx="99">
                  <c:v>5688.9</c:v>
                </c:pt>
                <c:pt idx="100">
                  <c:v>5754.4</c:v>
                </c:pt>
                <c:pt idx="101">
                  <c:v>5821.4</c:v>
                </c:pt>
                <c:pt idx="102">
                  <c:v>5888.4</c:v>
                </c:pt>
                <c:pt idx="103">
                  <c:v>5957</c:v>
                </c:pt>
                <c:pt idx="104">
                  <c:v>6025.6</c:v>
                </c:pt>
                <c:pt idx="105">
                  <c:v>6095.8</c:v>
                </c:pt>
                <c:pt idx="106">
                  <c:v>6166</c:v>
                </c:pt>
                <c:pt idx="107">
                  <c:v>6237.8</c:v>
                </c:pt>
                <c:pt idx="108">
                  <c:v>6309.6</c:v>
                </c:pt>
                <c:pt idx="109">
                  <c:v>6383.05</c:v>
                </c:pt>
                <c:pt idx="110">
                  <c:v>6456.5</c:v>
                </c:pt>
                <c:pt idx="111">
                  <c:v>6531.7</c:v>
                </c:pt>
                <c:pt idx="112">
                  <c:v>6606.9</c:v>
                </c:pt>
                <c:pt idx="113">
                  <c:v>6683.85</c:v>
                </c:pt>
                <c:pt idx="114">
                  <c:v>6760.8</c:v>
                </c:pt>
                <c:pt idx="115">
                  <c:v>6839.55</c:v>
                </c:pt>
                <c:pt idx="116">
                  <c:v>6918.3</c:v>
                </c:pt>
                <c:pt idx="117">
                  <c:v>6998.9</c:v>
                </c:pt>
                <c:pt idx="118">
                  <c:v>7079.5</c:v>
                </c:pt>
                <c:pt idx="119">
                  <c:v>7161.95</c:v>
                </c:pt>
                <c:pt idx="120">
                  <c:v>7244.4</c:v>
                </c:pt>
                <c:pt idx="121">
                  <c:v>7328.75</c:v>
                </c:pt>
                <c:pt idx="122">
                  <c:v>7413.1</c:v>
                </c:pt>
                <c:pt idx="123">
                  <c:v>7499.45</c:v>
                </c:pt>
                <c:pt idx="124">
                  <c:v>7585.8</c:v>
                </c:pt>
                <c:pt idx="125">
                  <c:v>7674.15</c:v>
                </c:pt>
                <c:pt idx="126">
                  <c:v>7762.5</c:v>
                </c:pt>
                <c:pt idx="127">
                  <c:v>7852.9</c:v>
                </c:pt>
                <c:pt idx="128">
                  <c:v>7943.3</c:v>
                </c:pt>
                <c:pt idx="129">
                  <c:v>8035.8</c:v>
                </c:pt>
                <c:pt idx="130">
                  <c:v>8128.3</c:v>
                </c:pt>
                <c:pt idx="131">
                  <c:v>8222.9500000000007</c:v>
                </c:pt>
                <c:pt idx="132">
                  <c:v>8270.2750000000015</c:v>
                </c:pt>
                <c:pt idx="133">
                  <c:v>8317.6</c:v>
                </c:pt>
                <c:pt idx="134">
                  <c:v>8366.0499999999993</c:v>
                </c:pt>
                <c:pt idx="135">
                  <c:v>8414.5</c:v>
                </c:pt>
                <c:pt idx="136">
                  <c:v>8462.9500000000007</c:v>
                </c:pt>
                <c:pt idx="137">
                  <c:v>8511.4</c:v>
                </c:pt>
                <c:pt idx="138">
                  <c:v>8560.9500000000007</c:v>
                </c:pt>
                <c:pt idx="139">
                  <c:v>8610.5</c:v>
                </c:pt>
                <c:pt idx="140">
                  <c:v>8660.0499999999993</c:v>
                </c:pt>
                <c:pt idx="141">
                  <c:v>8709.6</c:v>
                </c:pt>
                <c:pt idx="142">
                  <c:v>8760.3250000000007</c:v>
                </c:pt>
                <c:pt idx="143">
                  <c:v>8811.0499999999993</c:v>
                </c:pt>
                <c:pt idx="144">
                  <c:v>8861.7749999999996</c:v>
                </c:pt>
                <c:pt idx="145">
                  <c:v>8912.5</c:v>
                </c:pt>
                <c:pt idx="146">
                  <c:v>8964.4</c:v>
                </c:pt>
                <c:pt idx="147">
                  <c:v>9016.2999999999993</c:v>
                </c:pt>
                <c:pt idx="148">
                  <c:v>9068.2000000000007</c:v>
                </c:pt>
                <c:pt idx="149">
                  <c:v>9120.1</c:v>
                </c:pt>
                <c:pt idx="150">
                  <c:v>9173.2000000000007</c:v>
                </c:pt>
                <c:pt idx="151">
                  <c:v>9226.2999999999993</c:v>
                </c:pt>
                <c:pt idx="152">
                  <c:v>9279.4</c:v>
                </c:pt>
                <c:pt idx="153">
                  <c:v>9332.5</c:v>
                </c:pt>
                <c:pt idx="154">
                  <c:v>9386.85</c:v>
                </c:pt>
                <c:pt idx="155">
                  <c:v>9441.2000000000007</c:v>
                </c:pt>
                <c:pt idx="156">
                  <c:v>9495.5499999999993</c:v>
                </c:pt>
                <c:pt idx="157">
                  <c:v>9549.9</c:v>
                </c:pt>
                <c:pt idx="158">
                  <c:v>9605.5249999999996</c:v>
                </c:pt>
                <c:pt idx="159">
                  <c:v>9661.15</c:v>
                </c:pt>
                <c:pt idx="160">
                  <c:v>9716.7749999999996</c:v>
                </c:pt>
                <c:pt idx="161">
                  <c:v>9772.4</c:v>
                </c:pt>
                <c:pt idx="162">
                  <c:v>9829.2999999999993</c:v>
                </c:pt>
                <c:pt idx="163">
                  <c:v>9886.2000000000007</c:v>
                </c:pt>
                <c:pt idx="164">
                  <c:v>9943.1</c:v>
                </c:pt>
                <c:pt idx="165">
                  <c:v>10000</c:v>
                </c:pt>
                <c:pt idx="166">
                  <c:v>10058.25</c:v>
                </c:pt>
                <c:pt idx="167">
                  <c:v>10116.5</c:v>
                </c:pt>
                <c:pt idx="168">
                  <c:v>10174.75</c:v>
                </c:pt>
                <c:pt idx="169">
                  <c:v>10233</c:v>
                </c:pt>
                <c:pt idx="170">
                  <c:v>10292.5</c:v>
                </c:pt>
                <c:pt idx="171">
                  <c:v>10352</c:v>
                </c:pt>
                <c:pt idx="172">
                  <c:v>10411.5</c:v>
                </c:pt>
                <c:pt idx="173">
                  <c:v>10471</c:v>
                </c:pt>
                <c:pt idx="174">
                  <c:v>10532</c:v>
                </c:pt>
                <c:pt idx="175">
                  <c:v>10593</c:v>
                </c:pt>
                <c:pt idx="176">
                  <c:v>10654</c:v>
                </c:pt>
                <c:pt idx="177">
                  <c:v>10715</c:v>
                </c:pt>
                <c:pt idx="178">
                  <c:v>10777.5</c:v>
                </c:pt>
                <c:pt idx="179">
                  <c:v>10840</c:v>
                </c:pt>
                <c:pt idx="180">
                  <c:v>10902.5</c:v>
                </c:pt>
                <c:pt idx="181">
                  <c:v>10965</c:v>
                </c:pt>
                <c:pt idx="182">
                  <c:v>11028.75</c:v>
                </c:pt>
                <c:pt idx="183">
                  <c:v>11092.5</c:v>
                </c:pt>
                <c:pt idx="184">
                  <c:v>11156.25</c:v>
                </c:pt>
                <c:pt idx="185">
                  <c:v>11220</c:v>
                </c:pt>
                <c:pt idx="186">
                  <c:v>11285.5</c:v>
                </c:pt>
                <c:pt idx="187">
                  <c:v>11351</c:v>
                </c:pt>
                <c:pt idx="188">
                  <c:v>11416.5</c:v>
                </c:pt>
                <c:pt idx="189">
                  <c:v>11482</c:v>
                </c:pt>
                <c:pt idx="190">
                  <c:v>11548.75</c:v>
                </c:pt>
                <c:pt idx="191">
                  <c:v>11615.5</c:v>
                </c:pt>
                <c:pt idx="192">
                  <c:v>11682.25</c:v>
                </c:pt>
                <c:pt idx="193">
                  <c:v>11749</c:v>
                </c:pt>
                <c:pt idx="194">
                  <c:v>11817.5</c:v>
                </c:pt>
                <c:pt idx="195">
                  <c:v>11886</c:v>
                </c:pt>
                <c:pt idx="196">
                  <c:v>11954.5</c:v>
                </c:pt>
                <c:pt idx="197">
                  <c:v>12023</c:v>
                </c:pt>
                <c:pt idx="198">
                  <c:v>12093</c:v>
                </c:pt>
                <c:pt idx="199">
                  <c:v>12163</c:v>
                </c:pt>
                <c:pt idx="200">
                  <c:v>12233</c:v>
                </c:pt>
                <c:pt idx="201">
                  <c:v>12303</c:v>
                </c:pt>
                <c:pt idx="202">
                  <c:v>12374.5</c:v>
                </c:pt>
                <c:pt idx="203">
                  <c:v>12446</c:v>
                </c:pt>
                <c:pt idx="204">
                  <c:v>12517.5</c:v>
                </c:pt>
                <c:pt idx="205">
                  <c:v>12589</c:v>
                </c:pt>
                <c:pt idx="206">
                  <c:v>12662.25</c:v>
                </c:pt>
                <c:pt idx="207">
                  <c:v>12735.5</c:v>
                </c:pt>
                <c:pt idx="208">
                  <c:v>12808.75</c:v>
                </c:pt>
                <c:pt idx="209">
                  <c:v>12882</c:v>
                </c:pt>
                <c:pt idx="210">
                  <c:v>12957.25</c:v>
                </c:pt>
                <c:pt idx="211">
                  <c:v>13032.5</c:v>
                </c:pt>
                <c:pt idx="212">
                  <c:v>13107.75</c:v>
                </c:pt>
                <c:pt idx="213">
                  <c:v>13183</c:v>
                </c:pt>
                <c:pt idx="214">
                  <c:v>13259.75</c:v>
                </c:pt>
                <c:pt idx="215">
                  <c:v>13336.5</c:v>
                </c:pt>
                <c:pt idx="216">
                  <c:v>13413.25</c:v>
                </c:pt>
                <c:pt idx="217">
                  <c:v>13490</c:v>
                </c:pt>
                <c:pt idx="218">
                  <c:v>13568.5</c:v>
                </c:pt>
                <c:pt idx="219">
                  <c:v>13647</c:v>
                </c:pt>
                <c:pt idx="220">
                  <c:v>13725.5</c:v>
                </c:pt>
                <c:pt idx="221">
                  <c:v>13804</c:v>
                </c:pt>
                <c:pt idx="222">
                  <c:v>13884.25</c:v>
                </c:pt>
                <c:pt idx="223">
                  <c:v>13964.5</c:v>
                </c:pt>
                <c:pt idx="224">
                  <c:v>14044.75</c:v>
                </c:pt>
                <c:pt idx="225">
                  <c:v>14125</c:v>
                </c:pt>
                <c:pt idx="226">
                  <c:v>14207.25</c:v>
                </c:pt>
                <c:pt idx="227">
                  <c:v>14289.5</c:v>
                </c:pt>
                <c:pt idx="228">
                  <c:v>14371.75</c:v>
                </c:pt>
                <c:pt idx="229">
                  <c:v>14454</c:v>
                </c:pt>
                <c:pt idx="230">
                  <c:v>14622.5</c:v>
                </c:pt>
                <c:pt idx="231">
                  <c:v>14706.75</c:v>
                </c:pt>
                <c:pt idx="232">
                  <c:v>14791</c:v>
                </c:pt>
                <c:pt idx="233">
                  <c:v>14877.25</c:v>
                </c:pt>
                <c:pt idx="234">
                  <c:v>14963.5</c:v>
                </c:pt>
                <c:pt idx="235">
                  <c:v>15049.75</c:v>
                </c:pt>
                <c:pt idx="236">
                  <c:v>15136</c:v>
                </c:pt>
                <c:pt idx="237">
                  <c:v>15224</c:v>
                </c:pt>
                <c:pt idx="238">
                  <c:v>15312</c:v>
                </c:pt>
                <c:pt idx="239">
                  <c:v>15400</c:v>
                </c:pt>
                <c:pt idx="240">
                  <c:v>15488</c:v>
                </c:pt>
                <c:pt idx="241">
                  <c:v>15578.25</c:v>
                </c:pt>
                <c:pt idx="242">
                  <c:v>15668.5</c:v>
                </c:pt>
                <c:pt idx="243">
                  <c:v>15758.75</c:v>
                </c:pt>
                <c:pt idx="244">
                  <c:v>15849</c:v>
                </c:pt>
                <c:pt idx="245">
                  <c:v>15941.25</c:v>
                </c:pt>
                <c:pt idx="246">
                  <c:v>16033.5</c:v>
                </c:pt>
                <c:pt idx="247">
                  <c:v>16125.75</c:v>
                </c:pt>
                <c:pt idx="248">
                  <c:v>16218</c:v>
                </c:pt>
                <c:pt idx="249">
                  <c:v>16312.5</c:v>
                </c:pt>
                <c:pt idx="250">
                  <c:v>16407</c:v>
                </c:pt>
                <c:pt idx="251">
                  <c:v>16501.5</c:v>
                </c:pt>
                <c:pt idx="252">
                  <c:v>16596</c:v>
                </c:pt>
                <c:pt idx="253">
                  <c:v>16692.5</c:v>
                </c:pt>
                <c:pt idx="254">
                  <c:v>16789</c:v>
                </c:pt>
                <c:pt idx="255">
                  <c:v>16885.5</c:v>
                </c:pt>
                <c:pt idx="256">
                  <c:v>16982</c:v>
                </c:pt>
                <c:pt idx="257">
                  <c:v>17081</c:v>
                </c:pt>
                <c:pt idx="258">
                  <c:v>17180</c:v>
                </c:pt>
                <c:pt idx="259">
                  <c:v>17279</c:v>
                </c:pt>
                <c:pt idx="260">
                  <c:v>17378</c:v>
                </c:pt>
                <c:pt idx="261">
                  <c:v>17479.25</c:v>
                </c:pt>
                <c:pt idx="262">
                  <c:v>17580.5</c:v>
                </c:pt>
                <c:pt idx="263">
                  <c:v>17681.75</c:v>
                </c:pt>
                <c:pt idx="264">
                  <c:v>17783</c:v>
                </c:pt>
                <c:pt idx="265">
                  <c:v>17886.5</c:v>
                </c:pt>
                <c:pt idx="266">
                  <c:v>17990</c:v>
                </c:pt>
                <c:pt idx="267">
                  <c:v>18093.5</c:v>
                </c:pt>
                <c:pt idx="268">
                  <c:v>18197</c:v>
                </c:pt>
                <c:pt idx="269">
                  <c:v>18303</c:v>
                </c:pt>
                <c:pt idx="270">
                  <c:v>18409</c:v>
                </c:pt>
                <c:pt idx="271">
                  <c:v>18515</c:v>
                </c:pt>
                <c:pt idx="272">
                  <c:v>18621</c:v>
                </c:pt>
                <c:pt idx="273">
                  <c:v>18729.5</c:v>
                </c:pt>
                <c:pt idx="274">
                  <c:v>18838</c:v>
                </c:pt>
                <c:pt idx="275">
                  <c:v>18946.5</c:v>
                </c:pt>
                <c:pt idx="276">
                  <c:v>19055</c:v>
                </c:pt>
                <c:pt idx="277">
                  <c:v>19165.75</c:v>
                </c:pt>
                <c:pt idx="278">
                  <c:v>19276.5</c:v>
                </c:pt>
                <c:pt idx="279">
                  <c:v>19387.25</c:v>
                </c:pt>
                <c:pt idx="280">
                  <c:v>19498</c:v>
                </c:pt>
                <c:pt idx="281">
                  <c:v>19611.75</c:v>
                </c:pt>
                <c:pt idx="282">
                  <c:v>19725.5</c:v>
                </c:pt>
                <c:pt idx="283">
                  <c:v>19839.25</c:v>
                </c:pt>
                <c:pt idx="284">
                  <c:v>19953</c:v>
                </c:pt>
                <c:pt idx="285">
                  <c:v>20069</c:v>
                </c:pt>
                <c:pt idx="286">
                  <c:v>20185</c:v>
                </c:pt>
                <c:pt idx="287">
                  <c:v>20301</c:v>
                </c:pt>
                <c:pt idx="288">
                  <c:v>20417</c:v>
                </c:pt>
                <c:pt idx="289">
                  <c:v>20536</c:v>
                </c:pt>
                <c:pt idx="290">
                  <c:v>20655</c:v>
                </c:pt>
                <c:pt idx="291">
                  <c:v>20774</c:v>
                </c:pt>
                <c:pt idx="292">
                  <c:v>20893</c:v>
                </c:pt>
                <c:pt idx="293">
                  <c:v>21014.75</c:v>
                </c:pt>
                <c:pt idx="294">
                  <c:v>21136.5</c:v>
                </c:pt>
                <c:pt idx="295">
                  <c:v>21258.25</c:v>
                </c:pt>
                <c:pt idx="296">
                  <c:v>21380</c:v>
                </c:pt>
                <c:pt idx="297">
                  <c:v>21504.5</c:v>
                </c:pt>
                <c:pt idx="298">
                  <c:v>21629</c:v>
                </c:pt>
                <c:pt idx="299">
                  <c:v>21753.5</c:v>
                </c:pt>
                <c:pt idx="300">
                  <c:v>21878</c:v>
                </c:pt>
                <c:pt idx="301">
                  <c:v>22005.25</c:v>
                </c:pt>
                <c:pt idx="302">
                  <c:v>22132.5</c:v>
                </c:pt>
                <c:pt idx="303">
                  <c:v>22259.75</c:v>
                </c:pt>
                <c:pt idx="304">
                  <c:v>22387</c:v>
                </c:pt>
                <c:pt idx="305">
                  <c:v>22517.5</c:v>
                </c:pt>
                <c:pt idx="306">
                  <c:v>22648</c:v>
                </c:pt>
                <c:pt idx="307">
                  <c:v>22778.5</c:v>
                </c:pt>
                <c:pt idx="308">
                  <c:v>22909</c:v>
                </c:pt>
                <c:pt idx="309">
                  <c:v>23042.25</c:v>
                </c:pt>
                <c:pt idx="310">
                  <c:v>23175.5</c:v>
                </c:pt>
                <c:pt idx="311">
                  <c:v>23308.75</c:v>
                </c:pt>
                <c:pt idx="312">
                  <c:v>23442</c:v>
                </c:pt>
                <c:pt idx="313">
                  <c:v>23578.5</c:v>
                </c:pt>
                <c:pt idx="314">
                  <c:v>23715</c:v>
                </c:pt>
                <c:pt idx="315">
                  <c:v>23851.5</c:v>
                </c:pt>
                <c:pt idx="316">
                  <c:v>23988</c:v>
                </c:pt>
                <c:pt idx="317">
                  <c:v>24127.75</c:v>
                </c:pt>
                <c:pt idx="318">
                  <c:v>24267.5</c:v>
                </c:pt>
                <c:pt idx="319">
                  <c:v>24407.25</c:v>
                </c:pt>
                <c:pt idx="320">
                  <c:v>24547</c:v>
                </c:pt>
                <c:pt idx="321">
                  <c:v>24690</c:v>
                </c:pt>
                <c:pt idx="322">
                  <c:v>24833</c:v>
                </c:pt>
                <c:pt idx="323">
                  <c:v>24976</c:v>
                </c:pt>
                <c:pt idx="324">
                  <c:v>25119</c:v>
                </c:pt>
                <c:pt idx="325">
                  <c:v>25265.25</c:v>
                </c:pt>
                <c:pt idx="326">
                  <c:v>25411.5</c:v>
                </c:pt>
                <c:pt idx="327">
                  <c:v>25557.75</c:v>
                </c:pt>
                <c:pt idx="328">
                  <c:v>25704</c:v>
                </c:pt>
                <c:pt idx="329">
                  <c:v>25853.75</c:v>
                </c:pt>
                <c:pt idx="330">
                  <c:v>26003.5</c:v>
                </c:pt>
                <c:pt idx="331">
                  <c:v>26153.25</c:v>
                </c:pt>
                <c:pt idx="332">
                  <c:v>26303</c:v>
                </c:pt>
                <c:pt idx="333">
                  <c:v>26456</c:v>
                </c:pt>
                <c:pt idx="334">
                  <c:v>26609</c:v>
                </c:pt>
                <c:pt idx="335">
                  <c:v>26762</c:v>
                </c:pt>
                <c:pt idx="336">
                  <c:v>26915</c:v>
                </c:pt>
                <c:pt idx="337">
                  <c:v>27071.75</c:v>
                </c:pt>
                <c:pt idx="338">
                  <c:v>27228.5</c:v>
                </c:pt>
                <c:pt idx="339">
                  <c:v>27385.25</c:v>
                </c:pt>
                <c:pt idx="340">
                  <c:v>27542</c:v>
                </c:pt>
                <c:pt idx="341">
                  <c:v>27702.5</c:v>
                </c:pt>
                <c:pt idx="342">
                  <c:v>27863</c:v>
                </c:pt>
                <c:pt idx="343">
                  <c:v>28023.5</c:v>
                </c:pt>
                <c:pt idx="344">
                  <c:v>28184</c:v>
                </c:pt>
                <c:pt idx="345">
                  <c:v>28348</c:v>
                </c:pt>
                <c:pt idx="346">
                  <c:v>28512</c:v>
                </c:pt>
                <c:pt idx="347">
                  <c:v>28676</c:v>
                </c:pt>
                <c:pt idx="348">
                  <c:v>28840</c:v>
                </c:pt>
                <c:pt idx="349">
                  <c:v>29008</c:v>
                </c:pt>
                <c:pt idx="350">
                  <c:v>29176</c:v>
                </c:pt>
                <c:pt idx="351">
                  <c:v>29344</c:v>
                </c:pt>
                <c:pt idx="352">
                  <c:v>29512</c:v>
                </c:pt>
                <c:pt idx="353">
                  <c:v>29684</c:v>
                </c:pt>
                <c:pt idx="354">
                  <c:v>29856</c:v>
                </c:pt>
                <c:pt idx="355">
                  <c:v>30028</c:v>
                </c:pt>
                <c:pt idx="356">
                  <c:v>30200</c:v>
                </c:pt>
                <c:pt idx="357">
                  <c:v>30375.75</c:v>
                </c:pt>
                <c:pt idx="358">
                  <c:v>30551.5</c:v>
                </c:pt>
                <c:pt idx="359">
                  <c:v>30727.25</c:v>
                </c:pt>
                <c:pt idx="360">
                  <c:v>30903</c:v>
                </c:pt>
                <c:pt idx="361">
                  <c:v>31083</c:v>
                </c:pt>
                <c:pt idx="362">
                  <c:v>31263</c:v>
                </c:pt>
                <c:pt idx="363">
                  <c:v>31443</c:v>
                </c:pt>
                <c:pt idx="364">
                  <c:v>31623</c:v>
                </c:pt>
                <c:pt idx="365">
                  <c:v>31807</c:v>
                </c:pt>
                <c:pt idx="366">
                  <c:v>31991</c:v>
                </c:pt>
                <c:pt idx="367">
                  <c:v>32175</c:v>
                </c:pt>
                <c:pt idx="368">
                  <c:v>32359</c:v>
                </c:pt>
                <c:pt idx="369">
                  <c:v>32547.5</c:v>
                </c:pt>
                <c:pt idx="370">
                  <c:v>32736</c:v>
                </c:pt>
                <c:pt idx="371">
                  <c:v>32924.5</c:v>
                </c:pt>
                <c:pt idx="372">
                  <c:v>33113</c:v>
                </c:pt>
                <c:pt idx="373">
                  <c:v>33305.75</c:v>
                </c:pt>
                <c:pt idx="374">
                  <c:v>33498.5</c:v>
                </c:pt>
                <c:pt idx="375">
                  <c:v>33691.25</c:v>
                </c:pt>
                <c:pt idx="376">
                  <c:v>33884</c:v>
                </c:pt>
                <c:pt idx="377">
                  <c:v>34081.5</c:v>
                </c:pt>
                <c:pt idx="378">
                  <c:v>34279</c:v>
                </c:pt>
                <c:pt idx="379">
                  <c:v>34476.5</c:v>
                </c:pt>
                <c:pt idx="380">
                  <c:v>34674</c:v>
                </c:pt>
                <c:pt idx="381">
                  <c:v>34875.75</c:v>
                </c:pt>
                <c:pt idx="382">
                  <c:v>35077.5</c:v>
                </c:pt>
                <c:pt idx="383">
                  <c:v>35279.25</c:v>
                </c:pt>
                <c:pt idx="384">
                  <c:v>35481</c:v>
                </c:pt>
                <c:pt idx="385">
                  <c:v>35687.75</c:v>
                </c:pt>
                <c:pt idx="386">
                  <c:v>35894.5</c:v>
                </c:pt>
                <c:pt idx="387">
                  <c:v>36101.25</c:v>
                </c:pt>
                <c:pt idx="388">
                  <c:v>36308</c:v>
                </c:pt>
                <c:pt idx="389">
                  <c:v>36519.5</c:v>
                </c:pt>
                <c:pt idx="390">
                  <c:v>36731</c:v>
                </c:pt>
                <c:pt idx="391">
                  <c:v>36942.5</c:v>
                </c:pt>
                <c:pt idx="392">
                  <c:v>37154</c:v>
                </c:pt>
                <c:pt idx="393">
                  <c:v>37370.25</c:v>
                </c:pt>
                <c:pt idx="394">
                  <c:v>37586.5</c:v>
                </c:pt>
                <c:pt idx="395">
                  <c:v>37802.75</c:v>
                </c:pt>
                <c:pt idx="396">
                  <c:v>38019</c:v>
                </c:pt>
                <c:pt idx="397">
                  <c:v>38240.5</c:v>
                </c:pt>
                <c:pt idx="398">
                  <c:v>38462</c:v>
                </c:pt>
                <c:pt idx="399">
                  <c:v>38683.5</c:v>
                </c:pt>
                <c:pt idx="400">
                  <c:v>38905</c:v>
                </c:pt>
                <c:pt idx="401">
                  <c:v>39131.5</c:v>
                </c:pt>
                <c:pt idx="402">
                  <c:v>39358</c:v>
                </c:pt>
                <c:pt idx="403">
                  <c:v>39584.5</c:v>
                </c:pt>
                <c:pt idx="404">
                  <c:v>39811</c:v>
                </c:pt>
                <c:pt idx="405">
                  <c:v>40042.75</c:v>
                </c:pt>
                <c:pt idx="406">
                  <c:v>40274.5</c:v>
                </c:pt>
                <c:pt idx="407">
                  <c:v>40506.25</c:v>
                </c:pt>
                <c:pt idx="408">
                  <c:v>40738</c:v>
                </c:pt>
                <c:pt idx="409">
                  <c:v>40975.25</c:v>
                </c:pt>
                <c:pt idx="410">
                  <c:v>41212.5</c:v>
                </c:pt>
                <c:pt idx="411">
                  <c:v>41449.75</c:v>
                </c:pt>
                <c:pt idx="412">
                  <c:v>41687</c:v>
                </c:pt>
                <c:pt idx="413">
                  <c:v>41929.75</c:v>
                </c:pt>
                <c:pt idx="414">
                  <c:v>42172.5</c:v>
                </c:pt>
                <c:pt idx="415">
                  <c:v>42415.25</c:v>
                </c:pt>
                <c:pt idx="416">
                  <c:v>42658</c:v>
                </c:pt>
                <c:pt idx="417">
                  <c:v>42906.5</c:v>
                </c:pt>
                <c:pt idx="418">
                  <c:v>43155</c:v>
                </c:pt>
                <c:pt idx="419">
                  <c:v>43403.5</c:v>
                </c:pt>
                <c:pt idx="420">
                  <c:v>43652</c:v>
                </c:pt>
                <c:pt idx="421">
                  <c:v>43906</c:v>
                </c:pt>
                <c:pt idx="422">
                  <c:v>44160</c:v>
                </c:pt>
                <c:pt idx="423">
                  <c:v>44414</c:v>
                </c:pt>
                <c:pt idx="424">
                  <c:v>44668</c:v>
                </c:pt>
                <c:pt idx="425">
                  <c:v>44928.25</c:v>
                </c:pt>
                <c:pt idx="426">
                  <c:v>45188.5</c:v>
                </c:pt>
                <c:pt idx="427">
                  <c:v>45448.75</c:v>
                </c:pt>
                <c:pt idx="428">
                  <c:v>45709</c:v>
                </c:pt>
                <c:pt idx="429">
                  <c:v>45975.25</c:v>
                </c:pt>
                <c:pt idx="430">
                  <c:v>46241.5</c:v>
                </c:pt>
                <c:pt idx="431">
                  <c:v>46507.75</c:v>
                </c:pt>
                <c:pt idx="432">
                  <c:v>46774</c:v>
                </c:pt>
                <c:pt idx="433">
                  <c:v>47046.25</c:v>
                </c:pt>
                <c:pt idx="434">
                  <c:v>47318.5</c:v>
                </c:pt>
                <c:pt idx="435">
                  <c:v>47590.75</c:v>
                </c:pt>
                <c:pt idx="436">
                  <c:v>47863</c:v>
                </c:pt>
                <c:pt idx="437">
                  <c:v>48141.75</c:v>
                </c:pt>
                <c:pt idx="438">
                  <c:v>48420.5</c:v>
                </c:pt>
                <c:pt idx="439">
                  <c:v>48699.25</c:v>
                </c:pt>
                <c:pt idx="440">
                  <c:v>48978</c:v>
                </c:pt>
                <c:pt idx="441">
                  <c:v>49263.25</c:v>
                </c:pt>
                <c:pt idx="442">
                  <c:v>49548.5</c:v>
                </c:pt>
                <c:pt idx="443">
                  <c:v>49833.75</c:v>
                </c:pt>
                <c:pt idx="444">
                  <c:v>50119</c:v>
                </c:pt>
                <c:pt idx="445">
                  <c:v>50410.75</c:v>
                </c:pt>
                <c:pt idx="446">
                  <c:v>50702.5</c:v>
                </c:pt>
                <c:pt idx="447">
                  <c:v>50994.25</c:v>
                </c:pt>
                <c:pt idx="448">
                  <c:v>51286</c:v>
                </c:pt>
                <c:pt idx="449">
                  <c:v>51584.75</c:v>
                </c:pt>
                <c:pt idx="450">
                  <c:v>51883.5</c:v>
                </c:pt>
                <c:pt idx="451">
                  <c:v>52182.25</c:v>
                </c:pt>
                <c:pt idx="452">
                  <c:v>52481</c:v>
                </c:pt>
                <c:pt idx="453">
                  <c:v>52786.5</c:v>
                </c:pt>
                <c:pt idx="454">
                  <c:v>53092</c:v>
                </c:pt>
                <c:pt idx="455">
                  <c:v>53397.5</c:v>
                </c:pt>
                <c:pt idx="456">
                  <c:v>53703</c:v>
                </c:pt>
                <c:pt idx="457">
                  <c:v>54015.75</c:v>
                </c:pt>
                <c:pt idx="458">
                  <c:v>54328.5</c:v>
                </c:pt>
                <c:pt idx="459">
                  <c:v>54641.25</c:v>
                </c:pt>
                <c:pt idx="460">
                  <c:v>54954</c:v>
                </c:pt>
                <c:pt idx="461">
                  <c:v>55274</c:v>
                </c:pt>
                <c:pt idx="462">
                  <c:v>55594</c:v>
                </c:pt>
                <c:pt idx="463">
                  <c:v>55914</c:v>
                </c:pt>
                <c:pt idx="464">
                  <c:v>56234</c:v>
                </c:pt>
                <c:pt idx="465">
                  <c:v>56561.5</c:v>
                </c:pt>
                <c:pt idx="466">
                  <c:v>56889</c:v>
                </c:pt>
                <c:pt idx="467">
                  <c:v>57216.5</c:v>
                </c:pt>
                <c:pt idx="468">
                  <c:v>57544</c:v>
                </c:pt>
                <c:pt idx="469">
                  <c:v>57879</c:v>
                </c:pt>
                <c:pt idx="470">
                  <c:v>58214</c:v>
                </c:pt>
                <c:pt idx="471">
                  <c:v>58549</c:v>
                </c:pt>
                <c:pt idx="472">
                  <c:v>58884</c:v>
                </c:pt>
                <c:pt idx="473">
                  <c:v>59227</c:v>
                </c:pt>
                <c:pt idx="474">
                  <c:v>59570</c:v>
                </c:pt>
                <c:pt idx="475">
                  <c:v>59913</c:v>
                </c:pt>
                <c:pt idx="476">
                  <c:v>60256</c:v>
                </c:pt>
                <c:pt idx="477">
                  <c:v>60607</c:v>
                </c:pt>
                <c:pt idx="478">
                  <c:v>60958</c:v>
                </c:pt>
                <c:pt idx="479">
                  <c:v>61309</c:v>
                </c:pt>
                <c:pt idx="480">
                  <c:v>61660</c:v>
                </c:pt>
                <c:pt idx="481">
                  <c:v>62019</c:v>
                </c:pt>
                <c:pt idx="482">
                  <c:v>62378</c:v>
                </c:pt>
                <c:pt idx="483">
                  <c:v>62737</c:v>
                </c:pt>
                <c:pt idx="484">
                  <c:v>63096</c:v>
                </c:pt>
                <c:pt idx="485">
                  <c:v>63463.25</c:v>
                </c:pt>
                <c:pt idx="486">
                  <c:v>63830.5</c:v>
                </c:pt>
                <c:pt idx="487">
                  <c:v>64197.75</c:v>
                </c:pt>
                <c:pt idx="488">
                  <c:v>64565</c:v>
                </c:pt>
                <c:pt idx="489">
                  <c:v>64941</c:v>
                </c:pt>
                <c:pt idx="490">
                  <c:v>65317</c:v>
                </c:pt>
                <c:pt idx="491">
                  <c:v>65693</c:v>
                </c:pt>
                <c:pt idx="492">
                  <c:v>66069</c:v>
                </c:pt>
                <c:pt idx="493">
                  <c:v>66453.75</c:v>
                </c:pt>
                <c:pt idx="494">
                  <c:v>66838.5</c:v>
                </c:pt>
                <c:pt idx="495">
                  <c:v>67223.25</c:v>
                </c:pt>
                <c:pt idx="496">
                  <c:v>67608</c:v>
                </c:pt>
                <c:pt idx="497">
                  <c:v>68001.75</c:v>
                </c:pt>
                <c:pt idx="498">
                  <c:v>68395.5</c:v>
                </c:pt>
                <c:pt idx="499">
                  <c:v>68789.25</c:v>
                </c:pt>
                <c:pt idx="500">
                  <c:v>69183</c:v>
                </c:pt>
                <c:pt idx="501">
                  <c:v>69586</c:v>
                </c:pt>
                <c:pt idx="502">
                  <c:v>69989</c:v>
                </c:pt>
                <c:pt idx="503">
                  <c:v>70392</c:v>
                </c:pt>
                <c:pt idx="504">
                  <c:v>70795</c:v>
                </c:pt>
                <c:pt idx="505">
                  <c:v>71207.25</c:v>
                </c:pt>
                <c:pt idx="506">
                  <c:v>71619.5</c:v>
                </c:pt>
                <c:pt idx="507">
                  <c:v>72031.75</c:v>
                </c:pt>
                <c:pt idx="508">
                  <c:v>72444</c:v>
                </c:pt>
                <c:pt idx="509">
                  <c:v>72865.75</c:v>
                </c:pt>
                <c:pt idx="510">
                  <c:v>73287.5</c:v>
                </c:pt>
                <c:pt idx="511">
                  <c:v>73709.25</c:v>
                </c:pt>
                <c:pt idx="512">
                  <c:v>74131</c:v>
                </c:pt>
                <c:pt idx="513">
                  <c:v>74562.75</c:v>
                </c:pt>
                <c:pt idx="514">
                  <c:v>74994.5</c:v>
                </c:pt>
                <c:pt idx="515">
                  <c:v>75426.25</c:v>
                </c:pt>
                <c:pt idx="516">
                  <c:v>75858</c:v>
                </c:pt>
                <c:pt idx="517">
                  <c:v>76299.75</c:v>
                </c:pt>
                <c:pt idx="518">
                  <c:v>76741.5</c:v>
                </c:pt>
                <c:pt idx="519">
                  <c:v>77183.25</c:v>
                </c:pt>
                <c:pt idx="520">
                  <c:v>77625</c:v>
                </c:pt>
                <c:pt idx="521">
                  <c:v>78077</c:v>
                </c:pt>
                <c:pt idx="522">
                  <c:v>78529</c:v>
                </c:pt>
                <c:pt idx="523">
                  <c:v>78981</c:v>
                </c:pt>
                <c:pt idx="524">
                  <c:v>79433</c:v>
                </c:pt>
                <c:pt idx="525">
                  <c:v>79895.5</c:v>
                </c:pt>
                <c:pt idx="526">
                  <c:v>80358</c:v>
                </c:pt>
                <c:pt idx="527">
                  <c:v>80820.5</c:v>
                </c:pt>
                <c:pt idx="528">
                  <c:v>81283</c:v>
                </c:pt>
                <c:pt idx="529">
                  <c:v>81756.25</c:v>
                </c:pt>
                <c:pt idx="530">
                  <c:v>82229.5</c:v>
                </c:pt>
                <c:pt idx="531">
                  <c:v>82702.75</c:v>
                </c:pt>
                <c:pt idx="532">
                  <c:v>83176</c:v>
                </c:pt>
                <c:pt idx="533">
                  <c:v>83660.5</c:v>
                </c:pt>
                <c:pt idx="534">
                  <c:v>84145</c:v>
                </c:pt>
                <c:pt idx="535">
                  <c:v>84629.5</c:v>
                </c:pt>
                <c:pt idx="536">
                  <c:v>85114</c:v>
                </c:pt>
                <c:pt idx="537">
                  <c:v>85609.5</c:v>
                </c:pt>
                <c:pt idx="538">
                  <c:v>86105</c:v>
                </c:pt>
                <c:pt idx="539">
                  <c:v>86600.5</c:v>
                </c:pt>
                <c:pt idx="540">
                  <c:v>87096</c:v>
                </c:pt>
                <c:pt idx="541">
                  <c:v>87603.25</c:v>
                </c:pt>
                <c:pt idx="542">
                  <c:v>88110.5</c:v>
                </c:pt>
                <c:pt idx="543">
                  <c:v>88617.75</c:v>
                </c:pt>
                <c:pt idx="544">
                  <c:v>89125</c:v>
                </c:pt>
                <c:pt idx="545">
                  <c:v>89644</c:v>
                </c:pt>
                <c:pt idx="546">
                  <c:v>90163</c:v>
                </c:pt>
                <c:pt idx="547">
                  <c:v>90682</c:v>
                </c:pt>
                <c:pt idx="548">
                  <c:v>91201</c:v>
                </c:pt>
                <c:pt idx="549">
                  <c:v>91732</c:v>
                </c:pt>
                <c:pt idx="550">
                  <c:v>92263</c:v>
                </c:pt>
                <c:pt idx="551">
                  <c:v>92794</c:v>
                </c:pt>
                <c:pt idx="552">
                  <c:v>93325</c:v>
                </c:pt>
                <c:pt idx="553">
                  <c:v>93868.5</c:v>
                </c:pt>
                <c:pt idx="554">
                  <c:v>94412</c:v>
                </c:pt>
                <c:pt idx="555">
                  <c:v>94955.5</c:v>
                </c:pt>
                <c:pt idx="556">
                  <c:v>95499</c:v>
                </c:pt>
                <c:pt idx="557">
                  <c:v>96611.5</c:v>
                </c:pt>
                <c:pt idx="558">
                  <c:v>97724</c:v>
                </c:pt>
                <c:pt idx="559">
                  <c:v>98862</c:v>
                </c:pt>
                <c:pt idx="560">
                  <c:v>100000</c:v>
                </c:pt>
                <c:pt idx="561">
                  <c:v>101165</c:v>
                </c:pt>
                <c:pt idx="562">
                  <c:v>102330</c:v>
                </c:pt>
                <c:pt idx="563">
                  <c:v>103520</c:v>
                </c:pt>
                <c:pt idx="564">
                  <c:v>104710</c:v>
                </c:pt>
                <c:pt idx="565">
                  <c:v>105930</c:v>
                </c:pt>
                <c:pt idx="566">
                  <c:v>107150</c:v>
                </c:pt>
                <c:pt idx="567">
                  <c:v>108400</c:v>
                </c:pt>
                <c:pt idx="568">
                  <c:v>109650</c:v>
                </c:pt>
                <c:pt idx="569">
                  <c:v>110925</c:v>
                </c:pt>
                <c:pt idx="570">
                  <c:v>112200</c:v>
                </c:pt>
                <c:pt idx="571">
                  <c:v>113510</c:v>
                </c:pt>
                <c:pt idx="572">
                  <c:v>114820</c:v>
                </c:pt>
                <c:pt idx="573">
                  <c:v>116155</c:v>
                </c:pt>
                <c:pt idx="574">
                  <c:v>117490</c:v>
                </c:pt>
                <c:pt idx="575">
                  <c:v>118860</c:v>
                </c:pt>
                <c:pt idx="576">
                  <c:v>120230</c:v>
                </c:pt>
                <c:pt idx="577">
                  <c:v>126030</c:v>
                </c:pt>
                <c:pt idx="578">
                  <c:v>131830</c:v>
                </c:pt>
                <c:pt idx="579">
                  <c:v>144540</c:v>
                </c:pt>
                <c:pt idx="580">
                  <c:v>158490</c:v>
                </c:pt>
                <c:pt idx="581">
                  <c:v>173780</c:v>
                </c:pt>
                <c:pt idx="582">
                  <c:v>190550</c:v>
                </c:pt>
                <c:pt idx="583">
                  <c:v>208930</c:v>
                </c:pt>
                <c:pt idx="584">
                  <c:v>229090</c:v>
                </c:pt>
                <c:pt idx="585">
                  <c:v>251190</c:v>
                </c:pt>
                <c:pt idx="586">
                  <c:v>275420</c:v>
                </c:pt>
                <c:pt idx="587">
                  <c:v>302000</c:v>
                </c:pt>
                <c:pt idx="588">
                  <c:v>331130</c:v>
                </c:pt>
                <c:pt idx="589">
                  <c:v>363080</c:v>
                </c:pt>
                <c:pt idx="590">
                  <c:v>398110</c:v>
                </c:pt>
                <c:pt idx="591">
                  <c:v>436520</c:v>
                </c:pt>
                <c:pt idx="592">
                  <c:v>478630</c:v>
                </c:pt>
                <c:pt idx="593">
                  <c:v>524810</c:v>
                </c:pt>
                <c:pt idx="594">
                  <c:v>575440</c:v>
                </c:pt>
                <c:pt idx="595">
                  <c:v>630960</c:v>
                </c:pt>
                <c:pt idx="596">
                  <c:v>691830</c:v>
                </c:pt>
                <c:pt idx="597">
                  <c:v>758580</c:v>
                </c:pt>
                <c:pt idx="598">
                  <c:v>831760</c:v>
                </c:pt>
                <c:pt idx="599">
                  <c:v>912010</c:v>
                </c:pt>
                <c:pt idx="600">
                  <c:v>1000000</c:v>
                </c:pt>
              </c:numCache>
            </c:numRef>
          </c:xVal>
          <c:yVal>
            <c:numRef>
              <c:f>'Stability Calculations'!$V$13:$V$613</c:f>
              <c:numCache>
                <c:formatCode>0.00</c:formatCode>
                <c:ptCount val="601"/>
                <c:pt idx="0">
                  <c:v>-53.026060695921707</c:v>
                </c:pt>
                <c:pt idx="1">
                  <c:v>-55.529774491644581</c:v>
                </c:pt>
                <c:pt idx="2">
                  <c:v>-57.952289332892363</c:v>
                </c:pt>
                <c:pt idx="3">
                  <c:v>-60.279739120462388</c:v>
                </c:pt>
                <c:pt idx="4">
                  <c:v>-62.499906784484608</c:v>
                </c:pt>
                <c:pt idx="5">
                  <c:v>-64.608691050088922</c:v>
                </c:pt>
                <c:pt idx="6">
                  <c:v>-66.59815220651042</c:v>
                </c:pt>
                <c:pt idx="7">
                  <c:v>-68.46739121446889</c:v>
                </c:pt>
                <c:pt idx="8">
                  <c:v>-70.215092160718285</c:v>
                </c:pt>
                <c:pt idx="9">
                  <c:v>-71.844470081680072</c:v>
                </c:pt>
                <c:pt idx="10">
                  <c:v>-73.357907879218061</c:v>
                </c:pt>
                <c:pt idx="11">
                  <c:v>-74.760115537398548</c:v>
                </c:pt>
                <c:pt idx="12">
                  <c:v>-76.056999623128021</c:v>
                </c:pt>
                <c:pt idx="13">
                  <c:v>-77.253056664059059</c:v>
                </c:pt>
                <c:pt idx="14">
                  <c:v>-78.355295731007985</c:v>
                </c:pt>
                <c:pt idx="15">
                  <c:v>-79.369395402365811</c:v>
                </c:pt>
                <c:pt idx="16">
                  <c:v>-80.301554588587308</c:v>
                </c:pt>
                <c:pt idx="17">
                  <c:v>-81.157633638740393</c:v>
                </c:pt>
                <c:pt idx="18">
                  <c:v>-81.943654880014435</c:v>
                </c:pt>
                <c:pt idx="19">
                  <c:v>-82.664926718390873</c:v>
                </c:pt>
                <c:pt idx="20">
                  <c:v>-83.326838300629447</c:v>
                </c:pt>
                <c:pt idx="21">
                  <c:v>-83.934200867068313</c:v>
                </c:pt>
                <c:pt idx="22">
                  <c:v>-84.491786014914922</c:v>
                </c:pt>
                <c:pt idx="23">
                  <c:v>-85.003797634640605</c:v>
                </c:pt>
                <c:pt idx="24">
                  <c:v>-85.474414526927404</c:v>
                </c:pt>
                <c:pt idx="25">
                  <c:v>-85.907325128661554</c:v>
                </c:pt>
                <c:pt idx="26">
                  <c:v>-86.30612324345843</c:v>
                </c:pt>
                <c:pt idx="27">
                  <c:v>-86.673930917681673</c:v>
                </c:pt>
                <c:pt idx="28">
                  <c:v>-87.013793093452122</c:v>
                </c:pt>
                <c:pt idx="29">
                  <c:v>-87.328335871053</c:v>
                </c:pt>
                <c:pt idx="30">
                  <c:v>-87.62069332302039</c:v>
                </c:pt>
                <c:pt idx="31">
                  <c:v>-87.89287294968446</c:v>
                </c:pt>
                <c:pt idx="32">
                  <c:v>-88.147340578674232</c:v>
                </c:pt>
                <c:pt idx="33">
                  <c:v>-88.38605196535147</c:v>
                </c:pt>
                <c:pt idx="34">
                  <c:v>-88.611200231440179</c:v>
                </c:pt>
                <c:pt idx="35">
                  <c:v>-88.824551222117961</c:v>
                </c:pt>
                <c:pt idx="36">
                  <c:v>-89.02794087467413</c:v>
                </c:pt>
                <c:pt idx="37">
                  <c:v>-89.223189991422458</c:v>
                </c:pt>
                <c:pt idx="38">
                  <c:v>-89.411760818593791</c:v>
                </c:pt>
                <c:pt idx="39">
                  <c:v>-89.595400425871603</c:v>
                </c:pt>
                <c:pt idx="40">
                  <c:v>-89.775588872571603</c:v>
                </c:pt>
                <c:pt idx="41">
                  <c:v>-89.953864055732041</c:v>
                </c:pt>
                <c:pt idx="42">
                  <c:v>-90.131706552245078</c:v>
                </c:pt>
                <c:pt idx="43">
                  <c:v>-90.310668999267477</c:v>
                </c:pt>
                <c:pt idx="44">
                  <c:v>-90.49221147621229</c:v>
                </c:pt>
                <c:pt idx="45">
                  <c:v>-90.67789761789372</c:v>
                </c:pt>
                <c:pt idx="46">
                  <c:v>-90.869247800484246</c:v>
                </c:pt>
                <c:pt idx="47">
                  <c:v>-91.067904369349961</c:v>
                </c:pt>
                <c:pt idx="48">
                  <c:v>-91.275473690123263</c:v>
                </c:pt>
                <c:pt idx="49">
                  <c:v>-91.493730819448388</c:v>
                </c:pt>
                <c:pt idx="50">
                  <c:v>-91.724443755666854</c:v>
                </c:pt>
                <c:pt idx="51">
                  <c:v>-91.969559745950519</c:v>
                </c:pt>
                <c:pt idx="52">
                  <c:v>-92.230992913233081</c:v>
                </c:pt>
                <c:pt idx="53">
                  <c:v>-92.510848786873481</c:v>
                </c:pt>
                <c:pt idx="54">
                  <c:v>-92.811148078798624</c:v>
                </c:pt>
                <c:pt idx="55">
                  <c:v>-93.134752398626773</c:v>
                </c:pt>
                <c:pt idx="56">
                  <c:v>-93.483704757443448</c:v>
                </c:pt>
                <c:pt idx="57">
                  <c:v>-93.860844789755461</c:v>
                </c:pt>
                <c:pt idx="58">
                  <c:v>-94.268630944521206</c:v>
                </c:pt>
                <c:pt idx="59">
                  <c:v>-94.710225794139191</c:v>
                </c:pt>
                <c:pt idx="60">
                  <c:v>-95.188337397935257</c:v>
                </c:pt>
                <c:pt idx="61">
                  <c:v>-95.706042217730001</c:v>
                </c:pt>
                <c:pt idx="62">
                  <c:v>-96.266689333326738</c:v>
                </c:pt>
                <c:pt idx="63">
                  <c:v>-96.872751407497816</c:v>
                </c:pt>
                <c:pt idx="64">
                  <c:v>-97.5275915927254</c:v>
                </c:pt>
                <c:pt idx="65">
                  <c:v>-98.233632348733209</c:v>
                </c:pt>
                <c:pt idx="66">
                  <c:v>-98.993202974459564</c:v>
                </c:pt>
                <c:pt idx="67">
                  <c:v>-99.807899581698919</c:v>
                </c:pt>
                <c:pt idx="68">
                  <c:v>-100.6788883014606</c:v>
                </c:pt>
                <c:pt idx="69">
                  <c:v>-101.6058127141884</c:v>
                </c:pt>
                <c:pt idx="70">
                  <c:v>-102.58736829649624</c:v>
                </c:pt>
                <c:pt idx="71">
                  <c:v>-103.62016533333977</c:v>
                </c:pt>
                <c:pt idx="72">
                  <c:v>-104.69918043781728</c:v>
                </c:pt>
                <c:pt idx="73">
                  <c:v>-105.81650374472225</c:v>
                </c:pt>
                <c:pt idx="74">
                  <c:v>-106.96208445063151</c:v>
                </c:pt>
                <c:pt idx="75">
                  <c:v>-108.12252582673536</c:v>
                </c:pt>
                <c:pt idx="76">
                  <c:v>-109.28193899220845</c:v>
                </c:pt>
                <c:pt idx="77">
                  <c:v>-110.42101973842639</c:v>
                </c:pt>
                <c:pt idx="78">
                  <c:v>-111.51852744009484</c:v>
                </c:pt>
                <c:pt idx="79">
                  <c:v>-112.55089823893454</c:v>
                </c:pt>
                <c:pt idx="80">
                  <c:v>-113.49617290008919</c:v>
                </c:pt>
                <c:pt idx="81">
                  <c:v>-114.32973241886074</c:v>
                </c:pt>
                <c:pt idx="82">
                  <c:v>-115.0306899825796</c:v>
                </c:pt>
                <c:pt idx="83">
                  <c:v>-115.58020175222094</c:v>
                </c:pt>
                <c:pt idx="84">
                  <c:v>-115.96463417307218</c:v>
                </c:pt>
                <c:pt idx="85">
                  <c:v>-116.17495937986752</c:v>
                </c:pt>
                <c:pt idx="86">
                  <c:v>-116.20845505280855</c:v>
                </c:pt>
                <c:pt idx="87">
                  <c:v>-116.06841695832418</c:v>
                </c:pt>
                <c:pt idx="88">
                  <c:v>-115.76441361797916</c:v>
                </c:pt>
                <c:pt idx="89">
                  <c:v>-115.31115557356186</c:v>
                </c:pt>
                <c:pt idx="90">
                  <c:v>-114.72823423354059</c:v>
                </c:pt>
                <c:pt idx="91">
                  <c:v>-114.03848147325017</c:v>
                </c:pt>
                <c:pt idx="92">
                  <c:v>-113.26697266088149</c:v>
                </c:pt>
                <c:pt idx="93">
                  <c:v>-112.4392386215109</c:v>
                </c:pt>
                <c:pt idx="94">
                  <c:v>-112.22662286214003</c:v>
                </c:pt>
                <c:pt idx="95">
                  <c:v>-112.11905559250226</c:v>
                </c:pt>
                <c:pt idx="96">
                  <c:v>-112.01238746097076</c:v>
                </c:pt>
                <c:pt idx="97">
                  <c:v>-111.90420754297972</c:v>
                </c:pt>
                <c:pt idx="98">
                  <c:v>-111.79702723169184</c:v>
                </c:pt>
                <c:pt idx="99">
                  <c:v>-111.68839580963304</c:v>
                </c:pt>
                <c:pt idx="100">
                  <c:v>-111.58086096398767</c:v>
                </c:pt>
                <c:pt idx="101">
                  <c:v>-111.47201955550265</c:v>
                </c:pt>
                <c:pt idx="102">
                  <c:v>-111.36436637315281</c:v>
                </c:pt>
                <c:pt idx="103">
                  <c:v>-111.25539073366697</c:v>
                </c:pt>
                <c:pt idx="104">
                  <c:v>-111.14769306791966</c:v>
                </c:pt>
                <c:pt idx="105">
                  <c:v>-111.03881952883255</c:v>
                </c:pt>
                <c:pt idx="106">
                  <c:v>-110.93130814132745</c:v>
                </c:pt>
                <c:pt idx="107">
                  <c:v>-110.82276422774061</c:v>
                </c:pt>
                <c:pt idx="108">
                  <c:v>-110.71566080156205</c:v>
                </c:pt>
                <c:pt idx="109">
                  <c:v>-110.60759130578153</c:v>
                </c:pt>
                <c:pt idx="110">
                  <c:v>-110.50103666089983</c:v>
                </c:pt>
                <c:pt idx="111">
                  <c:v>-110.3935133924894</c:v>
                </c:pt>
                <c:pt idx="112">
                  <c:v>-110.28757748192686</c:v>
                </c:pt>
                <c:pt idx="113">
                  <c:v>-110.18081630167393</c:v>
                </c:pt>
                <c:pt idx="114">
                  <c:v>-110.07570894257013</c:v>
                </c:pt>
                <c:pt idx="115">
                  <c:v>-109.96984823649856</c:v>
                </c:pt>
                <c:pt idx="116">
                  <c:v>-109.86570383335524</c:v>
                </c:pt>
                <c:pt idx="117">
                  <c:v>-109.76087944010615</c:v>
                </c:pt>
                <c:pt idx="118">
                  <c:v>-109.65782985016605</c:v>
                </c:pt>
                <c:pt idx="119">
                  <c:v>-109.55423712724841</c:v>
                </c:pt>
                <c:pt idx="120">
                  <c:v>-109.45247152215228</c:v>
                </c:pt>
                <c:pt idx="121">
                  <c:v>-109.35023392944879</c:v>
                </c:pt>
                <c:pt idx="122">
                  <c:v>-109.24987180659214</c:v>
                </c:pt>
                <c:pt idx="123">
                  <c:v>-109.14905179855356</c:v>
                </c:pt>
                <c:pt idx="124">
                  <c:v>-109.05015390118444</c:v>
                </c:pt>
                <c:pt idx="125">
                  <c:v>-108.95093070246362</c:v>
                </c:pt>
                <c:pt idx="126">
                  <c:v>-108.85367012749522</c:v>
                </c:pt>
                <c:pt idx="127">
                  <c:v>-108.75615718671209</c:v>
                </c:pt>
                <c:pt idx="128">
                  <c:v>-108.66064353915354</c:v>
                </c:pt>
                <c:pt idx="129">
                  <c:v>-108.56495067473533</c:v>
                </c:pt>
                <c:pt idx="130">
                  <c:v>-108.47128998338485</c:v>
                </c:pt>
                <c:pt idx="131">
                  <c:v>-108.37752325657861</c:v>
                </c:pt>
                <c:pt idx="132">
                  <c:v>-108.33141499715346</c:v>
                </c:pt>
                <c:pt idx="133">
                  <c:v>-108.28581785324687</c:v>
                </c:pt>
                <c:pt idx="134">
                  <c:v>-108.23966186432524</c:v>
                </c:pt>
                <c:pt idx="135">
                  <c:v>-108.19403263342143</c:v>
                </c:pt>
                <c:pt idx="136">
                  <c:v>-108.14892563813855</c:v>
                </c:pt>
                <c:pt idx="137">
                  <c:v>-108.10433636152035</c:v>
                </c:pt>
                <c:pt idx="138">
                  <c:v>-108.05926552214331</c:v>
                </c:pt>
                <c:pt idx="139">
                  <c:v>-108.01472664729933</c:v>
                </c:pt>
                <c:pt idx="140">
                  <c:v>-107.97071493672124</c:v>
                </c:pt>
                <c:pt idx="141">
                  <c:v>-107.9272256048918</c:v>
                </c:pt>
                <c:pt idx="142">
                  <c:v>-107.88324112015113</c:v>
                </c:pt>
                <c:pt idx="143">
                  <c:v>-107.8397939887587</c:v>
                </c:pt>
                <c:pt idx="144">
                  <c:v>-107.79687913650146</c:v>
                </c:pt>
                <c:pt idx="145">
                  <c:v>-107.75449151293317</c:v>
                </c:pt>
                <c:pt idx="146">
                  <c:v>-107.7116624656458</c:v>
                </c:pt>
                <c:pt idx="147">
                  <c:v>-107.66937474172276</c:v>
                </c:pt>
                <c:pt idx="148">
                  <c:v>-107.62762301879818</c:v>
                </c:pt>
                <c:pt idx="149">
                  <c:v>-107.58640200689322</c:v>
                </c:pt>
                <c:pt idx="150">
                  <c:v>-107.5447716853479</c:v>
                </c:pt>
                <c:pt idx="151">
                  <c:v>-107.50368580653655</c:v>
                </c:pt>
                <c:pt idx="152">
                  <c:v>-107.4631388184073</c:v>
                </c:pt>
                <c:pt idx="153">
                  <c:v>-107.42312520953179</c:v>
                </c:pt>
                <c:pt idx="154">
                  <c:v>-107.38271631314898</c:v>
                </c:pt>
                <c:pt idx="155">
                  <c:v>-107.34285465446658</c:v>
                </c:pt>
                <c:pt idx="156">
                  <c:v>-107.30353446218628</c:v>
                </c:pt>
                <c:pt idx="157">
                  <c:v>-107.26475001356314</c:v>
                </c:pt>
                <c:pt idx="158">
                  <c:v>-107.22560454104637</c:v>
                </c:pt>
                <c:pt idx="159">
                  <c:v>-107.1870082726592</c:v>
                </c:pt>
                <c:pt idx="160">
                  <c:v>-107.14895523600158</c:v>
                </c:pt>
                <c:pt idx="161">
                  <c:v>-107.11143951477283</c:v>
                </c:pt>
                <c:pt idx="162">
                  <c:v>-107.07361370450766</c:v>
                </c:pt>
                <c:pt idx="163">
                  <c:v>-107.03633778257219</c:v>
                </c:pt>
                <c:pt idx="164">
                  <c:v>-106.99960560157675</c:v>
                </c:pt>
                <c:pt idx="165">
                  <c:v>-106.96341107726674</c:v>
                </c:pt>
                <c:pt idx="166">
                  <c:v>-106.92690846441751</c:v>
                </c:pt>
                <c:pt idx="167">
                  <c:v>-106.89095662323425</c:v>
                </c:pt>
                <c:pt idx="168">
                  <c:v>-106.85554923296171</c:v>
                </c:pt>
                <c:pt idx="169">
                  <c:v>-106.82068004282874</c:v>
                </c:pt>
                <c:pt idx="170">
                  <c:v>-106.78561180848943</c:v>
                </c:pt>
                <c:pt idx="171">
                  <c:v>-106.75109216022025</c:v>
                </c:pt>
                <c:pt idx="172">
                  <c:v>-106.71711466201884</c:v>
                </c:pt>
                <c:pt idx="173">
                  <c:v>-106.68367295367686</c:v>
                </c:pt>
                <c:pt idx="174">
                  <c:v>-106.64993781950066</c:v>
                </c:pt>
                <c:pt idx="175">
                  <c:v>-106.61675253519989</c:v>
                </c:pt>
                <c:pt idx="176">
                  <c:v>-106.58411049360643</c:v>
                </c:pt>
                <c:pt idx="177">
                  <c:v>-106.55200516988786</c:v>
                </c:pt>
                <c:pt idx="178">
                  <c:v>-106.51966031129278</c:v>
                </c:pt>
                <c:pt idx="179">
                  <c:v>-106.48786528621191</c:v>
                </c:pt>
                <c:pt idx="180">
                  <c:v>-106.45661334219118</c:v>
                </c:pt>
                <c:pt idx="181">
                  <c:v>-106.42589781514653</c:v>
                </c:pt>
                <c:pt idx="182">
                  <c:v>-106.39511377459611</c:v>
                </c:pt>
                <c:pt idx="183">
                  <c:v>-106.3648740947163</c:v>
                </c:pt>
                <c:pt idx="184">
                  <c:v>-106.33517198302424</c:v>
                </c:pt>
                <c:pt idx="185">
                  <c:v>-106.30600073944646</c:v>
                </c:pt>
                <c:pt idx="186">
                  <c:v>-106.27657469855033</c:v>
                </c:pt>
                <c:pt idx="187">
                  <c:v>-106.24769502732929</c:v>
                </c:pt>
                <c:pt idx="188">
                  <c:v>-106.21935475741444</c:v>
                </c:pt>
                <c:pt idx="189">
                  <c:v>-106.19154701923762</c:v>
                </c:pt>
                <c:pt idx="190">
                  <c:v>-106.16374946117013</c:v>
                </c:pt>
                <c:pt idx="191">
                  <c:v>-106.13649085806468</c:v>
                </c:pt>
                <c:pt idx="192">
                  <c:v>-106.10976424894348</c:v>
                </c:pt>
                <c:pt idx="193">
                  <c:v>-106.08356277445355</c:v>
                </c:pt>
                <c:pt idx="194">
                  <c:v>-106.05721324852937</c:v>
                </c:pt>
                <c:pt idx="195">
                  <c:v>-106.03140243951762</c:v>
                </c:pt>
                <c:pt idx="196">
                  <c:v>-106.00612325959682</c:v>
                </c:pt>
                <c:pt idx="197">
                  <c:v>-105.98136872787506</c:v>
                </c:pt>
                <c:pt idx="198">
                  <c:v>-105.95660697889996</c:v>
                </c:pt>
                <c:pt idx="199">
                  <c:v>-105.93237870263629</c:v>
                </c:pt>
                <c:pt idx="200">
                  <c:v>-105.9086767859249</c:v>
                </c:pt>
                <c:pt idx="201">
                  <c:v>-105.88549422572051</c:v>
                </c:pt>
                <c:pt idx="202">
                  <c:v>-105.86234389771616</c:v>
                </c:pt>
                <c:pt idx="203">
                  <c:v>-105.83972099775085</c:v>
                </c:pt>
                <c:pt idx="204">
                  <c:v>-105.81761840806598</c:v>
                </c:pt>
                <c:pt idx="205">
                  <c:v>-105.79602912363363</c:v>
                </c:pt>
                <c:pt idx="206">
                  <c:v>-105.774436527399</c:v>
                </c:pt>
                <c:pt idx="207">
                  <c:v>-105.75336814160043</c:v>
                </c:pt>
                <c:pt idx="208">
                  <c:v>-105.73281679061171</c:v>
                </c:pt>
                <c:pt idx="209">
                  <c:v>-105.71277541517269</c:v>
                </c:pt>
                <c:pt idx="210">
                  <c:v>-105.6927105901033</c:v>
                </c:pt>
                <c:pt idx="211">
                  <c:v>-105.67316923484094</c:v>
                </c:pt>
                <c:pt idx="212">
                  <c:v>-105.65414406682252</c:v>
                </c:pt>
                <c:pt idx="213">
                  <c:v>-105.63562792451198</c:v>
                </c:pt>
                <c:pt idx="214">
                  <c:v>-105.61725973434723</c:v>
                </c:pt>
                <c:pt idx="215">
                  <c:v>-105.599406392708</c:v>
                </c:pt>
                <c:pt idx="216">
                  <c:v>-105.5820606767123</c:v>
                </c:pt>
                <c:pt idx="217">
                  <c:v>-105.56521548540766</c:v>
                </c:pt>
                <c:pt idx="218">
                  <c:v>-105.54849669951767</c:v>
                </c:pt>
                <c:pt idx="219">
                  <c:v>-105.53228687847465</c:v>
                </c:pt>
                <c:pt idx="220">
                  <c:v>-105.51657880598387</c:v>
                </c:pt>
                <c:pt idx="221">
                  <c:v>-105.50136538965293</c:v>
                </c:pt>
                <c:pt idx="222">
                  <c:v>-105.48631688236576</c:v>
                </c:pt>
                <c:pt idx="223">
                  <c:v>-105.47177072858351</c:v>
                </c:pt>
                <c:pt idx="224">
                  <c:v>-105.45771973749423</c:v>
                </c:pt>
                <c:pt idx="225">
                  <c:v>-105.44415684363457</c:v>
                </c:pt>
                <c:pt idx="226">
                  <c:v>-105.43075516588722</c:v>
                </c:pt>
                <c:pt idx="227">
                  <c:v>-105.41785158176242</c:v>
                </c:pt>
                <c:pt idx="228">
                  <c:v>-105.40543887841629</c:v>
                </c:pt>
                <c:pt idx="229">
                  <c:v>-105.39350997082845</c:v>
                </c:pt>
                <c:pt idx="230">
                  <c:v>-105.37055361115648</c:v>
                </c:pt>
                <c:pt idx="231">
                  <c:v>-105.35980766009008</c:v>
                </c:pt>
                <c:pt idx="232">
                  <c:v>-105.34954037277937</c:v>
                </c:pt>
                <c:pt idx="233">
                  <c:v>-105.3395179317199</c:v>
                </c:pt>
                <c:pt idx="234">
                  <c:v>-105.32998253014237</c:v>
                </c:pt>
                <c:pt idx="235">
                  <c:v>-105.32092697280596</c:v>
                </c:pt>
                <c:pt idx="236">
                  <c:v>-105.31234419561282</c:v>
                </c:pt>
                <c:pt idx="237">
                  <c:v>-105.30406734565702</c:v>
                </c:pt>
                <c:pt idx="238">
                  <c:v>-105.29626820462046</c:v>
                </c:pt>
                <c:pt idx="239">
                  <c:v>-105.28893967427977</c:v>
                </c:pt>
                <c:pt idx="240">
                  <c:v>-105.28207478696167</c:v>
                </c:pt>
                <c:pt idx="241">
                  <c:v>-105.27550878913567</c:v>
                </c:pt>
                <c:pt idx="242">
                  <c:v>-105.26941601143872</c:v>
                </c:pt>
                <c:pt idx="243">
                  <c:v>-105.2637893477974</c:v>
                </c:pt>
                <c:pt idx="244">
                  <c:v>-105.25862182458826</c:v>
                </c:pt>
                <c:pt idx="245">
                  <c:v>-105.25380717635484</c:v>
                </c:pt>
                <c:pt idx="246">
                  <c:v>-105.24945792118909</c:v>
                </c:pt>
                <c:pt idx="247">
                  <c:v>-105.24556702213167</c:v>
                </c:pt>
                <c:pt idx="248">
                  <c:v>-105.24212757460933</c:v>
                </c:pt>
                <c:pt idx="249">
                  <c:v>-105.23906525917808</c:v>
                </c:pt>
                <c:pt idx="250">
                  <c:v>-105.23646243154009</c:v>
                </c:pt>
                <c:pt idx="251">
                  <c:v>-105.23431208276908</c:v>
                </c:pt>
                <c:pt idx="252">
                  <c:v>-105.23260733722432</c:v>
                </c:pt>
                <c:pt idx="253">
                  <c:v>-105.23131935218414</c:v>
                </c:pt>
                <c:pt idx="254">
                  <c:v>-105.23048195242302</c:v>
                </c:pt>
                <c:pt idx="255">
                  <c:v>-105.23008822768195</c:v>
                </c:pt>
                <c:pt idx="256">
                  <c:v>-105.23013140003546</c:v>
                </c:pt>
                <c:pt idx="257">
                  <c:v>-105.2306227444391</c:v>
                </c:pt>
                <c:pt idx="258">
                  <c:v>-105.23155987879974</c:v>
                </c:pt>
                <c:pt idx="259">
                  <c:v>-105.23293589936446</c:v>
                </c:pt>
                <c:pt idx="260">
                  <c:v>-105.23474403605253</c:v>
                </c:pt>
                <c:pt idx="261">
                  <c:v>-105.23703330690745</c:v>
                </c:pt>
                <c:pt idx="262">
                  <c:v>-105.23976065003777</c:v>
                </c:pt>
                <c:pt idx="263">
                  <c:v>-105.242919237302</c:v>
                </c:pt>
                <c:pt idx="264">
                  <c:v>-105.24650237374493</c:v>
                </c:pt>
                <c:pt idx="265">
                  <c:v>-105.25059710625382</c:v>
                </c:pt>
                <c:pt idx="266">
                  <c:v>-105.25512173197301</c:v>
                </c:pt>
                <c:pt idx="267">
                  <c:v>-105.26006951129304</c:v>
                </c:pt>
                <c:pt idx="268">
                  <c:v>-105.265433836906</c:v>
                </c:pt>
                <c:pt idx="269">
                  <c:v>-105.27135272769004</c:v>
                </c:pt>
                <c:pt idx="270">
                  <c:v>-105.27769491468007</c:v>
                </c:pt>
                <c:pt idx="271">
                  <c:v>-105.28445371155509</c:v>
                </c:pt>
                <c:pt idx="272">
                  <c:v>-105.29162256427455</c:v>
                </c:pt>
                <c:pt idx="273">
                  <c:v>-105.2993784647804</c:v>
                </c:pt>
                <c:pt idx="274">
                  <c:v>-105.30755050695687</c:v>
                </c:pt>
                <c:pt idx="275">
                  <c:v>-105.31613207236254</c:v>
                </c:pt>
                <c:pt idx="276">
                  <c:v>-105.32511667438364</c:v>
                </c:pt>
                <c:pt idx="277">
                  <c:v>-105.33469665143731</c:v>
                </c:pt>
                <c:pt idx="278">
                  <c:v>-105.34468330349658</c:v>
                </c:pt>
                <c:pt idx="279">
                  <c:v>-105.35507013677504</c:v>
                </c:pt>
                <c:pt idx="280">
                  <c:v>-105.36585078729949</c:v>
                </c:pt>
                <c:pt idx="281">
                  <c:v>-105.37732687705098</c:v>
                </c:pt>
                <c:pt idx="282">
                  <c:v>-105.38920520702176</c:v>
                </c:pt>
                <c:pt idx="283">
                  <c:v>-105.40147928913396</c:v>
                </c:pt>
                <c:pt idx="284">
                  <c:v>-105.41414276622737</c:v>
                </c:pt>
                <c:pt idx="285">
                  <c:v>-105.42745129717089</c:v>
                </c:pt>
                <c:pt idx="286">
                  <c:v>-105.44115182917434</c:v>
                </c:pt>
                <c:pt idx="287">
                  <c:v>-105.45523802065212</c:v>
                </c:pt>
                <c:pt idx="288">
                  <c:v>-105.46970365822425</c:v>
                </c:pt>
                <c:pt idx="289">
                  <c:v>-105.48493131974642</c:v>
                </c:pt>
                <c:pt idx="290">
                  <c:v>-105.50054546130318</c:v>
                </c:pt>
                <c:pt idx="291">
                  <c:v>-105.51653977501778</c:v>
                </c:pt>
                <c:pt idx="292">
                  <c:v>-105.53290808149089</c:v>
                </c:pt>
                <c:pt idx="293">
                  <c:v>-105.55003539069969</c:v>
                </c:pt>
                <c:pt idx="294">
                  <c:v>-105.56754148987429</c:v>
                </c:pt>
                <c:pt idx="295">
                  <c:v>-105.5854201582994</c:v>
                </c:pt>
                <c:pt idx="296">
                  <c:v>-105.60366530252448</c:v>
                </c:pt>
                <c:pt idx="297">
                  <c:v>-105.62269532165406</c:v>
                </c:pt>
                <c:pt idx="298">
                  <c:v>-105.64209606510316</c:v>
                </c:pt>
                <c:pt idx="299">
                  <c:v>-105.66186140960494</c:v>
                </c:pt>
                <c:pt idx="300">
                  <c:v>-105.68198535761704</c:v>
                </c:pt>
                <c:pt idx="301">
                  <c:v>-105.7029182678705</c:v>
                </c:pt>
                <c:pt idx="302">
                  <c:v>-105.72421351764642</c:v>
                </c:pt>
                <c:pt idx="303">
                  <c:v>-105.74586509009235</c:v>
                </c:pt>
                <c:pt idx="304">
                  <c:v>-105.76786709224683</c:v>
                </c:pt>
                <c:pt idx="305">
                  <c:v>-105.79078895523736</c:v>
                </c:pt>
                <c:pt idx="306">
                  <c:v>-105.8140672091093</c:v>
                </c:pt>
                <c:pt idx="307">
                  <c:v>-105.83769588347413</c:v>
                </c:pt>
                <c:pt idx="308">
                  <c:v>-105.86166913160204</c:v>
                </c:pt>
                <c:pt idx="309">
                  <c:v>-105.88649715574651</c:v>
                </c:pt>
                <c:pt idx="310">
                  <c:v>-105.91167248971512</c:v>
                </c:pt>
                <c:pt idx="311">
                  <c:v>-105.93718928835044</c:v>
                </c:pt>
                <c:pt idx="312">
                  <c:v>-105.96304182771433</c:v>
                </c:pt>
                <c:pt idx="313">
                  <c:v>-105.98986718152189</c:v>
                </c:pt>
                <c:pt idx="314">
                  <c:v>-106.01703307043732</c:v>
                </c:pt>
                <c:pt idx="315">
                  <c:v>-106.0445337171189</c:v>
                </c:pt>
                <c:pt idx="316">
                  <c:v>-106.07236346454451</c:v>
                </c:pt>
                <c:pt idx="317">
                  <c:v>-106.1011909885847</c:v>
                </c:pt>
                <c:pt idx="318">
                  <c:v>-106.13035184418462</c:v>
                </c:pt>
                <c:pt idx="319">
                  <c:v>-106.15984033262887</c:v>
                </c:pt>
                <c:pt idx="320">
                  <c:v>-106.18965087428634</c:v>
                </c:pt>
                <c:pt idx="321">
                  <c:v>-106.22048236023123</c:v>
                </c:pt>
                <c:pt idx="322">
                  <c:v>-106.25163960130173</c:v>
                </c:pt>
                <c:pt idx="323">
                  <c:v>-106.28311698692957</c:v>
                </c:pt>
                <c:pt idx="324">
                  <c:v>-106.31490902409246</c:v>
                </c:pt>
                <c:pt idx="325">
                  <c:v>-106.34774346235963</c:v>
                </c:pt>
                <c:pt idx="326">
                  <c:v>-106.380895758717</c:v>
                </c:pt>
                <c:pt idx="327">
                  <c:v>-106.41436039902156</c:v>
                </c:pt>
                <c:pt idx="328">
                  <c:v>-106.4481319848682</c:v>
                </c:pt>
                <c:pt idx="329">
                  <c:v>-106.48302431167228</c:v>
                </c:pt>
                <c:pt idx="330">
                  <c:v>-106.51822735494393</c:v>
                </c:pt>
                <c:pt idx="331">
                  <c:v>-106.55373567715884</c:v>
                </c:pt>
                <c:pt idx="332">
                  <c:v>-106.58954395523757</c:v>
                </c:pt>
                <c:pt idx="333">
                  <c:v>-106.62643374508933</c:v>
                </c:pt>
                <c:pt idx="334">
                  <c:v>-106.66362577064343</c:v>
                </c:pt>
                <c:pt idx="335">
                  <c:v>-106.70111470571689</c:v>
                </c:pt>
                <c:pt idx="336">
                  <c:v>-106.73889533627006</c:v>
                </c:pt>
                <c:pt idx="337">
                  <c:v>-106.77789913325513</c:v>
                </c:pt>
                <c:pt idx="338">
                  <c:v>-106.81719836835953</c:v>
                </c:pt>
                <c:pt idx="339">
                  <c:v>-106.8567877819398</c:v>
                </c:pt>
                <c:pt idx="340">
                  <c:v>-106.89666222541241</c:v>
                </c:pt>
                <c:pt idx="341">
                  <c:v>-106.9377806789925</c:v>
                </c:pt>
                <c:pt idx="342">
                  <c:v>-106.9791873827857</c:v>
                </c:pt>
                <c:pt idx="343">
                  <c:v>-107.02087715291188</c:v>
                </c:pt>
                <c:pt idx="344">
                  <c:v>-107.06284491517553</c:v>
                </c:pt>
                <c:pt idx="345">
                  <c:v>-107.10600984594608</c:v>
                </c:pt>
                <c:pt idx="346">
                  <c:v>-107.14945465190431</c:v>
                </c:pt>
                <c:pt idx="347">
                  <c:v>-107.19317425598437</c:v>
                </c:pt>
                <c:pt idx="348">
                  <c:v>-107.23716368852239</c:v>
                </c:pt>
                <c:pt idx="349">
                  <c:v>-107.28250072963864</c:v>
                </c:pt>
                <c:pt idx="350">
                  <c:v>-107.32811069812439</c:v>
                </c:pt>
                <c:pt idx="351">
                  <c:v>-107.37398858399968</c:v>
                </c:pt>
                <c:pt idx="352">
                  <c:v>-107.42012948348702</c:v>
                </c:pt>
                <c:pt idx="353">
                  <c:v>-107.46763644528771</c:v>
                </c:pt>
                <c:pt idx="354">
                  <c:v>-107.51540902073994</c:v>
                </c:pt>
                <c:pt idx="355">
                  <c:v>-107.56344227522257</c:v>
                </c:pt>
                <c:pt idx="356">
                  <c:v>-107.61173137885282</c:v>
                </c:pt>
                <c:pt idx="357">
                  <c:v>-107.66133265575587</c:v>
                </c:pt>
                <c:pt idx="358">
                  <c:v>-107.71119118672244</c:v>
                </c:pt>
                <c:pt idx="359">
                  <c:v>-107.76130214008158</c:v>
                </c:pt>
                <c:pt idx="360">
                  <c:v>-107.81166078662639</c:v>
                </c:pt>
                <c:pt idx="361">
                  <c:v>-107.86348912322528</c:v>
                </c:pt>
                <c:pt idx="362">
                  <c:v>-107.91556755368433</c:v>
                </c:pt>
                <c:pt idx="363">
                  <c:v>-107.96789131397261</c:v>
                </c:pt>
                <c:pt idx="364">
                  <c:v>-108.02045574121318</c:v>
                </c:pt>
                <c:pt idx="365">
                  <c:v>-108.07443226335533</c:v>
                </c:pt>
                <c:pt idx="366">
                  <c:v>-108.12865072637713</c:v>
                </c:pt>
                <c:pt idx="367">
                  <c:v>-108.18310646003076</c:v>
                </c:pt>
                <c:pt idx="368">
                  <c:v>-108.23779489314452</c:v>
                </c:pt>
                <c:pt idx="369">
                  <c:v>-108.29405744322811</c:v>
                </c:pt>
                <c:pt idx="370">
                  <c:v>-108.35055480907079</c:v>
                </c:pt>
                <c:pt idx="371">
                  <c:v>-108.40728238222231</c:v>
                </c:pt>
                <c:pt idx="372">
                  <c:v>-108.46423565210323</c:v>
                </c:pt>
                <c:pt idx="373">
                  <c:v>-108.5227018018021</c:v>
                </c:pt>
                <c:pt idx="374">
                  <c:v>-108.58139470339285</c:v>
                </c:pt>
                <c:pt idx="375">
                  <c:v>-108.64030983491338</c:v>
                </c:pt>
                <c:pt idx="376">
                  <c:v>-108.69944277034223</c:v>
                </c:pt>
                <c:pt idx="377">
                  <c:v>-108.7602543283471</c:v>
                </c:pt>
                <c:pt idx="378">
                  <c:v>-108.82128544692159</c:v>
                </c:pt>
                <c:pt idx="379">
                  <c:v>-108.88253166150713</c:v>
                </c:pt>
                <c:pt idx="380">
                  <c:v>-108.94398860234858</c:v>
                </c:pt>
                <c:pt idx="381">
                  <c:v>-109.00698116355117</c:v>
                </c:pt>
                <c:pt idx="382">
                  <c:v>-109.07018469165507</c:v>
                </c:pt>
                <c:pt idx="383">
                  <c:v>-109.13359481883761</c:v>
                </c:pt>
                <c:pt idx="384">
                  <c:v>-109.19720726980756</c:v>
                </c:pt>
                <c:pt idx="385">
                  <c:v>-109.26260176736186</c:v>
                </c:pt>
                <c:pt idx="386">
                  <c:v>-109.32819993777983</c:v>
                </c:pt>
                <c:pt idx="387">
                  <c:v>-109.39399746632475</c:v>
                </c:pt>
                <c:pt idx="388">
                  <c:v>-109.45999012972278</c:v>
                </c:pt>
                <c:pt idx="389">
                  <c:v>-109.52769654961737</c:v>
                </c:pt>
                <c:pt idx="390">
                  <c:v>-109.59559851550902</c:v>
                </c:pt>
                <c:pt idx="391">
                  <c:v>-109.66369178758488</c:v>
                </c:pt>
                <c:pt idx="392">
                  <c:v>-109.7319722157883</c:v>
                </c:pt>
                <c:pt idx="393">
                  <c:v>-109.80197540545927</c:v>
                </c:pt>
                <c:pt idx="394">
                  <c:v>-109.87216575446831</c:v>
                </c:pt>
                <c:pt idx="395">
                  <c:v>-109.94253910236147</c:v>
                </c:pt>
                <c:pt idx="396">
                  <c:v>-110.0130913765865</c:v>
                </c:pt>
                <c:pt idx="397">
                  <c:v>-110.08553780915884</c:v>
                </c:pt>
                <c:pt idx="398">
                  <c:v>-110.15816358466108</c:v>
                </c:pt>
                <c:pt idx="399">
                  <c:v>-110.23096459819941</c:v>
                </c:pt>
                <c:pt idx="400">
                  <c:v>-110.30393683157524</c:v>
                </c:pt>
                <c:pt idx="401">
                  <c:v>-110.37872925649506</c:v>
                </c:pt>
                <c:pt idx="402">
                  <c:v>-110.45369248782227</c:v>
                </c:pt>
                <c:pt idx="403">
                  <c:v>-110.52882249529293</c:v>
                </c:pt>
                <c:pt idx="404">
                  <c:v>-110.6041153335767</c:v>
                </c:pt>
                <c:pt idx="405">
                  <c:v>-110.68131787756226</c:v>
                </c:pt>
                <c:pt idx="406">
                  <c:v>-110.75868279434626</c:v>
                </c:pt>
                <c:pt idx="407">
                  <c:v>-110.83620611922059</c:v>
                </c:pt>
                <c:pt idx="408">
                  <c:v>-110.91388397088629</c:v>
                </c:pt>
                <c:pt idx="409">
                  <c:v>-110.99356141398403</c:v>
                </c:pt>
                <c:pt idx="410">
                  <c:v>-111.07339283173127</c:v>
                </c:pt>
                <c:pt idx="411">
                  <c:v>-111.15337431705127</c:v>
                </c:pt>
                <c:pt idx="412">
                  <c:v>-111.23350204495723</c:v>
                </c:pt>
                <c:pt idx="413">
                  <c:v>-111.31563477907216</c:v>
                </c:pt>
                <c:pt idx="414">
                  <c:v>-111.39791276694125</c:v>
                </c:pt>
                <c:pt idx="415">
                  <c:v>-111.48033216397799</c:v>
                </c:pt>
                <c:pt idx="416">
                  <c:v>-111.56288920621753</c:v>
                </c:pt>
                <c:pt idx="417">
                  <c:v>-111.64754049780676</c:v>
                </c:pt>
                <c:pt idx="418">
                  <c:v>-111.73232829992261</c:v>
                </c:pt>
                <c:pt idx="419">
                  <c:v>-111.81724882329398</c:v>
                </c:pt>
                <c:pt idx="420">
                  <c:v>-111.90229835799117</c:v>
                </c:pt>
                <c:pt idx="421">
                  <c:v>-111.98935982127075</c:v>
                </c:pt>
                <c:pt idx="422">
                  <c:v>-112.07654847660515</c:v>
                </c:pt>
                <c:pt idx="423">
                  <c:v>-112.16386060556033</c:v>
                </c:pt>
                <c:pt idx="424">
                  <c:v>-112.2512925673236</c:v>
                </c:pt>
                <c:pt idx="425">
                  <c:v>-112.34099647034174</c:v>
                </c:pt>
                <c:pt idx="426">
                  <c:v>-112.43081867846516</c:v>
                </c:pt>
                <c:pt idx="427">
                  <c:v>-112.52075551554435</c:v>
                </c:pt>
                <c:pt idx="428">
                  <c:v>-112.6108033821174</c:v>
                </c:pt>
                <c:pt idx="429">
                  <c:v>-112.70303850357243</c:v>
                </c:pt>
                <c:pt idx="430">
                  <c:v>-112.79538244846314</c:v>
                </c:pt>
                <c:pt idx="431">
                  <c:v>-112.8878315985496</c:v>
                </c:pt>
                <c:pt idx="432">
                  <c:v>-112.98038241090963</c:v>
                </c:pt>
                <c:pt idx="433">
                  <c:v>-113.07512038561956</c:v>
                </c:pt>
                <c:pt idx="434">
                  <c:v>-113.16995739630863</c:v>
                </c:pt>
                <c:pt idx="435">
                  <c:v>-113.26488988645865</c:v>
                </c:pt>
                <c:pt idx="436">
                  <c:v>-113.35991437339437</c:v>
                </c:pt>
                <c:pt idx="437">
                  <c:v>-113.45729933690498</c:v>
                </c:pt>
                <c:pt idx="438">
                  <c:v>-113.55477358216463</c:v>
                </c:pt>
                <c:pt idx="439">
                  <c:v>-113.65233359895745</c:v>
                </c:pt>
                <c:pt idx="440">
                  <c:v>-113.74997594986601</c:v>
                </c:pt>
                <c:pt idx="441">
                  <c:v>-113.84997688721782</c:v>
                </c:pt>
                <c:pt idx="442">
                  <c:v>-113.95005698528909</c:v>
                </c:pt>
                <c:pt idx="443">
                  <c:v>-114.05021278483359</c:v>
                </c:pt>
                <c:pt idx="444">
                  <c:v>-114.15044089823753</c:v>
                </c:pt>
                <c:pt idx="445">
                  <c:v>-114.25302425910189</c:v>
                </c:pt>
                <c:pt idx="446">
                  <c:v>-114.35567631999365</c:v>
                </c:pt>
                <c:pt idx="447">
                  <c:v>-114.45839367673577</c:v>
                </c:pt>
                <c:pt idx="448">
                  <c:v>-114.56117299551732</c:v>
                </c:pt>
                <c:pt idx="449">
                  <c:v>-114.66647911284088</c:v>
                </c:pt>
                <c:pt idx="450">
                  <c:v>-114.77184334403202</c:v>
                </c:pt>
                <c:pt idx="451">
                  <c:v>-114.87726232688949</c:v>
                </c:pt>
                <c:pt idx="452">
                  <c:v>-114.98273276868849</c:v>
                </c:pt>
                <c:pt idx="453">
                  <c:v>-115.09063608079919</c:v>
                </c:pt>
                <c:pt idx="454">
                  <c:v>-115.19858645380637</c:v>
                </c:pt>
                <c:pt idx="455">
                  <c:v>-115.30658058036552</c:v>
                </c:pt>
                <c:pt idx="456">
                  <c:v>-115.41461522138728</c:v>
                </c:pt>
                <c:pt idx="457">
                  <c:v>-115.52525235197946</c:v>
                </c:pt>
                <c:pt idx="458">
                  <c:v>-115.63592528441553</c:v>
                </c:pt>
                <c:pt idx="459">
                  <c:v>-115.74663075425111</c:v>
                </c:pt>
                <c:pt idx="460">
                  <c:v>-115.85736556442978</c:v>
                </c:pt>
                <c:pt idx="461">
                  <c:v>-115.97069447124949</c:v>
                </c:pt>
                <c:pt idx="462">
                  <c:v>-116.08404753140381</c:v>
                </c:pt>
                <c:pt idx="463">
                  <c:v>-116.19742152805877</c:v>
                </c:pt>
                <c:pt idx="464">
                  <c:v>-116.3108133108058</c:v>
                </c:pt>
                <c:pt idx="465">
                  <c:v>-116.4268779101167</c:v>
                </c:pt>
                <c:pt idx="466">
                  <c:v>-116.5429546677623</c:v>
                </c:pt>
                <c:pt idx="467">
                  <c:v>-116.65904041161365</c:v>
                </c:pt>
                <c:pt idx="468">
                  <c:v>-116.77513203512322</c:v>
                </c:pt>
                <c:pt idx="469">
                  <c:v>-116.89388515696854</c:v>
                </c:pt>
                <c:pt idx="470">
                  <c:v>-117.0126380583303</c:v>
                </c:pt>
                <c:pt idx="471">
                  <c:v>-117.13138761642209</c:v>
                </c:pt>
                <c:pt idx="472">
                  <c:v>-117.25013077311269</c:v>
                </c:pt>
                <c:pt idx="473">
                  <c:v>-117.3716998271496</c:v>
                </c:pt>
                <c:pt idx="474">
                  <c:v>-117.4932558825422</c:v>
                </c:pt>
                <c:pt idx="475">
                  <c:v>-117.61479585679285</c:v>
                </c:pt>
                <c:pt idx="476">
                  <c:v>-117.73631673143495</c:v>
                </c:pt>
                <c:pt idx="477">
                  <c:v>-117.86064905546652</c:v>
                </c:pt>
                <c:pt idx="478">
                  <c:v>-117.98495518138016</c:v>
                </c:pt>
                <c:pt idx="479">
                  <c:v>-118.10923207229806</c:v>
                </c:pt>
                <c:pt idx="480">
                  <c:v>-118.23347675466268</c:v>
                </c:pt>
                <c:pt idx="481">
                  <c:v>-118.36051687192115</c:v>
                </c:pt>
                <c:pt idx="482">
                  <c:v>-118.4875171994294</c:v>
                </c:pt>
                <c:pt idx="483">
                  <c:v>-118.61447475092565</c:v>
                </c:pt>
                <c:pt idx="484">
                  <c:v>-118.74138660268684</c:v>
                </c:pt>
                <c:pt idx="485">
                  <c:v>-118.87116468080241</c:v>
                </c:pt>
                <c:pt idx="486">
                  <c:v>-119.00088893870939</c:v>
                </c:pt>
                <c:pt idx="487">
                  <c:v>-119.13055643953332</c:v>
                </c:pt>
                <c:pt idx="488">
                  <c:v>-119.2601643082665</c:v>
                </c:pt>
                <c:pt idx="489">
                  <c:v>-119.39279546026904</c:v>
                </c:pt>
                <c:pt idx="490">
                  <c:v>-119.52535819779405</c:v>
                </c:pt>
                <c:pt idx="491">
                  <c:v>-119.65784962704275</c:v>
                </c:pt>
                <c:pt idx="492">
                  <c:v>-119.79026691567307</c:v>
                </c:pt>
                <c:pt idx="493">
                  <c:v>-119.925686083103</c:v>
                </c:pt>
                <c:pt idx="494">
                  <c:v>-120.06102180923463</c:v>
                </c:pt>
                <c:pt idx="495">
                  <c:v>-120.19627124944449</c:v>
                </c:pt>
                <c:pt idx="496">
                  <c:v>-120.33143162007958</c:v>
                </c:pt>
                <c:pt idx="497">
                  <c:v>-120.46965857547863</c:v>
                </c:pt>
                <c:pt idx="498">
                  <c:v>-120.6077865357575</c:v>
                </c:pt>
                <c:pt idx="499">
                  <c:v>-120.74581270606781</c:v>
                </c:pt>
                <c:pt idx="500">
                  <c:v>-120.88373435213359</c:v>
                </c:pt>
                <c:pt idx="501">
                  <c:v>-121.02478503442838</c:v>
                </c:pt>
                <c:pt idx="502">
                  <c:v>-121.16572061609547</c:v>
                </c:pt>
                <c:pt idx="503">
                  <c:v>-121.30653835326804</c:v>
                </c:pt>
                <c:pt idx="504">
                  <c:v>-121.44723556233623</c:v>
                </c:pt>
                <c:pt idx="505">
                  <c:v>-121.59103472800064</c:v>
                </c:pt>
                <c:pt idx="506">
                  <c:v>-121.73470227511075</c:v>
                </c:pt>
                <c:pt idx="507">
                  <c:v>-121.87823551743122</c:v>
                </c:pt>
                <c:pt idx="508">
                  <c:v>-122.02163182860008</c:v>
                </c:pt>
                <c:pt idx="509">
                  <c:v>-122.16818822482135</c:v>
                </c:pt>
                <c:pt idx="510">
                  <c:v>-122.31459593105747</c:v>
                </c:pt>
                <c:pt idx="511">
                  <c:v>-122.46085232056225</c:v>
                </c:pt>
                <c:pt idx="512">
                  <c:v>-122.6069548261616</c:v>
                </c:pt>
                <c:pt idx="513">
                  <c:v>-122.75635950934733</c:v>
                </c:pt>
                <c:pt idx="514">
                  <c:v>-122.90559766546819</c:v>
                </c:pt>
                <c:pt idx="515">
                  <c:v>-123.05466672534945</c:v>
                </c:pt>
                <c:pt idx="516">
                  <c:v>-123.20356417929692</c:v>
                </c:pt>
                <c:pt idx="517">
                  <c:v>-123.35573015870743</c:v>
                </c:pt>
                <c:pt idx="518">
                  <c:v>-123.5077113600981</c:v>
                </c:pt>
                <c:pt idx="519">
                  <c:v>-123.65950527974236</c:v>
                </c:pt>
                <c:pt idx="520">
                  <c:v>-123.81110947322806</c:v>
                </c:pt>
                <c:pt idx="521">
                  <c:v>-123.9660324949316</c:v>
                </c:pt>
                <c:pt idx="522">
                  <c:v>-124.12075189042449</c:v>
                </c:pt>
                <c:pt idx="523">
                  <c:v>-124.27526522517591</c:v>
                </c:pt>
                <c:pt idx="524">
                  <c:v>-124.42957012386459</c:v>
                </c:pt>
                <c:pt idx="525">
                  <c:v>-124.58724136664252</c:v>
                </c:pt>
                <c:pt idx="526">
                  <c:v>-124.74468952924526</c:v>
                </c:pt>
                <c:pt idx="527">
                  <c:v>-124.90191225071969</c:v>
                </c:pt>
                <c:pt idx="528">
                  <c:v>-125.05890722927086</c:v>
                </c:pt>
                <c:pt idx="529">
                  <c:v>-125.21931319515133</c:v>
                </c:pt>
                <c:pt idx="530">
                  <c:v>-125.37947601593487</c:v>
                </c:pt>
                <c:pt idx="531">
                  <c:v>-125.5393934092604</c:v>
                </c:pt>
                <c:pt idx="532">
                  <c:v>-125.69906315191947</c:v>
                </c:pt>
                <c:pt idx="533">
                  <c:v>-125.86226971837151</c:v>
                </c:pt>
                <c:pt idx="534">
                  <c:v>-126.02521218852054</c:v>
                </c:pt>
                <c:pt idx="535">
                  <c:v>-126.18788836088139</c:v>
                </c:pt>
                <c:pt idx="536">
                  <c:v>-126.35029609327466</c:v>
                </c:pt>
                <c:pt idx="537">
                  <c:v>-126.51611127855617</c:v>
                </c:pt>
                <c:pt idx="538">
                  <c:v>-126.68164134847775</c:v>
                </c:pt>
                <c:pt idx="539">
                  <c:v>-126.84688419553824</c:v>
                </c:pt>
                <c:pt idx="540">
                  <c:v>-127.01183777147936</c:v>
                </c:pt>
                <c:pt idx="541">
                  <c:v>-127.18040124147474</c:v>
                </c:pt>
                <c:pt idx="542">
                  <c:v>-127.34865739900468</c:v>
                </c:pt>
                <c:pt idx="543">
                  <c:v>-127.5166042310188</c:v>
                </c:pt>
                <c:pt idx="544">
                  <c:v>-127.68423978390447</c:v>
                </c:pt>
                <c:pt idx="545">
                  <c:v>-127.85543431182373</c:v>
                </c:pt>
                <c:pt idx="546">
                  <c:v>-128.02629901974268</c:v>
                </c:pt>
                <c:pt idx="547">
                  <c:v>-128.19683199980739</c:v>
                </c:pt>
                <c:pt idx="548">
                  <c:v>-128.36703140368394</c:v>
                </c:pt>
                <c:pt idx="549">
                  <c:v>-128.54081895278927</c:v>
                </c:pt>
                <c:pt idx="550">
                  <c:v>-128.71425359268815</c:v>
                </c:pt>
                <c:pt idx="551">
                  <c:v>-128.88733352878265</c:v>
                </c:pt>
                <c:pt idx="552">
                  <c:v>-129.0600570260745</c:v>
                </c:pt>
                <c:pt idx="553">
                  <c:v>-129.23647564571849</c:v>
                </c:pt>
                <c:pt idx="554">
                  <c:v>-129.41251735505978</c:v>
                </c:pt>
                <c:pt idx="555">
                  <c:v>-129.5881804791052</c:v>
                </c:pt>
                <c:pt idx="556">
                  <c:v>-129.76346340263396</c:v>
                </c:pt>
                <c:pt idx="557">
                  <c:v>-130.12106109385579</c:v>
                </c:pt>
                <c:pt idx="558">
                  <c:v>-130.47704672045157</c:v>
                </c:pt>
                <c:pt idx="559">
                  <c:v>-130.83951195852686</c:v>
                </c:pt>
                <c:pt idx="560">
                  <c:v>-131.20026670966192</c:v>
                </c:pt>
                <c:pt idx="561">
                  <c:v>-131.56779784379412</c:v>
                </c:pt>
                <c:pt idx="562">
                  <c:v>-131.93351503972357</c:v>
                </c:pt>
                <c:pt idx="563">
                  <c:v>-132.30519779657686</c:v>
                </c:pt>
                <c:pt idx="564">
                  <c:v>-132.67496922741532</c:v>
                </c:pt>
                <c:pt idx="565">
                  <c:v>-133.0520700379563</c:v>
                </c:pt>
                <c:pt idx="566">
                  <c:v>-133.42714588589214</c:v>
                </c:pt>
                <c:pt idx="567">
                  <c:v>-133.80933766594117</c:v>
                </c:pt>
                <c:pt idx="568">
                  <c:v>-134.18939047422268</c:v>
                </c:pt>
                <c:pt idx="569">
                  <c:v>-134.57483535293787</c:v>
                </c:pt>
                <c:pt idx="570">
                  <c:v>-134.95804484221583</c:v>
                </c:pt>
                <c:pt idx="571">
                  <c:v>-135.34944172840915</c:v>
                </c:pt>
                <c:pt idx="572">
                  <c:v>-135.73847204960626</c:v>
                </c:pt>
                <c:pt idx="573">
                  <c:v>-136.13248981579702</c:v>
                </c:pt>
                <c:pt idx="574">
                  <c:v>-136.52404662365632</c:v>
                </c:pt>
                <c:pt idx="575">
                  <c:v>-136.92331016570856</c:v>
                </c:pt>
                <c:pt idx="576">
                  <c:v>-137.31998253343761</c:v>
                </c:pt>
                <c:pt idx="577">
                  <c:v>-138.97067360150464</c:v>
                </c:pt>
                <c:pt idx="578">
                  <c:v>-140.57526089567665</c:v>
                </c:pt>
                <c:pt idx="579">
                  <c:v>-143.93306563894222</c:v>
                </c:pt>
                <c:pt idx="580">
                  <c:v>-147.37634056672306</c:v>
                </c:pt>
                <c:pt idx="581">
                  <c:v>-150.87533838386432</c:v>
                </c:pt>
                <c:pt idx="582">
                  <c:v>-154.40578260009192</c:v>
                </c:pt>
                <c:pt idx="583">
                  <c:v>-157.93754613176284</c:v>
                </c:pt>
                <c:pt idx="584">
                  <c:v>-161.44535582205643</c:v>
                </c:pt>
                <c:pt idx="585">
                  <c:v>-164.89940513788963</c:v>
                </c:pt>
                <c:pt idx="586">
                  <c:v>-168.27307560302941</c:v>
                </c:pt>
                <c:pt idx="587">
                  <c:v>-171.5420743471455</c:v>
                </c:pt>
                <c:pt idx="588">
                  <c:v>-174.67888473991539</c:v>
                </c:pt>
                <c:pt idx="589">
                  <c:v>-177.6638970883067</c:v>
                </c:pt>
                <c:pt idx="590">
                  <c:v>-180.47671575081176</c:v>
                </c:pt>
                <c:pt idx="591">
                  <c:v>-183.1021603595658</c:v>
                </c:pt>
                <c:pt idx="592">
                  <c:v>-185.52909657204808</c:v>
                </c:pt>
                <c:pt idx="593">
                  <c:v>-187.75284210296337</c:v>
                </c:pt>
                <c:pt idx="594">
                  <c:v>-189.77343782065873</c:v>
                </c:pt>
                <c:pt idx="595">
                  <c:v>-191.59830137382298</c:v>
                </c:pt>
                <c:pt idx="596">
                  <c:v>-193.24038006100253</c:v>
                </c:pt>
                <c:pt idx="597">
                  <c:v>-194.71919812880208</c:v>
                </c:pt>
                <c:pt idx="598">
                  <c:v>-196.05860070430387</c:v>
                </c:pt>
                <c:pt idx="599">
                  <c:v>-197.28706687840889</c:v>
                </c:pt>
                <c:pt idx="600">
                  <c:v>-198.43518027884349</c:v>
                </c:pt>
              </c:numCache>
            </c:numRef>
          </c:yVal>
          <c:smooth val="0"/>
          <c:extLst>
            <c:ext xmlns:c16="http://schemas.microsoft.com/office/drawing/2014/chart" uri="{C3380CC4-5D6E-409C-BE32-E72D297353CC}">
              <c16:uniqueId val="{0000000B-4BA7-4FA6-AB73-85DC72E7447B}"/>
            </c:ext>
          </c:extLst>
        </c:ser>
        <c:ser>
          <c:idx val="1"/>
          <c:order val="7"/>
          <c:tx>
            <c:v>Fc1</c:v>
          </c:tx>
          <c:spPr>
            <a:ln w="25400">
              <a:solidFill>
                <a:schemeClr val="tx1">
                  <a:lumMod val="50000"/>
                  <a:lumOff val="50000"/>
                </a:schemeClr>
              </a:solidFill>
              <a:prstDash val="sysDash"/>
            </a:ln>
          </c:spPr>
          <c:marker>
            <c:symbol val="plus"/>
            <c:size val="10"/>
            <c:spPr>
              <a:noFill/>
              <a:ln w="28575">
                <a:solidFill>
                  <a:schemeClr val="tx1"/>
                </a:solidFill>
              </a:ln>
            </c:spPr>
          </c:marker>
          <c:dPt>
            <c:idx val="2"/>
            <c:marker>
              <c:symbol val="none"/>
            </c:marker>
            <c:bubble3D val="0"/>
            <c:extLst>
              <c:ext xmlns:c16="http://schemas.microsoft.com/office/drawing/2014/chart" uri="{C3380CC4-5D6E-409C-BE32-E72D297353CC}">
                <c16:uniqueId val="{0000000C-4BA7-4FA6-AB73-85DC72E7447B}"/>
              </c:ext>
            </c:extLst>
          </c:dPt>
          <c:xVal>
            <c:numRef>
              <c:f>'Stability Calculations'!$A$617:$A$618</c:f>
              <c:numCache>
                <c:formatCode>General</c:formatCode>
                <c:ptCount val="2"/>
                <c:pt idx="0">
                  <c:v>38683.5</c:v>
                </c:pt>
                <c:pt idx="1">
                  <c:v>38683.5</c:v>
                </c:pt>
              </c:numCache>
            </c:numRef>
          </c:xVal>
          <c:yVal>
            <c:numRef>
              <c:f>'Stability Calculations'!$V$617:$V$618</c:f>
              <c:numCache>
                <c:formatCode>0.00</c:formatCode>
                <c:ptCount val="2"/>
                <c:pt idx="0">
                  <c:v>-110.23096459819941</c:v>
                </c:pt>
                <c:pt idx="1">
                  <c:v>-135</c:v>
                </c:pt>
              </c:numCache>
            </c:numRef>
          </c:yVal>
          <c:smooth val="0"/>
          <c:extLst>
            <c:ext xmlns:c16="http://schemas.microsoft.com/office/drawing/2014/chart" uri="{C3380CC4-5D6E-409C-BE32-E72D297353CC}">
              <c16:uniqueId val="{0000000D-4BA7-4FA6-AB73-85DC72E7447B}"/>
            </c:ext>
          </c:extLst>
        </c:ser>
        <c:ser>
          <c:idx val="0"/>
          <c:order val="8"/>
          <c:tx>
            <c:v>Fc2</c:v>
          </c:tx>
          <c:spPr>
            <a:ln w="22225">
              <a:solidFill>
                <a:schemeClr val="tx1">
                  <a:lumMod val="50000"/>
                  <a:lumOff val="50000"/>
                </a:schemeClr>
              </a:solidFill>
              <a:prstDash val="sysDash"/>
            </a:ln>
          </c:spPr>
          <c:marker>
            <c:symbol val="none"/>
          </c:marker>
          <c:xVal>
            <c:numRef>
              <c:f>'Stability Calculations'!$A$619:$A$620</c:f>
              <c:numCache>
                <c:formatCode>General</c:formatCode>
                <c:ptCount val="2"/>
                <c:pt idx="0">
                  <c:v>38683.5</c:v>
                </c:pt>
                <c:pt idx="1">
                  <c:v>1000000</c:v>
                </c:pt>
              </c:numCache>
            </c:numRef>
          </c:xVal>
          <c:yVal>
            <c:numRef>
              <c:f>'Stability Calculations'!$V$619:$V$620</c:f>
              <c:numCache>
                <c:formatCode>0.00</c:formatCode>
                <c:ptCount val="2"/>
                <c:pt idx="1">
                  <c:v>-110.23096459819941</c:v>
                </c:pt>
              </c:numCache>
            </c:numRef>
          </c:yVal>
          <c:smooth val="0"/>
          <c:extLst>
            <c:ext xmlns:c16="http://schemas.microsoft.com/office/drawing/2014/chart" uri="{C3380CC4-5D6E-409C-BE32-E72D297353CC}">
              <c16:uniqueId val="{0000000E-4BA7-4FA6-AB73-85DC72E7447B}"/>
            </c:ext>
          </c:extLst>
        </c:ser>
        <c:dLbls>
          <c:showLegendKey val="0"/>
          <c:showVal val="0"/>
          <c:showCatName val="0"/>
          <c:showSerName val="0"/>
          <c:showPercent val="0"/>
          <c:showBubbleSize val="0"/>
        </c:dLbls>
        <c:axId val="333075584"/>
        <c:axId val="333077120"/>
      </c:scatterChart>
      <c:valAx>
        <c:axId val="333063296"/>
        <c:scaling>
          <c:logBase val="10"/>
          <c:orientation val="minMax"/>
          <c:max val="1000000"/>
          <c:min val="10"/>
        </c:scaling>
        <c:delete val="0"/>
        <c:axPos val="b"/>
        <c:majorGridlines>
          <c:spPr>
            <a:ln w="3175">
              <a:solidFill>
                <a:srgbClr val="969696"/>
              </a:solidFill>
              <a:prstDash val="solid"/>
            </a:ln>
          </c:spPr>
        </c:majorGridlines>
        <c:minorGridlines>
          <c:spPr>
            <a:ln w="3175">
              <a:solidFill>
                <a:srgbClr val="969696"/>
              </a:solidFill>
              <a:prstDash val="solid"/>
            </a:ln>
          </c:spPr>
        </c:minorGridlines>
        <c:title>
          <c:tx>
            <c:rich>
              <a:bodyPr/>
              <a:lstStyle/>
              <a:p>
                <a:pPr>
                  <a:defRPr sz="1200" b="1" i="0" u="none" strike="noStrike" baseline="0">
                    <a:solidFill>
                      <a:srgbClr val="000000"/>
                    </a:solidFill>
                    <a:latin typeface="Arial" pitchFamily="34" charset="0"/>
                    <a:ea typeface="Calibri"/>
                    <a:cs typeface="Arial" pitchFamily="34" charset="0"/>
                  </a:defRPr>
                </a:pPr>
                <a:r>
                  <a:rPr lang="en-US" sz="1200">
                    <a:latin typeface="Arial" pitchFamily="34" charset="0"/>
                    <a:cs typeface="Arial" pitchFamily="34" charset="0"/>
                  </a:rPr>
                  <a:t>Frequency (Hz)</a:t>
                </a:r>
              </a:p>
            </c:rich>
          </c:tx>
          <c:layout>
            <c:manualLayout>
              <c:xMode val="edge"/>
              <c:yMode val="edge"/>
              <c:x val="0.43129335258697837"/>
              <c:y val="0.93828708847530751"/>
            </c:manualLayout>
          </c:layout>
          <c:overlay val="0"/>
          <c:spPr>
            <a:noFill/>
            <a:ln w="25400">
              <a:noFill/>
            </a:ln>
          </c:spPr>
        </c:title>
        <c:numFmt formatCode="General" sourceLinked="0"/>
        <c:majorTickMark val="in"/>
        <c:minorTickMark val="in"/>
        <c:tickLblPos val="nextTo"/>
        <c:spPr>
          <a:ln w="3175">
            <a:solidFill>
              <a:srgbClr val="000000"/>
            </a:solidFill>
            <a:prstDash val="solid"/>
          </a:ln>
        </c:spPr>
        <c:txPr>
          <a:bodyPr rot="0" vert="horz"/>
          <a:lstStyle/>
          <a:p>
            <a:pPr>
              <a:defRPr sz="1100" b="1" i="0" u="none" strike="noStrike" baseline="0">
                <a:solidFill>
                  <a:srgbClr val="000000"/>
                </a:solidFill>
                <a:latin typeface="Arial" pitchFamily="34" charset="0"/>
                <a:ea typeface="Calibri"/>
                <a:cs typeface="Arial" pitchFamily="34" charset="0"/>
              </a:defRPr>
            </a:pPr>
            <a:endParaRPr lang="en-US"/>
          </a:p>
        </c:txPr>
        <c:crossAx val="333065216"/>
        <c:crossesAt val="-80"/>
        <c:crossBetween val="midCat"/>
      </c:valAx>
      <c:valAx>
        <c:axId val="333065216"/>
        <c:scaling>
          <c:orientation val="minMax"/>
          <c:max val="80"/>
          <c:min val="-40"/>
        </c:scaling>
        <c:delete val="0"/>
        <c:axPos val="l"/>
        <c:majorGridlines>
          <c:spPr>
            <a:ln w="3175">
              <a:solidFill>
                <a:srgbClr val="969696"/>
              </a:solidFill>
              <a:prstDash val="solid"/>
            </a:ln>
          </c:spPr>
        </c:majorGridlines>
        <c:title>
          <c:tx>
            <c:rich>
              <a:bodyPr/>
              <a:lstStyle/>
              <a:p>
                <a:pPr>
                  <a:defRPr sz="1200" b="1" i="0" u="none" strike="noStrike" baseline="0">
                    <a:solidFill>
                      <a:srgbClr val="FF0000"/>
                    </a:solidFill>
                    <a:latin typeface="Arial" pitchFamily="34" charset="0"/>
                    <a:ea typeface="Calibri"/>
                    <a:cs typeface="Arial" pitchFamily="34" charset="0"/>
                  </a:defRPr>
                </a:pPr>
                <a:r>
                  <a:rPr lang="en-US" sz="1200" u="none">
                    <a:solidFill>
                      <a:srgbClr val="FF0000"/>
                    </a:solidFill>
                    <a:latin typeface="Arial" pitchFamily="34" charset="0"/>
                    <a:cs typeface="Arial" pitchFamily="34" charset="0"/>
                  </a:rPr>
                  <a:t>Loop Gain (dB)</a:t>
                </a:r>
              </a:p>
            </c:rich>
          </c:tx>
          <c:layout>
            <c:manualLayout>
              <c:xMode val="edge"/>
              <c:yMode val="edge"/>
              <c:x val="1.8000828843762959E-2"/>
              <c:y val="0.3741503322722958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1" i="0" u="none" strike="noStrike" baseline="0">
                <a:solidFill>
                  <a:srgbClr val="FF0000"/>
                </a:solidFill>
                <a:latin typeface="Arial" pitchFamily="34" charset="0"/>
                <a:ea typeface="Calibri"/>
                <a:cs typeface="Arial" pitchFamily="34" charset="0"/>
              </a:defRPr>
            </a:pPr>
            <a:endParaRPr lang="en-US"/>
          </a:p>
        </c:txPr>
        <c:crossAx val="333063296"/>
        <c:crossesAt val="1.0000000000000005E-2"/>
        <c:crossBetween val="midCat"/>
        <c:majorUnit val="20"/>
      </c:valAx>
      <c:valAx>
        <c:axId val="333075584"/>
        <c:scaling>
          <c:logBase val="10"/>
          <c:orientation val="minMax"/>
        </c:scaling>
        <c:delete val="1"/>
        <c:axPos val="b"/>
        <c:numFmt formatCode="General" sourceLinked="1"/>
        <c:majorTickMark val="out"/>
        <c:minorTickMark val="none"/>
        <c:tickLblPos val="none"/>
        <c:crossAx val="333077120"/>
        <c:crosses val="autoZero"/>
        <c:crossBetween val="midCat"/>
      </c:valAx>
      <c:valAx>
        <c:axId val="333077120"/>
        <c:scaling>
          <c:orientation val="minMax"/>
          <c:max val="-45"/>
          <c:min val="-180"/>
        </c:scaling>
        <c:delete val="0"/>
        <c:axPos val="r"/>
        <c:title>
          <c:tx>
            <c:rich>
              <a:bodyPr/>
              <a:lstStyle/>
              <a:p>
                <a:pPr>
                  <a:defRPr sz="1200" b="1" i="0" u="none" strike="noStrike" baseline="0">
                    <a:solidFill>
                      <a:srgbClr val="002060"/>
                    </a:solidFill>
                    <a:latin typeface="Arial" pitchFamily="34" charset="0"/>
                    <a:ea typeface="Calibri"/>
                    <a:cs typeface="Arial" pitchFamily="34" charset="0"/>
                  </a:defRPr>
                </a:pPr>
                <a:r>
                  <a:rPr lang="en-US" sz="1200" b="1">
                    <a:solidFill>
                      <a:srgbClr val="002060"/>
                    </a:solidFill>
                    <a:latin typeface="Arial" pitchFamily="34" charset="0"/>
                    <a:cs typeface="Arial" pitchFamily="34" charset="0"/>
                  </a:rPr>
                  <a:t>Loop Phase  (°)</a:t>
                </a:r>
              </a:p>
            </c:rich>
          </c:tx>
          <c:layout>
            <c:manualLayout>
              <c:xMode val="edge"/>
              <c:yMode val="edge"/>
              <c:x val="0.9649302942395358"/>
              <c:y val="0.3676377952755906"/>
            </c:manualLayout>
          </c:layout>
          <c:overlay val="0"/>
          <c:spPr>
            <a:noFill/>
            <a:ln w="25400">
              <a:noFill/>
            </a:ln>
          </c:spPr>
        </c:title>
        <c:numFmt formatCode="0" sourceLinked="0"/>
        <c:majorTickMark val="cross"/>
        <c:minorTickMark val="none"/>
        <c:tickLblPos val="nextTo"/>
        <c:spPr>
          <a:ln w="3175">
            <a:solidFill>
              <a:srgbClr val="000000"/>
            </a:solidFill>
            <a:prstDash val="solid"/>
          </a:ln>
        </c:spPr>
        <c:txPr>
          <a:bodyPr rot="0" vert="horz"/>
          <a:lstStyle/>
          <a:p>
            <a:pPr>
              <a:defRPr sz="1050" b="1" i="0" u="none" strike="noStrike" baseline="0">
                <a:solidFill>
                  <a:srgbClr val="002060"/>
                </a:solidFill>
                <a:latin typeface="Arial" pitchFamily="34" charset="0"/>
                <a:ea typeface="Calibri"/>
                <a:cs typeface="Arial" pitchFamily="34" charset="0"/>
              </a:defRPr>
            </a:pPr>
            <a:endParaRPr lang="en-US"/>
          </a:p>
        </c:txPr>
        <c:crossAx val="333075584"/>
        <c:crosses val="max"/>
        <c:crossBetween val="midCat"/>
        <c:majorUnit val="45"/>
      </c:valAx>
      <c:spPr>
        <a:noFill/>
        <a:ln w="12700">
          <a:solidFill>
            <a:srgbClr val="808080"/>
          </a:solidFill>
          <a:prstDash val="solid"/>
        </a:ln>
      </c:spPr>
    </c:plotArea>
    <c:plotVisOnly val="1"/>
    <c:dispBlanksAs val="span"/>
    <c:showDLblsOverMax val="0"/>
  </c:chart>
  <c:spPr>
    <a:noFill/>
    <a:ln w="9525">
      <a:noFill/>
    </a:ln>
  </c:spPr>
  <c:txPr>
    <a:bodyPr/>
    <a:lstStyle/>
    <a:p>
      <a:pPr>
        <a:defRPr sz="1000" b="1" i="0" u="none" strike="noStrike" baseline="0">
          <a:solidFill>
            <a:srgbClr val="000000"/>
          </a:solidFill>
          <a:latin typeface="Arial"/>
          <a:ea typeface="Arial"/>
          <a:cs typeface="Arial"/>
        </a:defRPr>
      </a:pPr>
      <a:endParaRPr lang="en-US"/>
    </a:p>
  </c:txPr>
  <c:printSettings>
    <c:headerFooter alignWithMargins="0"/>
    <c:pageMargins b="1" l="0.75000000000000688" r="0.75000000000000688" t="1" header="0.5" footer="0.5"/>
    <c:pageSetup orientation="landscape"/>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i="0" u="none" strike="noStrike" baseline="0">
                <a:solidFill>
                  <a:srgbClr val="000000"/>
                </a:solidFill>
                <a:latin typeface="Arial" pitchFamily="34" charset="0"/>
                <a:ea typeface="Calibri"/>
                <a:cs typeface="Arial" pitchFamily="34" charset="0"/>
              </a:defRPr>
            </a:pPr>
            <a:r>
              <a:rPr lang="en-US" sz="2000" u="none">
                <a:latin typeface="Arial" pitchFamily="34" charset="0"/>
                <a:cs typeface="Arial" pitchFamily="34" charset="0"/>
              </a:rPr>
              <a:t>Filter Attenuations (lower = better)</a:t>
            </a:r>
          </a:p>
        </c:rich>
      </c:tx>
      <c:layout>
        <c:manualLayout>
          <c:xMode val="edge"/>
          <c:yMode val="edge"/>
          <c:x val="8.0358613068103324E-2"/>
          <c:y val="2.0629921259842518E-2"/>
        </c:manualLayout>
      </c:layout>
      <c:overlay val="0"/>
      <c:spPr>
        <a:noFill/>
        <a:ln w="25400">
          <a:noFill/>
        </a:ln>
      </c:spPr>
    </c:title>
    <c:autoTitleDeleted val="0"/>
    <c:plotArea>
      <c:layout>
        <c:manualLayout>
          <c:layoutTarget val="inner"/>
          <c:xMode val="edge"/>
          <c:yMode val="edge"/>
          <c:x val="8.6865550467700392E-2"/>
          <c:y val="0.11264619116931211"/>
          <c:w val="0.80861197204072899"/>
          <c:h val="0.762051843542218"/>
        </c:manualLayout>
      </c:layout>
      <c:scatterChart>
        <c:scatterStyle val="smoothMarker"/>
        <c:varyColors val="0"/>
        <c:ser>
          <c:idx val="2"/>
          <c:order val="0"/>
          <c:tx>
            <c:v>AEF</c:v>
          </c:tx>
          <c:spPr>
            <a:ln w="31750">
              <a:solidFill>
                <a:srgbClr val="FF0000"/>
              </a:solidFill>
              <a:prstDash val="solid"/>
            </a:ln>
          </c:spPr>
          <c:marker>
            <c:symbol val="none"/>
          </c:marker>
          <c:xVal>
            <c:numRef>
              <c:f>'Input Filter Calculations'!$A$13:$A$96</c:f>
              <c:numCache>
                <c:formatCode>General</c:formatCode>
                <c:ptCount val="84"/>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11000</c:v>
                </c:pt>
                <c:pt idx="38">
                  <c:v>12000</c:v>
                </c:pt>
                <c:pt idx="39">
                  <c:v>13000</c:v>
                </c:pt>
                <c:pt idx="40">
                  <c:v>15000</c:v>
                </c:pt>
                <c:pt idx="41">
                  <c:v>16000</c:v>
                </c:pt>
                <c:pt idx="42">
                  <c:v>17500</c:v>
                </c:pt>
                <c:pt idx="43">
                  <c:v>19000</c:v>
                </c:pt>
                <c:pt idx="44">
                  <c:v>20000</c:v>
                </c:pt>
                <c:pt idx="45">
                  <c:v>25000</c:v>
                </c:pt>
                <c:pt idx="46">
                  <c:v>30000</c:v>
                </c:pt>
                <c:pt idx="47">
                  <c:v>35000</c:v>
                </c:pt>
                <c:pt idx="48">
                  <c:v>40000</c:v>
                </c:pt>
                <c:pt idx="49">
                  <c:v>45000</c:v>
                </c:pt>
                <c:pt idx="50">
                  <c:v>50000</c:v>
                </c:pt>
                <c:pt idx="51">
                  <c:v>55000</c:v>
                </c:pt>
                <c:pt idx="52">
                  <c:v>60000</c:v>
                </c:pt>
                <c:pt idx="53">
                  <c:v>65000</c:v>
                </c:pt>
                <c:pt idx="54">
                  <c:v>70000</c:v>
                </c:pt>
                <c:pt idx="55">
                  <c:v>75000</c:v>
                </c:pt>
                <c:pt idx="56">
                  <c:v>80000</c:v>
                </c:pt>
                <c:pt idx="57">
                  <c:v>90000</c:v>
                </c:pt>
                <c:pt idx="58">
                  <c:v>100000</c:v>
                </c:pt>
                <c:pt idx="59">
                  <c:v>110000</c:v>
                </c:pt>
                <c:pt idx="60">
                  <c:v>120000</c:v>
                </c:pt>
                <c:pt idx="61">
                  <c:v>130000</c:v>
                </c:pt>
                <c:pt idx="62">
                  <c:v>150000</c:v>
                </c:pt>
                <c:pt idx="63">
                  <c:v>160000</c:v>
                </c:pt>
                <c:pt idx="64">
                  <c:v>175000</c:v>
                </c:pt>
                <c:pt idx="65">
                  <c:v>190000</c:v>
                </c:pt>
                <c:pt idx="66" formatCode="0.00E+00">
                  <c:v>200000</c:v>
                </c:pt>
                <c:pt idx="67">
                  <c:v>300000</c:v>
                </c:pt>
                <c:pt idx="68" formatCode="0.00E+00">
                  <c:v>400000</c:v>
                </c:pt>
                <c:pt idx="69">
                  <c:v>500000</c:v>
                </c:pt>
                <c:pt idx="70" formatCode="0.00E+00">
                  <c:v>600000</c:v>
                </c:pt>
                <c:pt idx="71">
                  <c:v>700000</c:v>
                </c:pt>
                <c:pt idx="72" formatCode="0.00E+00">
                  <c:v>800000</c:v>
                </c:pt>
                <c:pt idx="73">
                  <c:v>900000</c:v>
                </c:pt>
                <c:pt idx="74" formatCode="0.00E+00">
                  <c:v>1000000</c:v>
                </c:pt>
                <c:pt idx="75" formatCode="0.00E+00">
                  <c:v>2000000</c:v>
                </c:pt>
                <c:pt idx="76" formatCode="0.00E+00">
                  <c:v>3000000</c:v>
                </c:pt>
                <c:pt idx="77" formatCode="0.00E+00">
                  <c:v>4000000</c:v>
                </c:pt>
                <c:pt idx="78" formatCode="0.00E+00">
                  <c:v>5000000</c:v>
                </c:pt>
                <c:pt idx="79" formatCode="0.00E+00">
                  <c:v>6000000</c:v>
                </c:pt>
                <c:pt idx="80" formatCode="0.00E+00">
                  <c:v>7000000</c:v>
                </c:pt>
                <c:pt idx="81" formatCode="0.00E+00">
                  <c:v>8000000</c:v>
                </c:pt>
                <c:pt idx="82" formatCode="0.00E+00">
                  <c:v>9000000</c:v>
                </c:pt>
                <c:pt idx="83" formatCode="0.00E+00">
                  <c:v>10000000</c:v>
                </c:pt>
              </c:numCache>
            </c:numRef>
          </c:xVal>
          <c:yVal>
            <c:numRef>
              <c:f>'Input Filter Calculations'!$AM$13:$AM$96</c:f>
              <c:numCache>
                <c:formatCode>General</c:formatCode>
                <c:ptCount val="8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numCache>
            </c:numRef>
          </c:yVal>
          <c:smooth val="1"/>
          <c:extLst>
            <c:ext xmlns:c16="http://schemas.microsoft.com/office/drawing/2014/chart" uri="{C3380CC4-5D6E-409C-BE32-E72D297353CC}">
              <c16:uniqueId val="{00000002-1554-471F-B0A2-55C295C7D7CC}"/>
            </c:ext>
          </c:extLst>
        </c:ser>
        <c:ser>
          <c:idx val="0"/>
          <c:order val="1"/>
          <c:tx>
            <c:v>Passive</c:v>
          </c:tx>
          <c:spPr>
            <a:ln>
              <a:solidFill>
                <a:srgbClr val="FFC000"/>
              </a:solidFill>
            </a:ln>
          </c:spPr>
          <c:marker>
            <c:symbol val="none"/>
          </c:marker>
          <c:xVal>
            <c:numRef>
              <c:f>'Input Filter Calculations'!$A$13:$A$96</c:f>
              <c:numCache>
                <c:formatCode>General</c:formatCode>
                <c:ptCount val="84"/>
                <c:pt idx="0">
                  <c:v>1</c:v>
                </c:pt>
                <c:pt idx="1">
                  <c:v>2</c:v>
                </c:pt>
                <c:pt idx="2">
                  <c:v>3</c:v>
                </c:pt>
                <c:pt idx="3">
                  <c:v>4</c:v>
                </c:pt>
                <c:pt idx="4">
                  <c:v>5</c:v>
                </c:pt>
                <c:pt idx="5">
                  <c:v>6</c:v>
                </c:pt>
                <c:pt idx="6">
                  <c:v>7</c:v>
                </c:pt>
                <c:pt idx="7">
                  <c:v>8</c:v>
                </c:pt>
                <c:pt idx="8">
                  <c:v>9</c:v>
                </c:pt>
                <c:pt idx="9">
                  <c:v>10</c:v>
                </c:pt>
                <c:pt idx="10">
                  <c:v>20</c:v>
                </c:pt>
                <c:pt idx="11">
                  <c:v>30</c:v>
                </c:pt>
                <c:pt idx="12">
                  <c:v>40</c:v>
                </c:pt>
                <c:pt idx="13">
                  <c:v>50</c:v>
                </c:pt>
                <c:pt idx="14">
                  <c:v>60</c:v>
                </c:pt>
                <c:pt idx="15">
                  <c:v>70</c:v>
                </c:pt>
                <c:pt idx="16">
                  <c:v>80</c:v>
                </c:pt>
                <c:pt idx="17">
                  <c:v>90</c:v>
                </c:pt>
                <c:pt idx="18">
                  <c:v>100</c:v>
                </c:pt>
                <c:pt idx="19">
                  <c:v>200</c:v>
                </c:pt>
                <c:pt idx="20">
                  <c:v>300</c:v>
                </c:pt>
                <c:pt idx="21">
                  <c:v>400</c:v>
                </c:pt>
                <c:pt idx="22">
                  <c:v>500</c:v>
                </c:pt>
                <c:pt idx="23">
                  <c:v>600</c:v>
                </c:pt>
                <c:pt idx="24">
                  <c:v>700</c:v>
                </c:pt>
                <c:pt idx="25">
                  <c:v>800</c:v>
                </c:pt>
                <c:pt idx="26">
                  <c:v>900</c:v>
                </c:pt>
                <c:pt idx="27">
                  <c:v>1000</c:v>
                </c:pt>
                <c:pt idx="28">
                  <c:v>2000</c:v>
                </c:pt>
                <c:pt idx="29">
                  <c:v>3000</c:v>
                </c:pt>
                <c:pt idx="30">
                  <c:v>4000</c:v>
                </c:pt>
                <c:pt idx="31">
                  <c:v>5000</c:v>
                </c:pt>
                <c:pt idx="32">
                  <c:v>6000</c:v>
                </c:pt>
                <c:pt idx="33">
                  <c:v>7000</c:v>
                </c:pt>
                <c:pt idx="34">
                  <c:v>8000</c:v>
                </c:pt>
                <c:pt idx="35">
                  <c:v>9000</c:v>
                </c:pt>
                <c:pt idx="36">
                  <c:v>10000</c:v>
                </c:pt>
                <c:pt idx="37">
                  <c:v>11000</c:v>
                </c:pt>
                <c:pt idx="38">
                  <c:v>12000</c:v>
                </c:pt>
                <c:pt idx="39">
                  <c:v>13000</c:v>
                </c:pt>
                <c:pt idx="40">
                  <c:v>15000</c:v>
                </c:pt>
                <c:pt idx="41">
                  <c:v>16000</c:v>
                </c:pt>
                <c:pt idx="42">
                  <c:v>17500</c:v>
                </c:pt>
                <c:pt idx="43">
                  <c:v>19000</c:v>
                </c:pt>
                <c:pt idx="44">
                  <c:v>20000</c:v>
                </c:pt>
                <c:pt idx="45">
                  <c:v>25000</c:v>
                </c:pt>
                <c:pt idx="46">
                  <c:v>30000</c:v>
                </c:pt>
                <c:pt idx="47">
                  <c:v>35000</c:v>
                </c:pt>
                <c:pt idx="48">
                  <c:v>40000</c:v>
                </c:pt>
                <c:pt idx="49">
                  <c:v>45000</c:v>
                </c:pt>
                <c:pt idx="50">
                  <c:v>50000</c:v>
                </c:pt>
                <c:pt idx="51">
                  <c:v>55000</c:v>
                </c:pt>
                <c:pt idx="52">
                  <c:v>60000</c:v>
                </c:pt>
                <c:pt idx="53">
                  <c:v>65000</c:v>
                </c:pt>
                <c:pt idx="54">
                  <c:v>70000</c:v>
                </c:pt>
                <c:pt idx="55">
                  <c:v>75000</c:v>
                </c:pt>
                <c:pt idx="56">
                  <c:v>80000</c:v>
                </c:pt>
                <c:pt idx="57">
                  <c:v>90000</c:v>
                </c:pt>
                <c:pt idx="58">
                  <c:v>100000</c:v>
                </c:pt>
                <c:pt idx="59">
                  <c:v>110000</c:v>
                </c:pt>
                <c:pt idx="60">
                  <c:v>120000</c:v>
                </c:pt>
                <c:pt idx="61">
                  <c:v>130000</c:v>
                </c:pt>
                <c:pt idx="62">
                  <c:v>150000</c:v>
                </c:pt>
                <c:pt idx="63">
                  <c:v>160000</c:v>
                </c:pt>
                <c:pt idx="64">
                  <c:v>175000</c:v>
                </c:pt>
                <c:pt idx="65">
                  <c:v>190000</c:v>
                </c:pt>
                <c:pt idx="66" formatCode="0.00E+00">
                  <c:v>200000</c:v>
                </c:pt>
                <c:pt idx="67">
                  <c:v>300000</c:v>
                </c:pt>
                <c:pt idx="68" formatCode="0.00E+00">
                  <c:v>400000</c:v>
                </c:pt>
                <c:pt idx="69">
                  <c:v>500000</c:v>
                </c:pt>
                <c:pt idx="70" formatCode="0.00E+00">
                  <c:v>600000</c:v>
                </c:pt>
                <c:pt idx="71">
                  <c:v>700000</c:v>
                </c:pt>
                <c:pt idx="72" formatCode="0.00E+00">
                  <c:v>800000</c:v>
                </c:pt>
                <c:pt idx="73">
                  <c:v>900000</c:v>
                </c:pt>
                <c:pt idx="74" formatCode="0.00E+00">
                  <c:v>1000000</c:v>
                </c:pt>
                <c:pt idx="75" formatCode="0.00E+00">
                  <c:v>2000000</c:v>
                </c:pt>
                <c:pt idx="76" formatCode="0.00E+00">
                  <c:v>3000000</c:v>
                </c:pt>
                <c:pt idx="77" formatCode="0.00E+00">
                  <c:v>4000000</c:v>
                </c:pt>
                <c:pt idx="78" formatCode="0.00E+00">
                  <c:v>5000000</c:v>
                </c:pt>
                <c:pt idx="79" formatCode="0.00E+00">
                  <c:v>6000000</c:v>
                </c:pt>
                <c:pt idx="80" formatCode="0.00E+00">
                  <c:v>7000000</c:v>
                </c:pt>
                <c:pt idx="81" formatCode="0.00E+00">
                  <c:v>8000000</c:v>
                </c:pt>
                <c:pt idx="82" formatCode="0.00E+00">
                  <c:v>9000000</c:v>
                </c:pt>
                <c:pt idx="83" formatCode="0.00E+00">
                  <c:v>10000000</c:v>
                </c:pt>
              </c:numCache>
            </c:numRef>
          </c:xVal>
          <c:yVal>
            <c:numRef>
              <c:f>'Input Filter Calculations'!$AA$13:$AA$96</c:f>
              <c:numCache>
                <c:formatCode>General</c:formatCode>
                <c:ptCount val="84"/>
                <c:pt idx="0">
                  <c:v>3.4274512546547312E-10</c:v>
                </c:pt>
                <c:pt idx="1">
                  <c:v>1.3710672912527204E-9</c:v>
                </c:pt>
                <c:pt idx="2">
                  <c:v>3.0848797076462865E-9</c:v>
                </c:pt>
                <c:pt idx="3">
                  <c:v>5.484271092367277E-9</c:v>
                </c:pt>
                <c:pt idx="4">
                  <c:v>8.5692375875376739E-9</c:v>
                </c:pt>
                <c:pt idx="5">
                  <c:v>1.2339696260264985E-8</c:v>
                </c:pt>
                <c:pt idx="6">
                  <c:v>1.6795643252346658E-8</c:v>
                </c:pt>
                <c:pt idx="7">
                  <c:v>2.1937169209509332E-8</c:v>
                </c:pt>
                <c:pt idx="8">
                  <c:v>2.7764185412408903E-8</c:v>
                </c:pt>
                <c:pt idx="9">
                  <c:v>3.4276778649137416E-8</c:v>
                </c:pt>
                <c:pt idx="10">
                  <c:v>1.3710720057442979E-7</c:v>
                </c:pt>
                <c:pt idx="11">
                  <c:v>3.0849126526975555E-7</c:v>
                </c:pt>
                <c:pt idx="12">
                  <c:v>5.4842887803037698E-7</c:v>
                </c:pt>
                <c:pt idx="13">
                  <c:v>8.5692003703246746E-7</c:v>
                </c:pt>
                <c:pt idx="14">
                  <c:v>1.2339649066219747E-6</c:v>
                </c:pt>
                <c:pt idx="15">
                  <c:v>1.6795633910819215E-6</c:v>
                </c:pt>
                <c:pt idx="16">
                  <c:v>2.1937155666510632E-6</c:v>
                </c:pt>
                <c:pt idx="17">
                  <c:v>2.7764213343660625E-6</c:v>
                </c:pt>
                <c:pt idx="18">
                  <c:v>3.4276806823585146E-6</c:v>
                </c:pt>
                <c:pt idx="19">
                  <c:v>1.3710729639650269E-5</c:v>
                </c:pt>
                <c:pt idx="20">
                  <c:v>3.084916708360373E-5</c:v>
                </c:pt>
                <c:pt idx="21">
                  <c:v>5.4843026783634755E-5</c:v>
                </c:pt>
                <c:pt idx="22">
                  <c:v>8.5692356072072088E-5</c:v>
                </c:pt>
                <c:pt idx="23">
                  <c:v>1.2339721601309145E-4</c:v>
                </c:pt>
                <c:pt idx="24">
                  <c:v>1.6795768070547058E-4</c:v>
                </c:pt>
                <c:pt idx="25">
                  <c:v>2.1937383832667357E-4</c:v>
                </c:pt>
                <c:pt idx="26">
                  <c:v>2.7764579017865241E-4</c:v>
                </c:pt>
                <c:pt idx="27">
                  <c:v>3.4277365128982361E-4</c:v>
                </c:pt>
                <c:pt idx="28">
                  <c:v>1.3711622397485389E-3</c:v>
                </c:pt>
                <c:pt idx="29">
                  <c:v>3.0853687138606856E-3</c:v>
                </c:pt>
                <c:pt idx="30">
                  <c:v>5.4857314697180446E-3</c:v>
                </c:pt>
                <c:pt idx="31">
                  <c:v>8.5727245740982051E-3</c:v>
                </c:pt>
                <c:pt idx="32">
                  <c:v>1.2346958077157324E-2</c:v>
                </c:pt>
                <c:pt idx="33">
                  <c:v>1.680917841515581E-2</c:v>
                </c:pt>
                <c:pt idx="34">
                  <c:v>2.1960268903701091E-2</c:v>
                </c:pt>
                <c:pt idx="35">
                  <c:v>2.7801250322054171E-2</c:v>
                </c:pt>
                <c:pt idx="36">
                  <c:v>3.4333281589256678E-2</c:v>
                </c:pt>
                <c:pt idx="37">
                  <c:v>4.1557660533084087E-2</c:v>
                </c:pt>
                <c:pt idx="38">
                  <c:v>4.9475824752593413E-2</c:v>
                </c:pt>
                <c:pt idx="39">
                  <c:v>5.808935257490936E-2</c:v>
                </c:pt>
                <c:pt idx="40">
                  <c:v>7.7409522394356958E-2</c:v>
                </c:pt>
                <c:pt idx="41">
                  <c:v>8.8120034652894183E-2</c:v>
                </c:pt>
                <c:pt idx="42">
                  <c:v>0.10550484102978921</c:v>
                </c:pt>
                <c:pt idx="43">
                  <c:v>0.12447955922984369</c:v>
                </c:pt>
                <c:pt idx="44">
                  <c:v>0.13801689257265934</c:v>
                </c:pt>
                <c:pt idx="45">
                  <c:v>0.21646204909008521</c:v>
                </c:pt>
                <c:pt idx="46">
                  <c:v>0.31314808208663503</c:v>
                </c:pt>
                <c:pt idx="47">
                  <c:v>0.42858150735745315</c:v>
                </c:pt>
                <c:pt idx="48">
                  <c:v>0.56338125510820847</c:v>
                </c:pt>
                <c:pt idx="49">
                  <c:v>0.71828994959670589</c:v>
                </c:pt>
                <c:pt idx="50">
                  <c:v>0.89418785513768861</c:v>
                </c:pt>
                <c:pt idx="51">
                  <c:v>1.0921099587044569</c:v>
                </c:pt>
                <c:pt idx="52">
                  <c:v>1.3132667689997053</c:v>
                </c:pt>
                <c:pt idx="53">
                  <c:v>1.5590695347266561</c:v>
                </c:pt>
                <c:pt idx="54">
                  <c:v>1.8311607132208529</c:v>
                </c:pt>
                <c:pt idx="55">
                  <c:v>2.1314506343374608</c:v>
                </c:pt>
                <c:pt idx="56">
                  <c:v>2.4621613570964245</c:v>
                </c:pt>
                <c:pt idx="57">
                  <c:v>3.2256122149724868</c:v>
                </c:pt>
                <c:pt idx="58">
                  <c:v>4.1477004385549856</c:v>
                </c:pt>
                <c:pt idx="59">
                  <c:v>5.2635704959533189</c:v>
                </c:pt>
                <c:pt idx="60">
                  <c:v>6.6182385434260986</c:v>
                </c:pt>
                <c:pt idx="61">
                  <c:v>8.2585333921617039</c:v>
                </c:pt>
                <c:pt idx="62">
                  <c:v>12.100245900170394</c:v>
                </c:pt>
                <c:pt idx="63">
                  <c:v>12.959790177872241</c:v>
                </c:pt>
                <c:pt idx="64">
                  <c:v>10.632434371784214</c:v>
                </c:pt>
                <c:pt idx="65">
                  <c:v>7.0430359282769261</c:v>
                </c:pt>
                <c:pt idx="66">
                  <c:v>4.9459582998103908</c:v>
                </c:pt>
                <c:pt idx="67">
                  <c:v>-6.5724330903943216</c:v>
                </c:pt>
                <c:pt idx="68">
                  <c:v>-12.141260868793136</c:v>
                </c:pt>
                <c:pt idx="69">
                  <c:v>-15.811684145573038</c:v>
                </c:pt>
                <c:pt idx="70">
                  <c:v>-18.549182102928064</c:v>
                </c:pt>
                <c:pt idx="71">
                  <c:v>-20.743388875708668</c:v>
                </c:pt>
                <c:pt idx="72">
                  <c:v>-22.588919033913939</c:v>
                </c:pt>
                <c:pt idx="73">
                  <c:v>-24.194781244722876</c:v>
                </c:pt>
                <c:pt idx="74">
                  <c:v>-25.626768047686518</c:v>
                </c:pt>
                <c:pt idx="75">
                  <c:v>-35.485359346827785</c:v>
                </c:pt>
                <c:pt idx="76">
                  <c:v>-41.818827844809874</c:v>
                </c:pt>
                <c:pt idx="77">
                  <c:v>-46.523147642689807</c:v>
                </c:pt>
                <c:pt idx="78">
                  <c:v>-50.254080822840123</c:v>
                </c:pt>
                <c:pt idx="79">
                  <c:v>-53.339467507298949</c:v>
                </c:pt>
                <c:pt idx="80">
                  <c:v>-55.966960551322785</c:v>
                </c:pt>
                <c:pt idx="81">
                  <c:v>-58.253518683206799</c:v>
                </c:pt>
                <c:pt idx="82">
                  <c:v>-60.27671706539698</c:v>
                </c:pt>
                <c:pt idx="83">
                  <c:v>-62.09053569388221</c:v>
                </c:pt>
              </c:numCache>
            </c:numRef>
          </c:yVal>
          <c:smooth val="1"/>
          <c:extLst>
            <c:ext xmlns:c16="http://schemas.microsoft.com/office/drawing/2014/chart" uri="{C3380CC4-5D6E-409C-BE32-E72D297353CC}">
              <c16:uniqueId val="{00000000-62A6-4E66-BDEB-DB8D174C6CED}"/>
            </c:ext>
          </c:extLst>
        </c:ser>
        <c:dLbls>
          <c:showLegendKey val="0"/>
          <c:showVal val="0"/>
          <c:showCatName val="0"/>
          <c:showSerName val="0"/>
          <c:showPercent val="0"/>
          <c:showBubbleSize val="0"/>
        </c:dLbls>
        <c:axId val="333256960"/>
        <c:axId val="333259136"/>
      </c:scatterChart>
      <c:valAx>
        <c:axId val="333256960"/>
        <c:scaling>
          <c:logBase val="10"/>
          <c:orientation val="minMax"/>
          <c:max val="2500000"/>
          <c:min val="10000"/>
        </c:scaling>
        <c:delete val="0"/>
        <c:axPos val="b"/>
        <c:majorGridlines>
          <c:spPr>
            <a:ln w="3175">
              <a:solidFill>
                <a:srgbClr val="969696"/>
              </a:solidFill>
              <a:prstDash val="solid"/>
            </a:ln>
          </c:spPr>
        </c:majorGridlines>
        <c:minorGridlines>
          <c:spPr>
            <a:ln w="3175">
              <a:solidFill>
                <a:srgbClr val="969696"/>
              </a:solidFill>
              <a:prstDash val="solid"/>
            </a:ln>
          </c:spPr>
        </c:minorGridlines>
        <c:title>
          <c:tx>
            <c:rich>
              <a:bodyPr/>
              <a:lstStyle/>
              <a:p>
                <a:pPr>
                  <a:defRPr sz="1200" b="1" i="0" u="none" strike="noStrike" baseline="0">
                    <a:solidFill>
                      <a:srgbClr val="000000"/>
                    </a:solidFill>
                    <a:latin typeface="Arial" pitchFamily="34" charset="0"/>
                    <a:ea typeface="Calibri"/>
                    <a:cs typeface="Arial" pitchFamily="34" charset="0"/>
                  </a:defRPr>
                </a:pPr>
                <a:r>
                  <a:rPr lang="en-US" sz="1200">
                    <a:latin typeface="Arial" pitchFamily="34" charset="0"/>
                    <a:cs typeface="Arial" pitchFamily="34" charset="0"/>
                  </a:rPr>
                  <a:t>Frequency (Hz)</a:t>
                </a:r>
              </a:p>
            </c:rich>
          </c:tx>
          <c:layout>
            <c:manualLayout>
              <c:xMode val="edge"/>
              <c:yMode val="edge"/>
              <c:x val="0.43129335258697837"/>
              <c:y val="0.93828708847530751"/>
            </c:manualLayout>
          </c:layout>
          <c:overlay val="0"/>
          <c:spPr>
            <a:noFill/>
            <a:ln w="25400">
              <a:noFill/>
            </a:ln>
          </c:spPr>
        </c:title>
        <c:numFmt formatCode="General" sourceLinked="0"/>
        <c:majorTickMark val="in"/>
        <c:minorTickMark val="in"/>
        <c:tickLblPos val="nextTo"/>
        <c:spPr>
          <a:ln w="3175">
            <a:solidFill>
              <a:srgbClr val="000000"/>
            </a:solidFill>
            <a:prstDash val="solid"/>
          </a:ln>
        </c:spPr>
        <c:txPr>
          <a:bodyPr rot="0" vert="horz"/>
          <a:lstStyle/>
          <a:p>
            <a:pPr>
              <a:defRPr sz="1100" b="1" i="0" u="none" strike="noStrike" baseline="0">
                <a:solidFill>
                  <a:srgbClr val="000000"/>
                </a:solidFill>
                <a:latin typeface="Arial" pitchFamily="34" charset="0"/>
                <a:ea typeface="Calibri"/>
                <a:cs typeface="Arial" pitchFamily="34" charset="0"/>
              </a:defRPr>
            </a:pPr>
            <a:endParaRPr lang="en-US"/>
          </a:p>
        </c:txPr>
        <c:crossAx val="333259136"/>
        <c:crossesAt val="-80"/>
        <c:crossBetween val="midCat"/>
      </c:valAx>
      <c:valAx>
        <c:axId val="333259136"/>
        <c:scaling>
          <c:orientation val="minMax"/>
          <c:max val="30"/>
          <c:min val="-60"/>
        </c:scaling>
        <c:delete val="0"/>
        <c:axPos val="l"/>
        <c:majorGridlines>
          <c:spPr>
            <a:ln w="3175">
              <a:solidFill>
                <a:srgbClr val="969696"/>
              </a:solidFill>
              <a:prstDash val="solid"/>
            </a:ln>
          </c:spPr>
        </c:majorGridlines>
        <c:title>
          <c:tx>
            <c:rich>
              <a:bodyPr/>
              <a:lstStyle/>
              <a:p>
                <a:pPr>
                  <a:defRPr sz="1200" b="1" i="0" u="none" strike="noStrike" baseline="0">
                    <a:solidFill>
                      <a:srgbClr val="FF0000"/>
                    </a:solidFill>
                    <a:latin typeface="Arial" pitchFamily="34" charset="0"/>
                    <a:ea typeface="Calibri"/>
                    <a:cs typeface="Arial" pitchFamily="34" charset="0"/>
                  </a:defRPr>
                </a:pPr>
                <a:r>
                  <a:rPr lang="en-US" sz="1200" u="none">
                    <a:solidFill>
                      <a:srgbClr val="FF0000"/>
                    </a:solidFill>
                    <a:latin typeface="Arial" pitchFamily="34" charset="0"/>
                    <a:cs typeface="Arial" pitchFamily="34" charset="0"/>
                  </a:rPr>
                  <a:t>Gain (dB)</a:t>
                </a:r>
              </a:p>
            </c:rich>
          </c:tx>
          <c:layout>
            <c:manualLayout>
              <c:xMode val="edge"/>
              <c:yMode val="edge"/>
              <c:x val="1.8000828843762959E-2"/>
              <c:y val="0.3741503322722958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00" b="1" i="0" u="none" strike="noStrike" baseline="0">
                <a:solidFill>
                  <a:srgbClr val="FF0000"/>
                </a:solidFill>
                <a:latin typeface="Arial" pitchFamily="34" charset="0"/>
                <a:ea typeface="Calibri"/>
                <a:cs typeface="Arial" pitchFamily="34" charset="0"/>
              </a:defRPr>
            </a:pPr>
            <a:endParaRPr lang="en-US"/>
          </a:p>
        </c:txPr>
        <c:crossAx val="333256960"/>
        <c:crossesAt val="1.0000000000000005E-2"/>
        <c:crossBetween val="midCat"/>
        <c:majorUnit val="20"/>
      </c:valAx>
      <c:spPr>
        <a:noFill/>
        <a:ln w="12700">
          <a:solidFill>
            <a:srgbClr val="808080"/>
          </a:solidFill>
          <a:prstDash val="solid"/>
        </a:ln>
      </c:spPr>
    </c:plotArea>
    <c:legend>
      <c:legendPos val="r"/>
      <c:layout>
        <c:manualLayout>
          <c:xMode val="edge"/>
          <c:yMode val="edge"/>
          <c:x val="0.89472517730496448"/>
          <c:y val="0.44527969160104985"/>
          <c:w val="9.9364657210401885E-2"/>
          <c:h val="8.4639029496312967E-2"/>
        </c:manualLayout>
      </c:layout>
      <c:overlay val="0"/>
    </c:legend>
    <c:plotVisOnly val="1"/>
    <c:dispBlanksAs val="span"/>
    <c:showDLblsOverMax val="0"/>
  </c:chart>
  <c:spPr>
    <a:noFill/>
    <a:ln w="9525">
      <a:solidFill>
        <a:srgbClr val="808080"/>
      </a:solidFill>
    </a:ln>
  </c:spPr>
  <c:txPr>
    <a:bodyPr/>
    <a:lstStyle/>
    <a:p>
      <a:pPr>
        <a:defRPr sz="1000" b="1" i="0" u="none" strike="noStrike" baseline="0">
          <a:solidFill>
            <a:srgbClr val="000000"/>
          </a:solidFill>
          <a:latin typeface="Arial"/>
          <a:ea typeface="Arial"/>
          <a:cs typeface="Arial"/>
        </a:defRPr>
      </a:pPr>
      <a:endParaRPr lang="en-US"/>
    </a:p>
  </c:txPr>
  <c:printSettings>
    <c:headerFooter alignWithMargins="0"/>
    <c:pageMargins b="1" l="0.75000000000000688" r="0.75000000000000688" t="1" header="0.5" footer="0.5"/>
    <c:pageSetup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a:t> MOSFET Temp Rise</a:t>
            </a:r>
          </a:p>
        </c:rich>
      </c:tx>
      <c:layout>
        <c:manualLayout>
          <c:xMode val="edge"/>
          <c:yMode val="edge"/>
          <c:x val="0.10222965146116514"/>
          <c:y val="5.3971744656178336E-2"/>
        </c:manualLayout>
      </c:layout>
      <c:overlay val="0"/>
      <c:spPr>
        <a:noFill/>
        <a:ln w="25400">
          <a:noFill/>
        </a:ln>
      </c:spPr>
    </c:title>
    <c:autoTitleDeleted val="0"/>
    <c:plotArea>
      <c:layout>
        <c:manualLayout>
          <c:layoutTarget val="inner"/>
          <c:xMode val="edge"/>
          <c:yMode val="edge"/>
          <c:x val="0.10064104795743185"/>
          <c:y val="0.15757606845026328"/>
          <c:w val="0.85614122031885154"/>
          <c:h val="0.71717313204926625"/>
        </c:manualLayout>
      </c:layout>
      <c:scatterChart>
        <c:scatterStyle val="lineMarker"/>
        <c:varyColors val="0"/>
        <c:ser>
          <c:idx val="0"/>
          <c:order val="0"/>
          <c:tx>
            <c:strRef>
              <c:f>'Efficiency Calculations'!$AW$8</c:f>
              <c:strCache>
                <c:ptCount val="1"/>
                <c:pt idx="0">
                  <c:v>Buck ''CONTROL'' MOSFET Temp Rise</c:v>
                </c:pt>
              </c:strCache>
            </c:strRef>
          </c:tx>
          <c:spPr>
            <a:ln w="31750">
              <a:solidFill>
                <a:srgbClr val="000080"/>
              </a:solidFill>
              <a:prstDash val="dash"/>
            </a:ln>
          </c:spPr>
          <c:marker>
            <c:symbol val="none"/>
          </c:marker>
          <c:xVal>
            <c:numRef>
              <c:f>'Efficiency Calculations'!$J$9:$J$109</c:f>
              <c:numCache>
                <c:formatCode>0.000</c:formatCode>
                <c:ptCount val="101"/>
                <c:pt idx="0" formatCode="General">
                  <c:v>0</c:v>
                </c:pt>
                <c:pt idx="1">
                  <c:v>0.08</c:v>
                </c:pt>
                <c:pt idx="2">
                  <c:v>0.16</c:v>
                </c:pt>
                <c:pt idx="3">
                  <c:v>0.24</c:v>
                </c:pt>
                <c:pt idx="4">
                  <c:v>0.32</c:v>
                </c:pt>
                <c:pt idx="5">
                  <c:v>0.4</c:v>
                </c:pt>
                <c:pt idx="6">
                  <c:v>0.48</c:v>
                </c:pt>
                <c:pt idx="7">
                  <c:v>0.56000000000000005</c:v>
                </c:pt>
                <c:pt idx="8">
                  <c:v>0.64</c:v>
                </c:pt>
                <c:pt idx="9">
                  <c:v>0.72</c:v>
                </c:pt>
                <c:pt idx="10">
                  <c:v>0.8</c:v>
                </c:pt>
                <c:pt idx="11">
                  <c:v>0.88</c:v>
                </c:pt>
                <c:pt idx="12">
                  <c:v>0.96</c:v>
                </c:pt>
                <c:pt idx="13">
                  <c:v>1.04</c:v>
                </c:pt>
                <c:pt idx="14">
                  <c:v>1.1200000000000001</c:v>
                </c:pt>
                <c:pt idx="15">
                  <c:v>1.2</c:v>
                </c:pt>
                <c:pt idx="16">
                  <c:v>1.28</c:v>
                </c:pt>
                <c:pt idx="17">
                  <c:v>1.36</c:v>
                </c:pt>
                <c:pt idx="18">
                  <c:v>1.44</c:v>
                </c:pt>
                <c:pt idx="19">
                  <c:v>1.52</c:v>
                </c:pt>
                <c:pt idx="20">
                  <c:v>1.6</c:v>
                </c:pt>
                <c:pt idx="21">
                  <c:v>1.68</c:v>
                </c:pt>
                <c:pt idx="22">
                  <c:v>1.76</c:v>
                </c:pt>
                <c:pt idx="23">
                  <c:v>1.84</c:v>
                </c:pt>
                <c:pt idx="24">
                  <c:v>1.92</c:v>
                </c:pt>
                <c:pt idx="25">
                  <c:v>2</c:v>
                </c:pt>
                <c:pt idx="26">
                  <c:v>2.08</c:v>
                </c:pt>
                <c:pt idx="27">
                  <c:v>2.16</c:v>
                </c:pt>
                <c:pt idx="28">
                  <c:v>2.2400000000000002</c:v>
                </c:pt>
                <c:pt idx="29">
                  <c:v>2.3199999999999998</c:v>
                </c:pt>
                <c:pt idx="30">
                  <c:v>2.4</c:v>
                </c:pt>
                <c:pt idx="31">
                  <c:v>2.48</c:v>
                </c:pt>
                <c:pt idx="32">
                  <c:v>2.56</c:v>
                </c:pt>
                <c:pt idx="33">
                  <c:v>2.64</c:v>
                </c:pt>
                <c:pt idx="34">
                  <c:v>2.72</c:v>
                </c:pt>
                <c:pt idx="35">
                  <c:v>2.8</c:v>
                </c:pt>
                <c:pt idx="36">
                  <c:v>2.88</c:v>
                </c:pt>
                <c:pt idx="37">
                  <c:v>2.96</c:v>
                </c:pt>
                <c:pt idx="38">
                  <c:v>3.04</c:v>
                </c:pt>
                <c:pt idx="39">
                  <c:v>3.12</c:v>
                </c:pt>
                <c:pt idx="40">
                  <c:v>3.2</c:v>
                </c:pt>
                <c:pt idx="41">
                  <c:v>3.28</c:v>
                </c:pt>
                <c:pt idx="42">
                  <c:v>3.36</c:v>
                </c:pt>
                <c:pt idx="43">
                  <c:v>3.44</c:v>
                </c:pt>
                <c:pt idx="44">
                  <c:v>3.52</c:v>
                </c:pt>
                <c:pt idx="45">
                  <c:v>3.6</c:v>
                </c:pt>
                <c:pt idx="46">
                  <c:v>3.68</c:v>
                </c:pt>
                <c:pt idx="47">
                  <c:v>3.76</c:v>
                </c:pt>
                <c:pt idx="48">
                  <c:v>3.84</c:v>
                </c:pt>
                <c:pt idx="49">
                  <c:v>3.92</c:v>
                </c:pt>
                <c:pt idx="50">
                  <c:v>4</c:v>
                </c:pt>
                <c:pt idx="51">
                  <c:v>4.08</c:v>
                </c:pt>
                <c:pt idx="52">
                  <c:v>4.16</c:v>
                </c:pt>
                <c:pt idx="53">
                  <c:v>4.24</c:v>
                </c:pt>
                <c:pt idx="54">
                  <c:v>4.32</c:v>
                </c:pt>
                <c:pt idx="55">
                  <c:v>4.4000000000000004</c:v>
                </c:pt>
                <c:pt idx="56">
                  <c:v>4.4800000000000004</c:v>
                </c:pt>
                <c:pt idx="57">
                  <c:v>4.5599999999999996</c:v>
                </c:pt>
                <c:pt idx="58">
                  <c:v>4.6399999999999997</c:v>
                </c:pt>
                <c:pt idx="59">
                  <c:v>4.72</c:v>
                </c:pt>
                <c:pt idx="60">
                  <c:v>4.8</c:v>
                </c:pt>
                <c:pt idx="61">
                  <c:v>4.88</c:v>
                </c:pt>
                <c:pt idx="62">
                  <c:v>4.96</c:v>
                </c:pt>
                <c:pt idx="63">
                  <c:v>5.04</c:v>
                </c:pt>
                <c:pt idx="64">
                  <c:v>5.12</c:v>
                </c:pt>
                <c:pt idx="65">
                  <c:v>5.2</c:v>
                </c:pt>
                <c:pt idx="66">
                  <c:v>5.28</c:v>
                </c:pt>
                <c:pt idx="67">
                  <c:v>5.36</c:v>
                </c:pt>
                <c:pt idx="68">
                  <c:v>5.44</c:v>
                </c:pt>
                <c:pt idx="69">
                  <c:v>5.52</c:v>
                </c:pt>
                <c:pt idx="70">
                  <c:v>5.6</c:v>
                </c:pt>
                <c:pt idx="71">
                  <c:v>5.68</c:v>
                </c:pt>
                <c:pt idx="72">
                  <c:v>5.76</c:v>
                </c:pt>
                <c:pt idx="73">
                  <c:v>5.84</c:v>
                </c:pt>
                <c:pt idx="74">
                  <c:v>5.92</c:v>
                </c:pt>
                <c:pt idx="75">
                  <c:v>6</c:v>
                </c:pt>
                <c:pt idx="76">
                  <c:v>6.08</c:v>
                </c:pt>
                <c:pt idx="77">
                  <c:v>6.16</c:v>
                </c:pt>
                <c:pt idx="78">
                  <c:v>6.24</c:v>
                </c:pt>
                <c:pt idx="79">
                  <c:v>6.32</c:v>
                </c:pt>
                <c:pt idx="80">
                  <c:v>6.4</c:v>
                </c:pt>
                <c:pt idx="81">
                  <c:v>6.48</c:v>
                </c:pt>
                <c:pt idx="82">
                  <c:v>6.56</c:v>
                </c:pt>
                <c:pt idx="83">
                  <c:v>6.64</c:v>
                </c:pt>
                <c:pt idx="84">
                  <c:v>6.72</c:v>
                </c:pt>
                <c:pt idx="85">
                  <c:v>6.8</c:v>
                </c:pt>
                <c:pt idx="86">
                  <c:v>6.88</c:v>
                </c:pt>
                <c:pt idx="87">
                  <c:v>6.96</c:v>
                </c:pt>
                <c:pt idx="88">
                  <c:v>7.04</c:v>
                </c:pt>
                <c:pt idx="89">
                  <c:v>7.12</c:v>
                </c:pt>
                <c:pt idx="90">
                  <c:v>7.2</c:v>
                </c:pt>
                <c:pt idx="91">
                  <c:v>7.28</c:v>
                </c:pt>
                <c:pt idx="92">
                  <c:v>7.36</c:v>
                </c:pt>
                <c:pt idx="93">
                  <c:v>7.44</c:v>
                </c:pt>
                <c:pt idx="94">
                  <c:v>7.52</c:v>
                </c:pt>
                <c:pt idx="95">
                  <c:v>7.6</c:v>
                </c:pt>
                <c:pt idx="96">
                  <c:v>7.68</c:v>
                </c:pt>
                <c:pt idx="97">
                  <c:v>7.76</c:v>
                </c:pt>
                <c:pt idx="98">
                  <c:v>7.84</c:v>
                </c:pt>
                <c:pt idx="99">
                  <c:v>7.92</c:v>
                </c:pt>
                <c:pt idx="100">
                  <c:v>8</c:v>
                </c:pt>
              </c:numCache>
            </c:numRef>
          </c:xVal>
          <c:yVal>
            <c:numRef>
              <c:f>'Efficiency Calculations'!$AW$9:$AW$109</c:f>
              <c:numCache>
                <c:formatCode>0.0</c:formatCode>
                <c:ptCount val="101"/>
                <c:pt idx="0">
                  <c:v>0.27982345058920216</c:v>
                </c:pt>
                <c:pt idx="1">
                  <c:v>6.7821743925842108</c:v>
                </c:pt>
                <c:pt idx="2">
                  <c:v>15.962674875465828</c:v>
                </c:pt>
                <c:pt idx="3">
                  <c:v>24.903496792440777</c:v>
                </c:pt>
                <c:pt idx="4">
                  <c:v>33.184702611685609</c:v>
                </c:pt>
                <c:pt idx="5">
                  <c:v>33.945453754343632</c:v>
                </c:pt>
                <c:pt idx="6">
                  <c:v>34.70928383068415</c:v>
                </c:pt>
                <c:pt idx="7">
                  <c:v>35.476206753893727</c:v>
                </c:pt>
                <c:pt idx="8">
                  <c:v>36.246236651221068</c:v>
                </c:pt>
                <c:pt idx="9">
                  <c:v>37.019387865796723</c:v>
                </c:pt>
                <c:pt idx="10">
                  <c:v>37.795674958490487</c:v>
                </c:pt>
                <c:pt idx="11">
                  <c:v>38.575112709807286</c:v>
                </c:pt>
                <c:pt idx="12">
                  <c:v>39.357716121821817</c:v>
                </c:pt>
                <c:pt idx="13">
                  <c:v>40.143500420152641</c:v>
                </c:pt>
                <c:pt idx="14">
                  <c:v>40.932481055976126</c:v>
                </c:pt>
                <c:pt idx="15">
                  <c:v>41.724673708080829</c:v>
                </c:pt>
                <c:pt idx="16">
                  <c:v>42.520094284963029</c:v>
                </c:pt>
                <c:pt idx="17">
                  <c:v>43.318758926963682</c:v>
                </c:pt>
                <c:pt idx="18">
                  <c:v>44.120684008447718</c:v>
                </c:pt>
                <c:pt idx="19">
                  <c:v>44.925886140026023</c:v>
                </c:pt>
                <c:pt idx="20">
                  <c:v>45.734382170820894</c:v>
                </c:pt>
                <c:pt idx="21">
                  <c:v>46.546189190775564</c:v>
                </c:pt>
                <c:pt idx="22">
                  <c:v>47.361324533008307</c:v>
                </c:pt>
                <c:pt idx="23">
                  <c:v>48.179805776212113</c:v>
                </c:pt>
                <c:pt idx="24">
                  <c:v>49.001650747100179</c:v>
                </c:pt>
                <c:pt idx="25">
                  <c:v>49.826877522898322</c:v>
                </c:pt>
                <c:pt idx="26">
                  <c:v>50.655504433884815</c:v>
                </c:pt>
                <c:pt idx="27">
                  <c:v>51.487550065978333</c:v>
                </c:pt>
                <c:pt idx="28">
                  <c:v>52.323033263374903</c:v>
                </c:pt>
                <c:pt idx="29">
                  <c:v>53.161973131234639</c:v>
                </c:pt>
                <c:pt idx="30">
                  <c:v>54.004389038418836</c:v>
                </c:pt>
                <c:pt idx="31">
                  <c:v>54.850300620278396</c:v>
                </c:pt>
                <c:pt idx="32">
                  <c:v>55.699727781494516</c:v>
                </c:pt>
                <c:pt idx="33">
                  <c:v>56.552690698972071</c:v>
                </c:pt>
                <c:pt idx="34">
                  <c:v>57.409209824787141</c:v>
                </c:pt>
                <c:pt idx="35">
                  <c:v>58.269305889188921</c:v>
                </c:pt>
                <c:pt idx="36">
                  <c:v>59.132999903657556</c:v>
                </c:pt>
                <c:pt idx="37">
                  <c:v>60.000313164018223</c:v>
                </c:pt>
                <c:pt idx="38">
                  <c:v>60.871267253612892</c:v>
                </c:pt>
                <c:pt idx="39">
                  <c:v>61.745884046530449</c:v>
                </c:pt>
                <c:pt idx="40">
                  <c:v>62.624185710896235</c:v>
                </c:pt>
                <c:pt idx="41">
                  <c:v>63.506194712222104</c:v>
                </c:pt>
                <c:pt idx="42">
                  <c:v>64.391933816817854</c:v>
                </c:pt>
                <c:pt idx="43">
                  <c:v>65.281426095265317</c:v>
                </c:pt>
                <c:pt idx="44">
                  <c:v>66.174694925956004</c:v>
                </c:pt>
                <c:pt idx="45">
                  <c:v>67.071763998693513</c:v>
                </c:pt>
                <c:pt idx="46">
                  <c:v>67.972657318361755</c:v>
                </c:pt>
                <c:pt idx="47">
                  <c:v>68.877399208660322</c:v>
                </c:pt>
                <c:pt idx="48">
                  <c:v>69.786014315907991</c:v>
                </c:pt>
                <c:pt idx="49">
                  <c:v>70.698527612915669</c:v>
                </c:pt>
                <c:pt idx="50">
                  <c:v>71.614964402930113</c:v>
                </c:pt>
                <c:pt idx="51">
                  <c:v>72.535350323649439</c:v>
                </c:pt>
                <c:pt idx="52">
                  <c:v>73.459711351312109</c:v>
                </c:pt>
                <c:pt idx="53">
                  <c:v>74.38807380486034</c:v>
                </c:pt>
                <c:pt idx="54">
                  <c:v>75.320464350179577</c:v>
                </c:pt>
                <c:pt idx="55">
                  <c:v>76.256910004415246</c:v>
                </c:pt>
                <c:pt idx="56">
                  <c:v>77.197438140368433</c:v>
                </c:pt>
                <c:pt idx="57">
                  <c:v>78.142076490971604</c:v>
                </c:pt>
                <c:pt idx="58">
                  <c:v>79.090853153846339</c:v>
                </c:pt>
                <c:pt idx="59">
                  <c:v>80.043796595944116</c:v>
                </c:pt>
                <c:pt idx="60">
                  <c:v>81.000935658272041</c:v>
                </c:pt>
                <c:pt idx="61">
                  <c:v>81.962299560705162</c:v>
                </c:pt>
                <c:pt idx="62">
                  <c:v>82.927917906886634</c:v>
                </c:pt>
                <c:pt idx="63">
                  <c:v>83.897820689217895</c:v>
                </c:pt>
                <c:pt idx="64">
                  <c:v>84.872038293940179</c:v>
                </c:pt>
                <c:pt idx="65">
                  <c:v>85.850601506309516</c:v>
                </c:pt>
                <c:pt idx="66">
                  <c:v>86.833541515866571</c:v>
                </c:pt>
                <c:pt idx="67">
                  <c:v>87.820889921803584</c:v>
                </c:pt>
                <c:pt idx="68">
                  <c:v>88.81267873842998</c:v>
                </c:pt>
                <c:pt idx="69">
                  <c:v>89.80894040073899</c:v>
                </c:pt>
                <c:pt idx="70">
                  <c:v>90.809707770076628</c:v>
                </c:pt>
                <c:pt idx="71">
                  <c:v>91.815014139915846</c:v>
                </c:pt>
                <c:pt idx="72">
                  <c:v>92.824893241737158</c:v>
                </c:pt>
                <c:pt idx="73">
                  <c:v>93.839379251018627</c:v>
                </c:pt>
                <c:pt idx="74">
                  <c:v>94.858506793336687</c:v>
                </c:pt>
                <c:pt idx="75">
                  <c:v>95.882310950580546</c:v>
                </c:pt>
                <c:pt idx="76">
                  <c:v>96.910827267282173</c:v>
                </c:pt>
                <c:pt idx="77">
                  <c:v>97.944091757064413</c:v>
                </c:pt>
                <c:pt idx="78">
                  <c:v>98.982140909209491</c:v>
                </c:pt>
                <c:pt idx="79">
                  <c:v>100.02501169535027</c:v>
                </c:pt>
                <c:pt idx="80">
                  <c:v>101.07274157628721</c:v>
                </c:pt>
                <c:pt idx="81">
                  <c:v>102.12536850893292</c:v>
                </c:pt>
                <c:pt idx="82">
                  <c:v>103.18293095338773</c:v>
                </c:pt>
                <c:pt idx="83">
                  <c:v>104.24546788014837</c:v>
                </c:pt>
                <c:pt idx="84">
                  <c:v>105.31301877745285</c:v>
                </c:pt>
                <c:pt idx="85">
                  <c:v>106.38562365876412</c:v>
                </c:pt>
                <c:pt idx="86">
                  <c:v>107.46332307039596</c:v>
                </c:pt>
                <c:pt idx="87">
                  <c:v>108.54615809928339</c:v>
                </c:pt>
                <c:pt idx="88">
                  <c:v>109.63417038090112</c:v>
                </c:pt>
                <c:pt idx="89">
                  <c:v>110.72740210733323</c:v>
                </c:pt>
                <c:pt idx="90">
                  <c:v>111.82589603549683</c:v>
                </c:pt>
                <c:pt idx="91">
                  <c:v>112.92969549552345</c:v>
                </c:pt>
                <c:pt idx="92">
                  <c:v>114.0388443993015</c:v>
                </c:pt>
                <c:pt idx="93">
                  <c:v>115.1533872491828</c:v>
                </c:pt>
                <c:pt idx="94">
                  <c:v>116.27336914685759</c:v>
                </c:pt>
                <c:pt idx="95">
                  <c:v>117.3988358024007</c:v>
                </c:pt>
                <c:pt idx="96">
                  <c:v>118.52983354349325</c:v>
                </c:pt>
                <c:pt idx="97">
                  <c:v>119.66640932482369</c:v>
                </c:pt>
                <c:pt idx="98">
                  <c:v>120.80861073767166</c:v>
                </c:pt>
                <c:pt idx="99">
                  <c:v>121.9564860196792</c:v>
                </c:pt>
                <c:pt idx="100">
                  <c:v>123.11008406481331</c:v>
                </c:pt>
              </c:numCache>
            </c:numRef>
          </c:yVal>
          <c:smooth val="0"/>
          <c:extLst>
            <c:ext xmlns:c16="http://schemas.microsoft.com/office/drawing/2014/chart" uri="{C3380CC4-5D6E-409C-BE32-E72D297353CC}">
              <c16:uniqueId val="{00000000-F29C-4E96-8ECF-EEB3B170A4EB}"/>
            </c:ext>
          </c:extLst>
        </c:ser>
        <c:ser>
          <c:idx val="1"/>
          <c:order val="1"/>
          <c:tx>
            <c:strRef>
              <c:f>'Efficiency Calculations'!$AX$8</c:f>
              <c:strCache>
                <c:ptCount val="1"/>
                <c:pt idx="0">
                  <c:v>Buck ''SYNC'' MOSFET Temp Rise</c:v>
                </c:pt>
              </c:strCache>
            </c:strRef>
          </c:tx>
          <c:spPr>
            <a:ln w="25400">
              <a:solidFill>
                <a:srgbClr val="FF0000"/>
              </a:solidFill>
              <a:prstDash val="solid"/>
            </a:ln>
          </c:spPr>
          <c:marker>
            <c:symbol val="none"/>
          </c:marker>
          <c:xVal>
            <c:numRef>
              <c:f>'Efficiency Calculations'!$J$9:$J$109</c:f>
              <c:numCache>
                <c:formatCode>0.000</c:formatCode>
                <c:ptCount val="101"/>
                <c:pt idx="0" formatCode="General">
                  <c:v>0</c:v>
                </c:pt>
                <c:pt idx="1">
                  <c:v>0.08</c:v>
                </c:pt>
                <c:pt idx="2">
                  <c:v>0.16</c:v>
                </c:pt>
                <c:pt idx="3">
                  <c:v>0.24</c:v>
                </c:pt>
                <c:pt idx="4">
                  <c:v>0.32</c:v>
                </c:pt>
                <c:pt idx="5">
                  <c:v>0.4</c:v>
                </c:pt>
                <c:pt idx="6">
                  <c:v>0.48</c:v>
                </c:pt>
                <c:pt idx="7">
                  <c:v>0.56000000000000005</c:v>
                </c:pt>
                <c:pt idx="8">
                  <c:v>0.64</c:v>
                </c:pt>
                <c:pt idx="9">
                  <c:v>0.72</c:v>
                </c:pt>
                <c:pt idx="10">
                  <c:v>0.8</c:v>
                </c:pt>
                <c:pt idx="11">
                  <c:v>0.88</c:v>
                </c:pt>
                <c:pt idx="12">
                  <c:v>0.96</c:v>
                </c:pt>
                <c:pt idx="13">
                  <c:v>1.04</c:v>
                </c:pt>
                <c:pt idx="14">
                  <c:v>1.1200000000000001</c:v>
                </c:pt>
                <c:pt idx="15">
                  <c:v>1.2</c:v>
                </c:pt>
                <c:pt idx="16">
                  <c:v>1.28</c:v>
                </c:pt>
                <c:pt idx="17">
                  <c:v>1.36</c:v>
                </c:pt>
                <c:pt idx="18">
                  <c:v>1.44</c:v>
                </c:pt>
                <c:pt idx="19">
                  <c:v>1.52</c:v>
                </c:pt>
                <c:pt idx="20">
                  <c:v>1.6</c:v>
                </c:pt>
                <c:pt idx="21">
                  <c:v>1.68</c:v>
                </c:pt>
                <c:pt idx="22">
                  <c:v>1.76</c:v>
                </c:pt>
                <c:pt idx="23">
                  <c:v>1.84</c:v>
                </c:pt>
                <c:pt idx="24">
                  <c:v>1.92</c:v>
                </c:pt>
                <c:pt idx="25">
                  <c:v>2</c:v>
                </c:pt>
                <c:pt idx="26">
                  <c:v>2.08</c:v>
                </c:pt>
                <c:pt idx="27">
                  <c:v>2.16</c:v>
                </c:pt>
                <c:pt idx="28">
                  <c:v>2.2400000000000002</c:v>
                </c:pt>
                <c:pt idx="29">
                  <c:v>2.3199999999999998</c:v>
                </c:pt>
                <c:pt idx="30">
                  <c:v>2.4</c:v>
                </c:pt>
                <c:pt idx="31">
                  <c:v>2.48</c:v>
                </c:pt>
                <c:pt idx="32">
                  <c:v>2.56</c:v>
                </c:pt>
                <c:pt idx="33">
                  <c:v>2.64</c:v>
                </c:pt>
                <c:pt idx="34">
                  <c:v>2.72</c:v>
                </c:pt>
                <c:pt idx="35">
                  <c:v>2.8</c:v>
                </c:pt>
                <c:pt idx="36">
                  <c:v>2.88</c:v>
                </c:pt>
                <c:pt idx="37">
                  <c:v>2.96</c:v>
                </c:pt>
                <c:pt idx="38">
                  <c:v>3.04</c:v>
                </c:pt>
                <c:pt idx="39">
                  <c:v>3.12</c:v>
                </c:pt>
                <c:pt idx="40">
                  <c:v>3.2</c:v>
                </c:pt>
                <c:pt idx="41">
                  <c:v>3.28</c:v>
                </c:pt>
                <c:pt idx="42">
                  <c:v>3.36</c:v>
                </c:pt>
                <c:pt idx="43">
                  <c:v>3.44</c:v>
                </c:pt>
                <c:pt idx="44">
                  <c:v>3.52</c:v>
                </c:pt>
                <c:pt idx="45">
                  <c:v>3.6</c:v>
                </c:pt>
                <c:pt idx="46">
                  <c:v>3.68</c:v>
                </c:pt>
                <c:pt idx="47">
                  <c:v>3.76</c:v>
                </c:pt>
                <c:pt idx="48">
                  <c:v>3.84</c:v>
                </c:pt>
                <c:pt idx="49">
                  <c:v>3.92</c:v>
                </c:pt>
                <c:pt idx="50">
                  <c:v>4</c:v>
                </c:pt>
                <c:pt idx="51">
                  <c:v>4.08</c:v>
                </c:pt>
                <c:pt idx="52">
                  <c:v>4.16</c:v>
                </c:pt>
                <c:pt idx="53">
                  <c:v>4.24</c:v>
                </c:pt>
                <c:pt idx="54">
                  <c:v>4.32</c:v>
                </c:pt>
                <c:pt idx="55">
                  <c:v>4.4000000000000004</c:v>
                </c:pt>
                <c:pt idx="56">
                  <c:v>4.4800000000000004</c:v>
                </c:pt>
                <c:pt idx="57">
                  <c:v>4.5599999999999996</c:v>
                </c:pt>
                <c:pt idx="58">
                  <c:v>4.6399999999999997</c:v>
                </c:pt>
                <c:pt idx="59">
                  <c:v>4.72</c:v>
                </c:pt>
                <c:pt idx="60">
                  <c:v>4.8</c:v>
                </c:pt>
                <c:pt idx="61">
                  <c:v>4.88</c:v>
                </c:pt>
                <c:pt idx="62">
                  <c:v>4.96</c:v>
                </c:pt>
                <c:pt idx="63">
                  <c:v>5.04</c:v>
                </c:pt>
                <c:pt idx="64">
                  <c:v>5.12</c:v>
                </c:pt>
                <c:pt idx="65">
                  <c:v>5.2</c:v>
                </c:pt>
                <c:pt idx="66">
                  <c:v>5.28</c:v>
                </c:pt>
                <c:pt idx="67">
                  <c:v>5.36</c:v>
                </c:pt>
                <c:pt idx="68">
                  <c:v>5.44</c:v>
                </c:pt>
                <c:pt idx="69">
                  <c:v>5.52</c:v>
                </c:pt>
                <c:pt idx="70">
                  <c:v>5.6</c:v>
                </c:pt>
                <c:pt idx="71">
                  <c:v>5.68</c:v>
                </c:pt>
                <c:pt idx="72">
                  <c:v>5.76</c:v>
                </c:pt>
                <c:pt idx="73">
                  <c:v>5.84</c:v>
                </c:pt>
                <c:pt idx="74">
                  <c:v>5.92</c:v>
                </c:pt>
                <c:pt idx="75">
                  <c:v>6</c:v>
                </c:pt>
                <c:pt idx="76">
                  <c:v>6.08</c:v>
                </c:pt>
                <c:pt idx="77">
                  <c:v>6.16</c:v>
                </c:pt>
                <c:pt idx="78">
                  <c:v>6.24</c:v>
                </c:pt>
                <c:pt idx="79">
                  <c:v>6.32</c:v>
                </c:pt>
                <c:pt idx="80">
                  <c:v>6.4</c:v>
                </c:pt>
                <c:pt idx="81">
                  <c:v>6.48</c:v>
                </c:pt>
                <c:pt idx="82">
                  <c:v>6.56</c:v>
                </c:pt>
                <c:pt idx="83">
                  <c:v>6.64</c:v>
                </c:pt>
                <c:pt idx="84">
                  <c:v>6.72</c:v>
                </c:pt>
                <c:pt idx="85">
                  <c:v>6.8</c:v>
                </c:pt>
                <c:pt idx="86">
                  <c:v>6.88</c:v>
                </c:pt>
                <c:pt idx="87">
                  <c:v>6.96</c:v>
                </c:pt>
                <c:pt idx="88">
                  <c:v>7.04</c:v>
                </c:pt>
                <c:pt idx="89">
                  <c:v>7.12</c:v>
                </c:pt>
                <c:pt idx="90">
                  <c:v>7.2</c:v>
                </c:pt>
                <c:pt idx="91">
                  <c:v>7.28</c:v>
                </c:pt>
                <c:pt idx="92">
                  <c:v>7.36</c:v>
                </c:pt>
                <c:pt idx="93">
                  <c:v>7.44</c:v>
                </c:pt>
                <c:pt idx="94">
                  <c:v>7.52</c:v>
                </c:pt>
                <c:pt idx="95">
                  <c:v>7.6</c:v>
                </c:pt>
                <c:pt idx="96">
                  <c:v>7.68</c:v>
                </c:pt>
                <c:pt idx="97">
                  <c:v>7.76</c:v>
                </c:pt>
                <c:pt idx="98">
                  <c:v>7.84</c:v>
                </c:pt>
                <c:pt idx="99">
                  <c:v>7.92</c:v>
                </c:pt>
                <c:pt idx="100">
                  <c:v>8</c:v>
                </c:pt>
              </c:numCache>
            </c:numRef>
          </c:xVal>
          <c:yVal>
            <c:numRef>
              <c:f>'Efficiency Calculations'!$AX$9:$AX$109</c:f>
              <c:numCache>
                <c:formatCode>0.0</c:formatCode>
                <c:ptCount val="101"/>
                <c:pt idx="0">
                  <c:v>0.26763227762184449</c:v>
                </c:pt>
                <c:pt idx="1">
                  <c:v>0.53496779929086102</c:v>
                </c:pt>
                <c:pt idx="2">
                  <c:v>0.8035510580030758</c:v>
                </c:pt>
                <c:pt idx="3">
                  <c:v>1.0733825302101176</c:v>
                </c:pt>
                <c:pt idx="4">
                  <c:v>1.34805878421976</c:v>
                </c:pt>
                <c:pt idx="5">
                  <c:v>1.6873913461291983</c:v>
                </c:pt>
                <c:pt idx="6">
                  <c:v>2.0279774750837243</c:v>
                </c:pt>
                <c:pt idx="7">
                  <c:v>2.3698187934884314</c:v>
                </c:pt>
                <c:pt idx="8">
                  <c:v>2.7129169600125911</c:v>
                </c:pt>
                <c:pt idx="9">
                  <c:v>3.0572736696486436</c:v>
                </c:pt>
                <c:pt idx="10">
                  <c:v>3.4028906537738317</c:v>
                </c:pt>
                <c:pt idx="11">
                  <c:v>3.7497696802144622</c:v>
                </c:pt>
                <c:pt idx="12">
                  <c:v>4.0979125533128267</c:v>
                </c:pt>
                <c:pt idx="13">
                  <c:v>4.4473211139967717</c:v>
                </c:pt>
                <c:pt idx="14">
                  <c:v>4.7979972398519166</c:v>
                </c:pt>
                <c:pt idx="15">
                  <c:v>5.1499428451965477</c:v>
                </c:pt>
                <c:pt idx="16">
                  <c:v>5.5031598811591698</c:v>
                </c:pt>
                <c:pt idx="17">
                  <c:v>5.8576503357587359</c:v>
                </c:pt>
                <c:pt idx="18">
                  <c:v>6.2134162339875552</c:v>
                </c:pt>
                <c:pt idx="19">
                  <c:v>6.5704596378969011</c:v>
                </c:pt>
                <c:pt idx="20">
                  <c:v>6.9287826466852955</c:v>
                </c:pt>
                <c:pt idx="21">
                  <c:v>7.2883873967895125</c:v>
                </c:pt>
                <c:pt idx="22">
                  <c:v>7.6492760619782914</c:v>
                </c:pt>
                <c:pt idx="23">
                  <c:v>8.011450853448757</c:v>
                </c:pt>
                <c:pt idx="24">
                  <c:v>8.3749140199255852</c:v>
                </c:pt>
                <c:pt idx="25">
                  <c:v>8.7396678477629006</c:v>
                </c:pt>
                <c:pt idx="26">
                  <c:v>9.105714661048923</c:v>
                </c:pt>
                <c:pt idx="27">
                  <c:v>9.4730568217133637</c:v>
                </c:pt>
                <c:pt idx="28">
                  <c:v>9.8416967296376008</c:v>
                </c:pt>
                <c:pt idx="29">
                  <c:v>10.211636822767632</c:v>
                </c:pt>
                <c:pt idx="30">
                  <c:v>10.582879577229811</c:v>
                </c:pt>
                <c:pt idx="31">
                  <c:v>10.955427507449398</c:v>
                </c:pt>
                <c:pt idx="32">
                  <c:v>11.329283166271903</c:v>
                </c:pt>
                <c:pt idx="33">
                  <c:v>11.704449145087272</c:v>
                </c:pt>
                <c:pt idx="34">
                  <c:v>12.080928073956917</c:v>
                </c:pt>
                <c:pt idx="35">
                  <c:v>12.458722621743577</c:v>
                </c:pt>
                <c:pt idx="36">
                  <c:v>12.837835496244068</c:v>
                </c:pt>
                <c:pt idx="37">
                  <c:v>13.21826944432488</c:v>
                </c:pt>
                <c:pt idx="38">
                  <c:v>13.600027252060697</c:v>
                </c:pt>
                <c:pt idx="39">
                  <c:v>13.983111744875833</c:v>
                </c:pt>
                <c:pt idx="40">
                  <c:v>14.367525787688537</c:v>
                </c:pt>
                <c:pt idx="41">
                  <c:v>14.753272285058296</c:v>
                </c:pt>
                <c:pt idx="42">
                  <c:v>15.140354181336061</c:v>
                </c:pt>
                <c:pt idx="43">
                  <c:v>15.528774460817468</c:v>
                </c:pt>
                <c:pt idx="44">
                  <c:v>15.918536147898987</c:v>
                </c:pt>
                <c:pt idx="45">
                  <c:v>16.309642307237169</c:v>
                </c:pt>
                <c:pt idx="46">
                  <c:v>16.702096043910831</c:v>
                </c:pt>
                <c:pt idx="47">
                  <c:v>17.095900503586314</c:v>
                </c:pt>
                <c:pt idx="48">
                  <c:v>17.491058872685826</c:v>
                </c:pt>
                <c:pt idx="49">
                  <c:v>17.887574378558806</c:v>
                </c:pt>
                <c:pt idx="50">
                  <c:v>18.285450289656421</c:v>
                </c:pt>
                <c:pt idx="51">
                  <c:v>18.684689915709185</c:v>
                </c:pt>
                <c:pt idx="52">
                  <c:v>19.085296607907683</c:v>
                </c:pt>
                <c:pt idx="53">
                  <c:v>19.487273759086481</c:v>
                </c:pt>
                <c:pt idx="54">
                  <c:v>19.890624803911201</c:v>
                </c:pt>
                <c:pt idx="55">
                  <c:v>20.29535321906879</c:v>
                </c:pt>
                <c:pt idx="56">
                  <c:v>20.701462523461025</c:v>
                </c:pt>
                <c:pt idx="57">
                  <c:v>21.108956278401251</c:v>
                </c:pt>
                <c:pt idx="58">
                  <c:v>21.5178380878144</c:v>
                </c:pt>
                <c:pt idx="59">
                  <c:v>21.928111598440246</c:v>
                </c:pt>
                <c:pt idx="60">
                  <c:v>22.339780500040078</c:v>
                </c:pt>
                <c:pt idx="61">
                  <c:v>22.752848525606595</c:v>
                </c:pt>
                <c:pt idx="62">
                  <c:v>23.167319451577253</c:v>
                </c:pt>
                <c:pt idx="63">
                  <c:v>23.583197098050935</c:v>
                </c:pt>
                <c:pt idx="64">
                  <c:v>24.0004853290081</c:v>
                </c:pt>
                <c:pt idx="65">
                  <c:v>24.419188052534306</c:v>
                </c:pt>
                <c:pt idx="66">
                  <c:v>24.839309221047227</c:v>
                </c:pt>
                <c:pt idx="67">
                  <c:v>25.260852831527206</c:v>
                </c:pt>
                <c:pt idx="68">
                  <c:v>25.683822925751247</c:v>
                </c:pt>
                <c:pt idx="69">
                  <c:v>26.108223590530631</c:v>
                </c:pt>
                <c:pt idx="70">
                  <c:v>26.534058957952066</c:v>
                </c:pt>
                <c:pt idx="71">
                  <c:v>26.961333205622463</c:v>
                </c:pt>
                <c:pt idx="72">
                  <c:v>27.390050556917362</c:v>
                </c:pt>
                <c:pt idx="73">
                  <c:v>27.820215281232997</c:v>
                </c:pt>
                <c:pt idx="74">
                  <c:v>28.251831694242082</c:v>
                </c:pt>
                <c:pt idx="75">
                  <c:v>28.684904158153316</c:v>
                </c:pt>
                <c:pt idx="76">
                  <c:v>29.119437081974684</c:v>
                </c:pt>
                <c:pt idx="77">
                  <c:v>29.55543492178051</c:v>
                </c:pt>
                <c:pt idx="78">
                  <c:v>29.992902180982355</c:v>
                </c:pt>
                <c:pt idx="79">
                  <c:v>30.431843410603811</c:v>
                </c:pt>
                <c:pt idx="80">
                  <c:v>30.872263209559126</c:v>
                </c:pt>
                <c:pt idx="81">
                  <c:v>31.314166224935828</c:v>
                </c:pt>
                <c:pt idx="82">
                  <c:v>31.757557152281287</c:v>
                </c:pt>
                <c:pt idx="83">
                  <c:v>32.202440735893283</c:v>
                </c:pt>
                <c:pt idx="84">
                  <c:v>32.648821769114619</c:v>
                </c:pt>
                <c:pt idx="85">
                  <c:v>33.096705094631837</c:v>
                </c:pt>
                <c:pt idx="86">
                  <c:v>33.546095604777967</c:v>
                </c:pt>
                <c:pt idx="87">
                  <c:v>33.996998241839556</c:v>
                </c:pt>
                <c:pt idx="88">
                  <c:v>34.449417998367835</c:v>
                </c:pt>
                <c:pt idx="89">
                  <c:v>34.903359917494058</c:v>
                </c:pt>
                <c:pt idx="90">
                  <c:v>35.358829093249241</c:v>
                </c:pt>
                <c:pt idx="91">
                  <c:v>35.81583067088814</c:v>
                </c:pt>
                <c:pt idx="92">
                  <c:v>36.274369847217578</c:v>
                </c:pt>
                <c:pt idx="93">
                  <c:v>36.73445187092927</c:v>
                </c:pt>
                <c:pt idx="94">
                  <c:v>37.196082042936965</c:v>
                </c:pt>
                <c:pt idx="95">
                  <c:v>37.659265716718195</c:v>
                </c:pt>
                <c:pt idx="96">
                  <c:v>38.124008298660513</c:v>
                </c:pt>
                <c:pt idx="97">
                  <c:v>38.590315248412253</c:v>
                </c:pt>
                <c:pt idx="98">
                  <c:v>39.058192079238069</c:v>
                </c:pt>
                <c:pt idx="99">
                  <c:v>39.527644358378993</c:v>
                </c:pt>
                <c:pt idx="100">
                  <c:v>39.998677707417343</c:v>
                </c:pt>
              </c:numCache>
            </c:numRef>
          </c:yVal>
          <c:smooth val="0"/>
          <c:extLst>
            <c:ext xmlns:c16="http://schemas.microsoft.com/office/drawing/2014/chart" uri="{C3380CC4-5D6E-409C-BE32-E72D297353CC}">
              <c16:uniqueId val="{00000001-F29C-4E96-8ECF-EEB3B170A4EB}"/>
            </c:ext>
          </c:extLst>
        </c:ser>
        <c:dLbls>
          <c:showLegendKey val="0"/>
          <c:showVal val="0"/>
          <c:showCatName val="0"/>
          <c:showSerName val="0"/>
          <c:showPercent val="0"/>
          <c:showBubbleSize val="0"/>
        </c:dLbls>
        <c:axId val="333958144"/>
        <c:axId val="333960320"/>
      </c:scatterChart>
      <c:valAx>
        <c:axId val="333958144"/>
        <c:scaling>
          <c:orientation val="minMax"/>
          <c:min val="0"/>
        </c:scaling>
        <c:delete val="0"/>
        <c:axPos val="b"/>
        <c:majorGridlines/>
        <c:title>
          <c:tx>
            <c:rich>
              <a:bodyPr/>
              <a:lstStyle/>
              <a:p>
                <a:pPr>
                  <a:defRPr sz="1100" b="1" i="0" u="none" strike="noStrike" baseline="0">
                    <a:solidFill>
                      <a:srgbClr val="000000"/>
                    </a:solidFill>
                    <a:latin typeface="Arial"/>
                    <a:ea typeface="Arial"/>
                    <a:cs typeface="Arial"/>
                  </a:defRPr>
                </a:pPr>
                <a:r>
                  <a:rPr lang="en-US" sz="1100" baseline="0"/>
                  <a:t>Output Current (A)</a:t>
                </a:r>
                <a:endParaRPr lang="en-US" sz="1100"/>
              </a:p>
            </c:rich>
          </c:tx>
          <c:layout>
            <c:manualLayout>
              <c:xMode val="edge"/>
              <c:yMode val="edge"/>
              <c:x val="0.47052333022741466"/>
              <c:y val="0.93798526663457005"/>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925" b="1" i="0" u="none" strike="noStrike" baseline="0">
                <a:solidFill>
                  <a:srgbClr val="000000"/>
                </a:solidFill>
                <a:latin typeface="Arial"/>
                <a:ea typeface="Arial"/>
                <a:cs typeface="Arial"/>
              </a:defRPr>
            </a:pPr>
            <a:endParaRPr lang="en-US"/>
          </a:p>
        </c:txPr>
        <c:crossAx val="333960320"/>
        <c:crosses val="autoZero"/>
        <c:crossBetween val="midCat"/>
      </c:valAx>
      <c:valAx>
        <c:axId val="33396032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sz="1100"/>
                  <a:t>Temperature (</a:t>
                </a:r>
                <a:r>
                  <a:rPr lang="en-US" sz="1100">
                    <a:sym typeface="Symbol"/>
                  </a:rPr>
                  <a:t></a:t>
                </a:r>
                <a:r>
                  <a:rPr lang="en-US" sz="1100"/>
                  <a:t>C)</a:t>
                </a:r>
              </a:p>
            </c:rich>
          </c:tx>
          <c:layout>
            <c:manualLayout>
              <c:xMode val="edge"/>
              <c:yMode val="edge"/>
              <c:x val="1.3813487878384515E-2"/>
              <c:y val="0.40384993295956351"/>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925" b="1" i="0" u="none" strike="noStrike" baseline="0">
                <a:solidFill>
                  <a:srgbClr val="000000"/>
                </a:solidFill>
                <a:latin typeface="Arial"/>
                <a:ea typeface="Arial"/>
                <a:cs typeface="Arial"/>
              </a:defRPr>
            </a:pPr>
            <a:endParaRPr lang="en-US"/>
          </a:p>
        </c:txPr>
        <c:crossAx val="333958144"/>
        <c:crosses val="autoZero"/>
        <c:crossBetween val="midCat"/>
      </c:valAx>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w="12700">
          <a:solidFill>
            <a:srgbClr val="808080"/>
          </a:solidFill>
          <a:prstDash val="solid"/>
        </a:ln>
      </c:spPr>
    </c:plotArea>
    <c:legend>
      <c:legendPos val="t"/>
      <c:layout>
        <c:manualLayout>
          <c:xMode val="edge"/>
          <c:yMode val="edge"/>
          <c:x val="0.60965366061085946"/>
          <c:y val="2.0620499360656842E-2"/>
          <c:w val="0.351320840481532"/>
          <c:h val="9.8607526130239626E-2"/>
        </c:manualLayout>
      </c:layout>
      <c:overlay val="0"/>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25" b="0" i="0" u="none" strike="noStrike" baseline="0">
          <a:solidFill>
            <a:srgbClr val="000000"/>
          </a:solidFill>
          <a:latin typeface="Arial"/>
          <a:ea typeface="Arial"/>
          <a:cs typeface="Arial"/>
        </a:defRPr>
      </a:pPr>
      <a:endParaRPr lang="en-US"/>
    </a:p>
  </c:txPr>
  <c:printSettings>
    <c:headerFooter alignWithMargins="0"/>
    <c:pageMargins b="1" l="0.75000000000000666" r="0.75000000000000666"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a:t>MOSFET &amp;</a:t>
            </a:r>
            <a:r>
              <a:rPr lang="en-US" sz="1200" baseline="0"/>
              <a:t> Inductor</a:t>
            </a:r>
            <a:r>
              <a:rPr lang="en-US" sz="1200"/>
              <a:t> Power Dissipation</a:t>
            </a:r>
          </a:p>
        </c:rich>
      </c:tx>
      <c:layout>
        <c:manualLayout>
          <c:xMode val="edge"/>
          <c:yMode val="edge"/>
          <c:x val="0.13740051025090394"/>
          <c:y val="4.9059139784946235E-2"/>
        </c:manualLayout>
      </c:layout>
      <c:overlay val="0"/>
      <c:spPr>
        <a:noFill/>
        <a:ln w="25400">
          <a:noFill/>
        </a:ln>
      </c:spPr>
    </c:title>
    <c:autoTitleDeleted val="0"/>
    <c:plotArea>
      <c:layout>
        <c:manualLayout>
          <c:layoutTarget val="inner"/>
          <c:xMode val="edge"/>
          <c:yMode val="edge"/>
          <c:x val="0.10700636942675162"/>
          <c:y val="0.15927440521547717"/>
          <c:w val="0.8471337579617837"/>
          <c:h val="0.70362972493790654"/>
        </c:manualLayout>
      </c:layout>
      <c:scatterChart>
        <c:scatterStyle val="lineMarker"/>
        <c:varyColors val="0"/>
        <c:ser>
          <c:idx val="2"/>
          <c:order val="0"/>
          <c:tx>
            <c:strRef>
              <c:f>'Efficiency Calculations'!$BC$8</c:f>
              <c:strCache>
                <c:ptCount val="1"/>
                <c:pt idx="0">
                  <c:v>Control MOSFET Loss</c:v>
                </c:pt>
              </c:strCache>
            </c:strRef>
          </c:tx>
          <c:spPr>
            <a:ln w="25400">
              <a:solidFill>
                <a:srgbClr val="000080"/>
              </a:solidFill>
              <a:prstDash val="dash"/>
            </a:ln>
          </c:spPr>
          <c:marker>
            <c:symbol val="none"/>
          </c:marker>
          <c:xVal>
            <c:numRef>
              <c:f>'Efficiency Calculations'!$J$9:$J$109</c:f>
              <c:numCache>
                <c:formatCode>0.000</c:formatCode>
                <c:ptCount val="101"/>
                <c:pt idx="0" formatCode="General">
                  <c:v>0</c:v>
                </c:pt>
                <c:pt idx="1">
                  <c:v>0.08</c:v>
                </c:pt>
                <c:pt idx="2">
                  <c:v>0.16</c:v>
                </c:pt>
                <c:pt idx="3">
                  <c:v>0.24</c:v>
                </c:pt>
                <c:pt idx="4">
                  <c:v>0.32</c:v>
                </c:pt>
                <c:pt idx="5">
                  <c:v>0.4</c:v>
                </c:pt>
                <c:pt idx="6">
                  <c:v>0.48</c:v>
                </c:pt>
                <c:pt idx="7">
                  <c:v>0.56000000000000005</c:v>
                </c:pt>
                <c:pt idx="8">
                  <c:v>0.64</c:v>
                </c:pt>
                <c:pt idx="9">
                  <c:v>0.72</c:v>
                </c:pt>
                <c:pt idx="10">
                  <c:v>0.8</c:v>
                </c:pt>
                <c:pt idx="11">
                  <c:v>0.88</c:v>
                </c:pt>
                <c:pt idx="12">
                  <c:v>0.96</c:v>
                </c:pt>
                <c:pt idx="13">
                  <c:v>1.04</c:v>
                </c:pt>
                <c:pt idx="14">
                  <c:v>1.1200000000000001</c:v>
                </c:pt>
                <c:pt idx="15">
                  <c:v>1.2</c:v>
                </c:pt>
                <c:pt idx="16">
                  <c:v>1.28</c:v>
                </c:pt>
                <c:pt idx="17">
                  <c:v>1.36</c:v>
                </c:pt>
                <c:pt idx="18">
                  <c:v>1.44</c:v>
                </c:pt>
                <c:pt idx="19">
                  <c:v>1.52</c:v>
                </c:pt>
                <c:pt idx="20">
                  <c:v>1.6</c:v>
                </c:pt>
                <c:pt idx="21">
                  <c:v>1.68</c:v>
                </c:pt>
                <c:pt idx="22">
                  <c:v>1.76</c:v>
                </c:pt>
                <c:pt idx="23">
                  <c:v>1.84</c:v>
                </c:pt>
                <c:pt idx="24">
                  <c:v>1.92</c:v>
                </c:pt>
                <c:pt idx="25">
                  <c:v>2</c:v>
                </c:pt>
                <c:pt idx="26">
                  <c:v>2.08</c:v>
                </c:pt>
                <c:pt idx="27">
                  <c:v>2.16</c:v>
                </c:pt>
                <c:pt idx="28">
                  <c:v>2.2400000000000002</c:v>
                </c:pt>
                <c:pt idx="29">
                  <c:v>2.3199999999999998</c:v>
                </c:pt>
                <c:pt idx="30">
                  <c:v>2.4</c:v>
                </c:pt>
                <c:pt idx="31">
                  <c:v>2.48</c:v>
                </c:pt>
                <c:pt idx="32">
                  <c:v>2.56</c:v>
                </c:pt>
                <c:pt idx="33">
                  <c:v>2.64</c:v>
                </c:pt>
                <c:pt idx="34">
                  <c:v>2.72</c:v>
                </c:pt>
                <c:pt idx="35">
                  <c:v>2.8</c:v>
                </c:pt>
                <c:pt idx="36">
                  <c:v>2.88</c:v>
                </c:pt>
                <c:pt idx="37">
                  <c:v>2.96</c:v>
                </c:pt>
                <c:pt idx="38">
                  <c:v>3.04</c:v>
                </c:pt>
                <c:pt idx="39">
                  <c:v>3.12</c:v>
                </c:pt>
                <c:pt idx="40">
                  <c:v>3.2</c:v>
                </c:pt>
                <c:pt idx="41">
                  <c:v>3.28</c:v>
                </c:pt>
                <c:pt idx="42">
                  <c:v>3.36</c:v>
                </c:pt>
                <c:pt idx="43">
                  <c:v>3.44</c:v>
                </c:pt>
                <c:pt idx="44">
                  <c:v>3.52</c:v>
                </c:pt>
                <c:pt idx="45">
                  <c:v>3.6</c:v>
                </c:pt>
                <c:pt idx="46">
                  <c:v>3.68</c:v>
                </c:pt>
                <c:pt idx="47">
                  <c:v>3.76</c:v>
                </c:pt>
                <c:pt idx="48">
                  <c:v>3.84</c:v>
                </c:pt>
                <c:pt idx="49">
                  <c:v>3.92</c:v>
                </c:pt>
                <c:pt idx="50">
                  <c:v>4</c:v>
                </c:pt>
                <c:pt idx="51">
                  <c:v>4.08</c:v>
                </c:pt>
                <c:pt idx="52">
                  <c:v>4.16</c:v>
                </c:pt>
                <c:pt idx="53">
                  <c:v>4.24</c:v>
                </c:pt>
                <c:pt idx="54">
                  <c:v>4.32</c:v>
                </c:pt>
                <c:pt idx="55">
                  <c:v>4.4000000000000004</c:v>
                </c:pt>
                <c:pt idx="56">
                  <c:v>4.4800000000000004</c:v>
                </c:pt>
                <c:pt idx="57">
                  <c:v>4.5599999999999996</c:v>
                </c:pt>
                <c:pt idx="58">
                  <c:v>4.6399999999999997</c:v>
                </c:pt>
                <c:pt idx="59">
                  <c:v>4.72</c:v>
                </c:pt>
                <c:pt idx="60">
                  <c:v>4.8</c:v>
                </c:pt>
                <c:pt idx="61">
                  <c:v>4.88</c:v>
                </c:pt>
                <c:pt idx="62">
                  <c:v>4.96</c:v>
                </c:pt>
                <c:pt idx="63">
                  <c:v>5.04</c:v>
                </c:pt>
                <c:pt idx="64">
                  <c:v>5.12</c:v>
                </c:pt>
                <c:pt idx="65">
                  <c:v>5.2</c:v>
                </c:pt>
                <c:pt idx="66">
                  <c:v>5.28</c:v>
                </c:pt>
                <c:pt idx="67">
                  <c:v>5.36</c:v>
                </c:pt>
                <c:pt idx="68">
                  <c:v>5.44</c:v>
                </c:pt>
                <c:pt idx="69">
                  <c:v>5.52</c:v>
                </c:pt>
                <c:pt idx="70">
                  <c:v>5.6</c:v>
                </c:pt>
                <c:pt idx="71">
                  <c:v>5.68</c:v>
                </c:pt>
                <c:pt idx="72">
                  <c:v>5.76</c:v>
                </c:pt>
                <c:pt idx="73">
                  <c:v>5.84</c:v>
                </c:pt>
                <c:pt idx="74">
                  <c:v>5.92</c:v>
                </c:pt>
                <c:pt idx="75">
                  <c:v>6</c:v>
                </c:pt>
                <c:pt idx="76">
                  <c:v>6.08</c:v>
                </c:pt>
                <c:pt idx="77">
                  <c:v>6.16</c:v>
                </c:pt>
                <c:pt idx="78">
                  <c:v>6.24</c:v>
                </c:pt>
                <c:pt idx="79">
                  <c:v>6.32</c:v>
                </c:pt>
                <c:pt idx="80">
                  <c:v>6.4</c:v>
                </c:pt>
                <c:pt idx="81">
                  <c:v>6.48</c:v>
                </c:pt>
                <c:pt idx="82">
                  <c:v>6.56</c:v>
                </c:pt>
                <c:pt idx="83">
                  <c:v>6.64</c:v>
                </c:pt>
                <c:pt idx="84">
                  <c:v>6.72</c:v>
                </c:pt>
                <c:pt idx="85">
                  <c:v>6.8</c:v>
                </c:pt>
                <c:pt idx="86">
                  <c:v>6.88</c:v>
                </c:pt>
                <c:pt idx="87">
                  <c:v>6.96</c:v>
                </c:pt>
                <c:pt idx="88">
                  <c:v>7.04</c:v>
                </c:pt>
                <c:pt idx="89">
                  <c:v>7.12</c:v>
                </c:pt>
                <c:pt idx="90">
                  <c:v>7.2</c:v>
                </c:pt>
                <c:pt idx="91">
                  <c:v>7.28</c:v>
                </c:pt>
                <c:pt idx="92">
                  <c:v>7.36</c:v>
                </c:pt>
                <c:pt idx="93">
                  <c:v>7.44</c:v>
                </c:pt>
                <c:pt idx="94">
                  <c:v>7.52</c:v>
                </c:pt>
                <c:pt idx="95">
                  <c:v>7.6</c:v>
                </c:pt>
                <c:pt idx="96">
                  <c:v>7.68</c:v>
                </c:pt>
                <c:pt idx="97">
                  <c:v>7.76</c:v>
                </c:pt>
                <c:pt idx="98">
                  <c:v>7.84</c:v>
                </c:pt>
                <c:pt idx="99">
                  <c:v>7.92</c:v>
                </c:pt>
                <c:pt idx="100">
                  <c:v>8</c:v>
                </c:pt>
              </c:numCache>
            </c:numRef>
          </c:xVal>
          <c:yVal>
            <c:numRef>
              <c:f>'Efficiency Calculations'!$BC$9:$BC$109</c:f>
              <c:numCache>
                <c:formatCode>0.000</c:formatCode>
                <c:ptCount val="101"/>
                <c:pt idx="0">
                  <c:v>6.6624631092667185E-3</c:v>
                </c:pt>
                <c:pt idx="1">
                  <c:v>0.16148034268057646</c:v>
                </c:pt>
                <c:pt idx="2">
                  <c:v>0.38006368751109115</c:v>
                </c:pt>
                <c:pt idx="3">
                  <c:v>0.59294039982001845</c:v>
                </c:pt>
                <c:pt idx="4">
                  <c:v>0.79011196694489549</c:v>
                </c:pt>
                <c:pt idx="5">
                  <c:v>0.80822508938913407</c:v>
                </c:pt>
                <c:pt idx="6">
                  <c:v>0.82641151977819405</c:v>
                </c:pt>
                <c:pt idx="7">
                  <c:v>0.84467158937842202</c:v>
                </c:pt>
                <c:pt idx="8">
                  <c:v>0.86300563455288259</c:v>
                </c:pt>
                <c:pt idx="9">
                  <c:v>0.88141399680468391</c:v>
                </c:pt>
                <c:pt idx="10">
                  <c:v>0.8998970228212021</c:v>
                </c:pt>
                <c:pt idx="11">
                  <c:v>0.9184550645192211</c:v>
                </c:pt>
                <c:pt idx="12">
                  <c:v>0.93708847909099557</c:v>
                </c:pt>
                <c:pt idx="13">
                  <c:v>0.95579762905125343</c:v>
                </c:pt>
                <c:pt idx="14">
                  <c:v>0.97458288228514578</c:v>
                </c:pt>
                <c:pt idx="15">
                  <c:v>0.9934446120971625</c:v>
                </c:pt>
                <c:pt idx="16">
                  <c:v>1.0123831972610244</c:v>
                </c:pt>
                <c:pt idx="17">
                  <c:v>1.0313990220705638</c:v>
                </c:pt>
                <c:pt idx="18">
                  <c:v>1.0504924763916124</c:v>
                </c:pt>
                <c:pt idx="19">
                  <c:v>1.0696639557149052</c:v>
                </c:pt>
                <c:pt idx="20">
                  <c:v>1.0889138612100213</c:v>
                </c:pt>
                <c:pt idx="21">
                  <c:v>1.1082425997803707</c:v>
                </c:pt>
                <c:pt idx="22">
                  <c:v>1.1276505841192455</c:v>
                </c:pt>
                <c:pt idx="23">
                  <c:v>1.147138232766955</c:v>
                </c:pt>
                <c:pt idx="24">
                  <c:v>1.1667059701690519</c:v>
                </c:pt>
                <c:pt idx="25">
                  <c:v>1.1863542267356744</c:v>
                </c:pt>
                <c:pt idx="26">
                  <c:v>1.2060834389020194</c:v>
                </c:pt>
                <c:pt idx="27">
                  <c:v>1.2258940491899604</c:v>
                </c:pt>
                <c:pt idx="28">
                  <c:v>1.2457865062708311</c:v>
                </c:pt>
                <c:pt idx="29">
                  <c:v>1.2657612650293961</c:v>
                </c:pt>
                <c:pt idx="30">
                  <c:v>1.2858187866290198</c:v>
                </c:pt>
                <c:pt idx="31">
                  <c:v>1.3059595385780571</c:v>
                </c:pt>
                <c:pt idx="32">
                  <c:v>1.3261839947974885</c:v>
                </c:pt>
                <c:pt idx="33">
                  <c:v>1.3464926356898113</c:v>
                </c:pt>
                <c:pt idx="34">
                  <c:v>1.3668859482092177</c:v>
                </c:pt>
                <c:pt idx="35">
                  <c:v>1.3873644259330695</c:v>
                </c:pt>
                <c:pt idx="36">
                  <c:v>1.4079285691347037</c:v>
                </c:pt>
                <c:pt idx="37">
                  <c:v>1.4285788848575767</c:v>
                </c:pt>
                <c:pt idx="38">
                  <c:v>1.4493158869907832</c:v>
                </c:pt>
                <c:pt idx="39">
                  <c:v>1.470140096345963</c:v>
                </c:pt>
                <c:pt idx="40">
                  <c:v>1.4910520407356247</c:v>
                </c:pt>
                <c:pt idx="41">
                  <c:v>1.5120522550529072</c:v>
                </c:pt>
                <c:pt idx="42">
                  <c:v>1.533141281352806</c:v>
                </c:pt>
                <c:pt idx="43">
                  <c:v>1.5543196689348886</c:v>
                </c:pt>
                <c:pt idx="44">
                  <c:v>1.5755879744275239</c:v>
                </c:pt>
                <c:pt idx="45">
                  <c:v>1.596946761873655</c:v>
                </c:pt>
                <c:pt idx="46">
                  <c:v>1.6183966028181369</c:v>
                </c:pt>
                <c:pt idx="47">
                  <c:v>1.6399380763966742</c:v>
                </c:pt>
                <c:pt idx="48">
                  <c:v>1.6615717694263807</c:v>
                </c:pt>
                <c:pt idx="49">
                  <c:v>1.6832982764979922</c:v>
                </c:pt>
                <c:pt idx="50">
                  <c:v>1.7051182000697644</c:v>
                </c:pt>
                <c:pt idx="51">
                  <c:v>1.7270321505630819</c:v>
                </c:pt>
                <c:pt idx="52">
                  <c:v>1.7490407464598121</c:v>
                </c:pt>
                <c:pt idx="53">
                  <c:v>1.7711446144014367</c:v>
                </c:pt>
                <c:pt idx="54">
                  <c:v>1.7933443892899898</c:v>
                </c:pt>
                <c:pt idx="55">
                  <c:v>1.8156407143908393</c:v>
                </c:pt>
                <c:pt idx="56">
                  <c:v>1.8380342414373436</c:v>
                </c:pt>
                <c:pt idx="57">
                  <c:v>1.8605256307374192</c:v>
                </c:pt>
                <c:pt idx="58">
                  <c:v>1.8831155512820557</c:v>
                </c:pt>
                <c:pt idx="59">
                  <c:v>1.9058046808558124</c:v>
                </c:pt>
                <c:pt idx="60">
                  <c:v>1.9285937061493343</c:v>
                </c:pt>
                <c:pt idx="61">
                  <c:v>1.9514833228739326</c:v>
                </c:pt>
                <c:pt idx="62">
                  <c:v>1.9744742358782532</c:v>
                </c:pt>
                <c:pt idx="63">
                  <c:v>1.9975671592670927</c:v>
                </c:pt>
                <c:pt idx="64">
                  <c:v>2.0207628165223852</c:v>
                </c:pt>
                <c:pt idx="65">
                  <c:v>2.0440619406264169</c:v>
                </c:pt>
                <c:pt idx="66">
                  <c:v>2.0674652741872994</c:v>
                </c:pt>
                <c:pt idx="67">
                  <c:v>2.090973569566752</c:v>
                </c:pt>
                <c:pt idx="68">
                  <c:v>2.1145875890102377</c:v>
                </c:pt>
                <c:pt idx="69">
                  <c:v>2.1383081047794996</c:v>
                </c:pt>
                <c:pt idx="70">
                  <c:v>2.1621358992875388</c:v>
                </c:pt>
                <c:pt idx="71">
                  <c:v>2.1860717652360915</c:v>
                </c:pt>
                <c:pt idx="72">
                  <c:v>2.2101165057556464</c:v>
                </c:pt>
                <c:pt idx="73">
                  <c:v>2.2342709345480625</c:v>
                </c:pt>
                <c:pt idx="74">
                  <c:v>2.2585358760318259</c:v>
                </c:pt>
                <c:pt idx="75">
                  <c:v>2.2829121654900129</c:v>
                </c:pt>
                <c:pt idx="76">
                  <c:v>2.307400649221004</c:v>
                </c:pt>
                <c:pt idx="77">
                  <c:v>2.3320021846920098</c:v>
                </c:pt>
                <c:pt idx="78">
                  <c:v>2.356717640695464</c:v>
                </c:pt>
                <c:pt idx="79">
                  <c:v>2.38154789750834</c:v>
                </c:pt>
                <c:pt idx="80">
                  <c:v>2.4064938470544575</c:v>
                </c:pt>
                <c:pt idx="81">
                  <c:v>2.4315563930698314</c:v>
                </c:pt>
                <c:pt idx="82">
                  <c:v>2.4567364512711363</c:v>
                </c:pt>
                <c:pt idx="83">
                  <c:v>2.4820349495273422</c:v>
                </c:pt>
                <c:pt idx="84">
                  <c:v>2.5074528280345918</c:v>
                </c:pt>
                <c:pt idx="85">
                  <c:v>2.5329910394943838</c:v>
                </c:pt>
                <c:pt idx="86">
                  <c:v>2.5586505492951419</c:v>
                </c:pt>
                <c:pt idx="87">
                  <c:v>2.5844323356972234</c:v>
                </c:pt>
                <c:pt idx="88">
                  <c:v>2.6103373900214555</c:v>
                </c:pt>
                <c:pt idx="89">
                  <c:v>2.6363667168412674</c:v>
                </c:pt>
                <c:pt idx="90">
                  <c:v>2.6625213341784959</c:v>
                </c:pt>
                <c:pt idx="91">
                  <c:v>2.6888022737029393</c:v>
                </c:pt>
                <c:pt idx="92">
                  <c:v>2.7152105809357501</c:v>
                </c:pt>
                <c:pt idx="93">
                  <c:v>2.7417473154567333</c:v>
                </c:pt>
                <c:pt idx="94">
                  <c:v>2.7684135511156569</c:v>
                </c:pt>
                <c:pt idx="95">
                  <c:v>2.7952103762476357</c:v>
                </c:pt>
                <c:pt idx="96">
                  <c:v>2.8221388938926966</c:v>
                </c:pt>
                <c:pt idx="97">
                  <c:v>2.8492002220196118</c:v>
                </c:pt>
                <c:pt idx="98">
                  <c:v>2.876395493754087</c:v>
                </c:pt>
                <c:pt idx="99">
                  <c:v>2.9037258576114096</c:v>
                </c:pt>
                <c:pt idx="100">
                  <c:v>2.9311924777336502</c:v>
                </c:pt>
              </c:numCache>
            </c:numRef>
          </c:yVal>
          <c:smooth val="0"/>
          <c:extLst>
            <c:ext xmlns:c16="http://schemas.microsoft.com/office/drawing/2014/chart" uri="{C3380CC4-5D6E-409C-BE32-E72D297353CC}">
              <c16:uniqueId val="{00000000-F5FB-42D4-A397-414D6630BC17}"/>
            </c:ext>
          </c:extLst>
        </c:ser>
        <c:ser>
          <c:idx val="3"/>
          <c:order val="1"/>
          <c:tx>
            <c:strRef>
              <c:f>'Efficiency Calculations'!$BD$8</c:f>
              <c:strCache>
                <c:ptCount val="1"/>
                <c:pt idx="0">
                  <c:v>SYNC MOSFET Loss</c:v>
                </c:pt>
              </c:strCache>
            </c:strRef>
          </c:tx>
          <c:spPr>
            <a:ln w="25400">
              <a:solidFill>
                <a:srgbClr val="FF0000"/>
              </a:solidFill>
              <a:prstDash val="solid"/>
            </a:ln>
          </c:spPr>
          <c:marker>
            <c:symbol val="none"/>
          </c:marker>
          <c:xVal>
            <c:numRef>
              <c:f>'Efficiency Calculations'!$J$9:$J$109</c:f>
              <c:numCache>
                <c:formatCode>0.000</c:formatCode>
                <c:ptCount val="101"/>
                <c:pt idx="0" formatCode="General">
                  <c:v>0</c:v>
                </c:pt>
                <c:pt idx="1">
                  <c:v>0.08</c:v>
                </c:pt>
                <c:pt idx="2">
                  <c:v>0.16</c:v>
                </c:pt>
                <c:pt idx="3">
                  <c:v>0.24</c:v>
                </c:pt>
                <c:pt idx="4">
                  <c:v>0.32</c:v>
                </c:pt>
                <c:pt idx="5">
                  <c:v>0.4</c:v>
                </c:pt>
                <c:pt idx="6">
                  <c:v>0.48</c:v>
                </c:pt>
                <c:pt idx="7">
                  <c:v>0.56000000000000005</c:v>
                </c:pt>
                <c:pt idx="8">
                  <c:v>0.64</c:v>
                </c:pt>
                <c:pt idx="9">
                  <c:v>0.72</c:v>
                </c:pt>
                <c:pt idx="10">
                  <c:v>0.8</c:v>
                </c:pt>
                <c:pt idx="11">
                  <c:v>0.88</c:v>
                </c:pt>
                <c:pt idx="12">
                  <c:v>0.96</c:v>
                </c:pt>
                <c:pt idx="13">
                  <c:v>1.04</c:v>
                </c:pt>
                <c:pt idx="14">
                  <c:v>1.1200000000000001</c:v>
                </c:pt>
                <c:pt idx="15">
                  <c:v>1.2</c:v>
                </c:pt>
                <c:pt idx="16">
                  <c:v>1.28</c:v>
                </c:pt>
                <c:pt idx="17">
                  <c:v>1.36</c:v>
                </c:pt>
                <c:pt idx="18">
                  <c:v>1.44</c:v>
                </c:pt>
                <c:pt idx="19">
                  <c:v>1.52</c:v>
                </c:pt>
                <c:pt idx="20">
                  <c:v>1.6</c:v>
                </c:pt>
                <c:pt idx="21">
                  <c:v>1.68</c:v>
                </c:pt>
                <c:pt idx="22">
                  <c:v>1.76</c:v>
                </c:pt>
                <c:pt idx="23">
                  <c:v>1.84</c:v>
                </c:pt>
                <c:pt idx="24">
                  <c:v>1.92</c:v>
                </c:pt>
                <c:pt idx="25">
                  <c:v>2</c:v>
                </c:pt>
                <c:pt idx="26">
                  <c:v>2.08</c:v>
                </c:pt>
                <c:pt idx="27">
                  <c:v>2.16</c:v>
                </c:pt>
                <c:pt idx="28">
                  <c:v>2.2400000000000002</c:v>
                </c:pt>
                <c:pt idx="29">
                  <c:v>2.3199999999999998</c:v>
                </c:pt>
                <c:pt idx="30">
                  <c:v>2.4</c:v>
                </c:pt>
                <c:pt idx="31">
                  <c:v>2.48</c:v>
                </c:pt>
                <c:pt idx="32">
                  <c:v>2.56</c:v>
                </c:pt>
                <c:pt idx="33">
                  <c:v>2.64</c:v>
                </c:pt>
                <c:pt idx="34">
                  <c:v>2.72</c:v>
                </c:pt>
                <c:pt idx="35">
                  <c:v>2.8</c:v>
                </c:pt>
                <c:pt idx="36">
                  <c:v>2.88</c:v>
                </c:pt>
                <c:pt idx="37">
                  <c:v>2.96</c:v>
                </c:pt>
                <c:pt idx="38">
                  <c:v>3.04</c:v>
                </c:pt>
                <c:pt idx="39">
                  <c:v>3.12</c:v>
                </c:pt>
                <c:pt idx="40">
                  <c:v>3.2</c:v>
                </c:pt>
                <c:pt idx="41">
                  <c:v>3.28</c:v>
                </c:pt>
                <c:pt idx="42">
                  <c:v>3.36</c:v>
                </c:pt>
                <c:pt idx="43">
                  <c:v>3.44</c:v>
                </c:pt>
                <c:pt idx="44">
                  <c:v>3.52</c:v>
                </c:pt>
                <c:pt idx="45">
                  <c:v>3.6</c:v>
                </c:pt>
                <c:pt idx="46">
                  <c:v>3.68</c:v>
                </c:pt>
                <c:pt idx="47">
                  <c:v>3.76</c:v>
                </c:pt>
                <c:pt idx="48">
                  <c:v>3.84</c:v>
                </c:pt>
                <c:pt idx="49">
                  <c:v>3.92</c:v>
                </c:pt>
                <c:pt idx="50">
                  <c:v>4</c:v>
                </c:pt>
                <c:pt idx="51">
                  <c:v>4.08</c:v>
                </c:pt>
                <c:pt idx="52">
                  <c:v>4.16</c:v>
                </c:pt>
                <c:pt idx="53">
                  <c:v>4.24</c:v>
                </c:pt>
                <c:pt idx="54">
                  <c:v>4.32</c:v>
                </c:pt>
                <c:pt idx="55">
                  <c:v>4.4000000000000004</c:v>
                </c:pt>
                <c:pt idx="56">
                  <c:v>4.4800000000000004</c:v>
                </c:pt>
                <c:pt idx="57">
                  <c:v>4.5599999999999996</c:v>
                </c:pt>
                <c:pt idx="58">
                  <c:v>4.6399999999999997</c:v>
                </c:pt>
                <c:pt idx="59">
                  <c:v>4.72</c:v>
                </c:pt>
                <c:pt idx="60">
                  <c:v>4.8</c:v>
                </c:pt>
                <c:pt idx="61">
                  <c:v>4.88</c:v>
                </c:pt>
                <c:pt idx="62">
                  <c:v>4.96</c:v>
                </c:pt>
                <c:pt idx="63">
                  <c:v>5.04</c:v>
                </c:pt>
                <c:pt idx="64">
                  <c:v>5.12</c:v>
                </c:pt>
                <c:pt idx="65">
                  <c:v>5.2</c:v>
                </c:pt>
                <c:pt idx="66">
                  <c:v>5.28</c:v>
                </c:pt>
                <c:pt idx="67">
                  <c:v>5.36</c:v>
                </c:pt>
                <c:pt idx="68">
                  <c:v>5.44</c:v>
                </c:pt>
                <c:pt idx="69">
                  <c:v>5.52</c:v>
                </c:pt>
                <c:pt idx="70">
                  <c:v>5.6</c:v>
                </c:pt>
                <c:pt idx="71">
                  <c:v>5.68</c:v>
                </c:pt>
                <c:pt idx="72">
                  <c:v>5.76</c:v>
                </c:pt>
                <c:pt idx="73">
                  <c:v>5.84</c:v>
                </c:pt>
                <c:pt idx="74">
                  <c:v>5.92</c:v>
                </c:pt>
                <c:pt idx="75">
                  <c:v>6</c:v>
                </c:pt>
                <c:pt idx="76">
                  <c:v>6.08</c:v>
                </c:pt>
                <c:pt idx="77">
                  <c:v>6.16</c:v>
                </c:pt>
                <c:pt idx="78">
                  <c:v>6.24</c:v>
                </c:pt>
                <c:pt idx="79">
                  <c:v>6.32</c:v>
                </c:pt>
                <c:pt idx="80">
                  <c:v>6.4</c:v>
                </c:pt>
                <c:pt idx="81">
                  <c:v>6.48</c:v>
                </c:pt>
                <c:pt idx="82">
                  <c:v>6.56</c:v>
                </c:pt>
                <c:pt idx="83">
                  <c:v>6.64</c:v>
                </c:pt>
                <c:pt idx="84">
                  <c:v>6.72</c:v>
                </c:pt>
                <c:pt idx="85">
                  <c:v>6.8</c:v>
                </c:pt>
                <c:pt idx="86">
                  <c:v>6.88</c:v>
                </c:pt>
                <c:pt idx="87">
                  <c:v>6.96</c:v>
                </c:pt>
                <c:pt idx="88">
                  <c:v>7.04</c:v>
                </c:pt>
                <c:pt idx="89">
                  <c:v>7.12</c:v>
                </c:pt>
                <c:pt idx="90">
                  <c:v>7.2</c:v>
                </c:pt>
                <c:pt idx="91">
                  <c:v>7.28</c:v>
                </c:pt>
                <c:pt idx="92">
                  <c:v>7.36</c:v>
                </c:pt>
                <c:pt idx="93">
                  <c:v>7.44</c:v>
                </c:pt>
                <c:pt idx="94">
                  <c:v>7.52</c:v>
                </c:pt>
                <c:pt idx="95">
                  <c:v>7.6</c:v>
                </c:pt>
                <c:pt idx="96">
                  <c:v>7.68</c:v>
                </c:pt>
                <c:pt idx="97">
                  <c:v>7.76</c:v>
                </c:pt>
                <c:pt idx="98">
                  <c:v>7.84</c:v>
                </c:pt>
                <c:pt idx="99">
                  <c:v>7.92</c:v>
                </c:pt>
                <c:pt idx="100">
                  <c:v>8</c:v>
                </c:pt>
              </c:numCache>
            </c:numRef>
          </c:xVal>
          <c:yVal>
            <c:numRef>
              <c:f>'Efficiency Calculations'!$BD$9:$BD$109</c:f>
              <c:numCache>
                <c:formatCode>0.000</c:formatCode>
                <c:ptCount val="101"/>
                <c:pt idx="0">
                  <c:v>6.5757316369003558E-3</c:v>
                </c:pt>
                <c:pt idx="1">
                  <c:v>1.3144171972748427E-2</c:v>
                </c:pt>
                <c:pt idx="2">
                  <c:v>1.9743269238404811E-2</c:v>
                </c:pt>
                <c:pt idx="3">
                  <c:v>2.6373035140297728E-2</c:v>
                </c:pt>
                <c:pt idx="4">
                  <c:v>3.3121837450116952E-2</c:v>
                </c:pt>
                <c:pt idx="5">
                  <c:v>4.1459246833641231E-2</c:v>
                </c:pt>
                <c:pt idx="6">
                  <c:v>4.9827456390263494E-2</c:v>
                </c:pt>
                <c:pt idx="7">
                  <c:v>5.8226505982516739E-2</c:v>
                </c:pt>
                <c:pt idx="8">
                  <c:v>6.665643636394572E-2</c:v>
                </c:pt>
                <c:pt idx="9">
                  <c:v>7.5117289180556351E-2</c:v>
                </c:pt>
                <c:pt idx="10">
                  <c:v>8.3609106972330011E-2</c:v>
                </c:pt>
                <c:pt idx="11">
                  <c:v>9.2131933174802505E-2</c:v>
                </c:pt>
                <c:pt idx="12">
                  <c:v>0.10068581212070826</c:v>
                </c:pt>
                <c:pt idx="13">
                  <c:v>0.10927078904168971</c:v>
                </c:pt>
                <c:pt idx="14">
                  <c:v>0.11788691007007165</c:v>
                </c:pt>
                <c:pt idx="15">
                  <c:v>0.12653422224070141</c:v>
                </c:pt>
                <c:pt idx="16">
                  <c:v>0.13521277349285429</c:v>
                </c:pt>
                <c:pt idx="17">
                  <c:v>0.1439226126722048</c:v>
                </c:pt>
                <c:pt idx="18">
                  <c:v>0.15266378953286375</c:v>
                </c:pt>
                <c:pt idx="19">
                  <c:v>0.16143635473948159</c:v>
                </c:pt>
                <c:pt idx="20">
                  <c:v>0.17024035986941757</c:v>
                </c:pt>
                <c:pt idx="21">
                  <c:v>0.17907585741497573</c:v>
                </c:pt>
                <c:pt idx="22">
                  <c:v>0.18794290078570738</c:v>
                </c:pt>
                <c:pt idx="23">
                  <c:v>0.19684154431078027</c:v>
                </c:pt>
                <c:pt idx="24">
                  <c:v>0.20577184324141484</c:v>
                </c:pt>
                <c:pt idx="25">
                  <c:v>0.21473385375338822</c:v>
                </c:pt>
                <c:pt idx="26">
                  <c:v>0.22372763294960499</c:v>
                </c:pt>
                <c:pt idx="27">
                  <c:v>0.23275323886273619</c:v>
                </c:pt>
                <c:pt idx="28">
                  <c:v>0.24181073045792628</c:v>
                </c:pt>
                <c:pt idx="29">
                  <c:v>0.25090016763556833</c:v>
                </c:pt>
                <c:pt idx="30">
                  <c:v>0.26002161123414769</c:v>
                </c:pt>
                <c:pt idx="31">
                  <c:v>0.26917512303315472</c:v>
                </c:pt>
                <c:pt idx="32">
                  <c:v>0.27836076575606639</c:v>
                </c:pt>
                <c:pt idx="33">
                  <c:v>0.28757860307339733</c:v>
                </c:pt>
                <c:pt idx="34">
                  <c:v>0.29682869960582103</c:v>
                </c:pt>
                <c:pt idx="35">
                  <c:v>0.30611112092736059</c:v>
                </c:pt>
                <c:pt idx="36">
                  <c:v>0.31542593356865029</c:v>
                </c:pt>
                <c:pt idx="37">
                  <c:v>0.3247732050202673</c:v>
                </c:pt>
                <c:pt idx="38">
                  <c:v>0.33415300373613505</c:v>
                </c:pt>
                <c:pt idx="39">
                  <c:v>0.34356539913699835</c:v>
                </c:pt>
                <c:pt idx="40">
                  <c:v>0.35301046161396893</c:v>
                </c:pt>
                <c:pt idx="41">
                  <c:v>0.36248826253214483</c:v>
                </c:pt>
                <c:pt idx="42">
                  <c:v>0.37199887423430122</c:v>
                </c:pt>
                <c:pt idx="43">
                  <c:v>0.38154237004465519</c:v>
                </c:pt>
                <c:pt idx="44">
                  <c:v>0.39111882427270234</c:v>
                </c:pt>
                <c:pt idx="45">
                  <c:v>0.40072831221712946</c:v>
                </c:pt>
                <c:pt idx="46">
                  <c:v>0.41037091016979926</c:v>
                </c:pt>
                <c:pt idx="47">
                  <c:v>0.42004669541981116</c:v>
                </c:pt>
                <c:pt idx="48">
                  <c:v>0.42975574625763702</c:v>
                </c:pt>
                <c:pt idx="49">
                  <c:v>0.43949814197933179</c:v>
                </c:pt>
                <c:pt idx="50">
                  <c:v>0.44927396289082111</c:v>
                </c:pt>
                <c:pt idx="51">
                  <c:v>0.45908329031226497</c:v>
                </c:pt>
                <c:pt idx="52">
                  <c:v>0.46892620658249828</c:v>
                </c:pt>
                <c:pt idx="53">
                  <c:v>0.47880279506354989</c:v>
                </c:pt>
                <c:pt idx="54">
                  <c:v>0.48871314014523837</c:v>
                </c:pt>
                <c:pt idx="55">
                  <c:v>0.49865732724984735</c:v>
                </c:pt>
                <c:pt idx="56">
                  <c:v>0.50863544283688022</c:v>
                </c:pt>
                <c:pt idx="57">
                  <c:v>0.51864757440789311</c:v>
                </c:pt>
                <c:pt idx="58">
                  <c:v>0.52869381051141029</c:v>
                </c:pt>
                <c:pt idx="59">
                  <c:v>0.53877424074791758</c:v>
                </c:pt>
                <c:pt idx="60">
                  <c:v>0.54888895577494046</c:v>
                </c:pt>
                <c:pt idx="61">
                  <c:v>0.5590380473122013</c:v>
                </c:pt>
                <c:pt idx="62">
                  <c:v>0.56922160814686118</c:v>
                </c:pt>
                <c:pt idx="63">
                  <c:v>0.57943973213884359</c:v>
                </c:pt>
                <c:pt idx="64">
                  <c:v>0.58969251422624325</c:v>
                </c:pt>
                <c:pt idx="65">
                  <c:v>0.59998005043081826</c:v>
                </c:pt>
                <c:pt idx="66">
                  <c:v>0.61030243786356819</c:v>
                </c:pt>
                <c:pt idx="67">
                  <c:v>0.62065977473039813</c:v>
                </c:pt>
                <c:pt idx="68">
                  <c:v>0.63105216033786848</c:v>
                </c:pt>
                <c:pt idx="69">
                  <c:v>0.64147969509903269</c:v>
                </c:pt>
                <c:pt idx="70">
                  <c:v>0.65194248053936277</c:v>
                </c:pt>
                <c:pt idx="71">
                  <c:v>0.66244061930276321</c:v>
                </c:pt>
                <c:pt idx="72">
                  <c:v>0.67297421515767475</c:v>
                </c:pt>
                <c:pt idx="73">
                  <c:v>0.68354337300326773</c:v>
                </c:pt>
                <c:pt idx="74">
                  <c:v>0.69414819887572676</c:v>
                </c:pt>
                <c:pt idx="75">
                  <c:v>0.70478879995462684</c:v>
                </c:pt>
                <c:pt idx="76">
                  <c:v>0.7154652845694025</c:v>
                </c:pt>
                <c:pt idx="77">
                  <c:v>0.72617776220590924</c:v>
                </c:pt>
                <c:pt idx="78">
                  <c:v>0.73692634351307995</c:v>
                </c:pt>
                <c:pt idx="79">
                  <c:v>0.74771114030967589</c:v>
                </c:pt>
                <c:pt idx="80">
                  <c:v>0.75853226559113329</c:v>
                </c:pt>
                <c:pt idx="81">
                  <c:v>0.76938983353650681</c:v>
                </c:pt>
                <c:pt idx="82">
                  <c:v>0.78028395951551066</c:v>
                </c:pt>
                <c:pt idx="83">
                  <c:v>0.79121476009565805</c:v>
                </c:pt>
                <c:pt idx="84">
                  <c:v>0.80218235304949925</c:v>
                </c:pt>
                <c:pt idx="85">
                  <c:v>0.81318685736196161</c:v>
                </c:pt>
                <c:pt idx="86">
                  <c:v>0.82422839323778785</c:v>
                </c:pt>
                <c:pt idx="87">
                  <c:v>0.83530708210908</c:v>
                </c:pt>
                <c:pt idx="88">
                  <c:v>0.84642304664294421</c:v>
                </c:pt>
                <c:pt idx="89">
                  <c:v>0.85757641074923963</c:v>
                </c:pt>
                <c:pt idx="90">
                  <c:v>0.86876729958843346</c:v>
                </c:pt>
                <c:pt idx="91">
                  <c:v>0.87999583957956107</c:v>
                </c:pt>
                <c:pt idx="92">
                  <c:v>0.89126215840829426</c:v>
                </c:pt>
                <c:pt idx="93">
                  <c:v>0.9025663850351171</c:v>
                </c:pt>
                <c:pt idx="94">
                  <c:v>0.91390864970361085</c:v>
                </c:pt>
                <c:pt idx="95">
                  <c:v>0.9252890839488499</c:v>
                </c:pt>
                <c:pt idx="96">
                  <c:v>0.93670782060590929</c:v>
                </c:pt>
                <c:pt idx="97">
                  <c:v>0.94816499381848285</c:v>
                </c:pt>
                <c:pt idx="98">
                  <c:v>0.95966073904761828</c:v>
                </c:pt>
                <c:pt idx="99">
                  <c:v>0.9711951930805649</c:v>
                </c:pt>
                <c:pt idx="100">
                  <c:v>0.98276849403973809</c:v>
                </c:pt>
              </c:numCache>
            </c:numRef>
          </c:yVal>
          <c:smooth val="0"/>
          <c:extLst>
            <c:ext xmlns:c16="http://schemas.microsoft.com/office/drawing/2014/chart" uri="{C3380CC4-5D6E-409C-BE32-E72D297353CC}">
              <c16:uniqueId val="{00000001-F5FB-42D4-A397-414D6630BC17}"/>
            </c:ext>
          </c:extLst>
        </c:ser>
        <c:ser>
          <c:idx val="0"/>
          <c:order val="2"/>
          <c:tx>
            <c:v>Inductor Loss</c:v>
          </c:tx>
          <c:spPr>
            <a:ln w="31750">
              <a:solidFill>
                <a:srgbClr val="FF6600"/>
              </a:solidFill>
              <a:prstDash val="lgDash"/>
            </a:ln>
          </c:spPr>
          <c:marker>
            <c:symbol val="none"/>
          </c:marker>
          <c:xVal>
            <c:numRef>
              <c:f>'Efficiency Calculations'!$J$9:$J$109</c:f>
              <c:numCache>
                <c:formatCode>0.000</c:formatCode>
                <c:ptCount val="101"/>
                <c:pt idx="0" formatCode="General">
                  <c:v>0</c:v>
                </c:pt>
                <c:pt idx="1">
                  <c:v>0.08</c:v>
                </c:pt>
                <c:pt idx="2">
                  <c:v>0.16</c:v>
                </c:pt>
                <c:pt idx="3">
                  <c:v>0.24</c:v>
                </c:pt>
                <c:pt idx="4">
                  <c:v>0.32</c:v>
                </c:pt>
                <c:pt idx="5">
                  <c:v>0.4</c:v>
                </c:pt>
                <c:pt idx="6">
                  <c:v>0.48</c:v>
                </c:pt>
                <c:pt idx="7">
                  <c:v>0.56000000000000005</c:v>
                </c:pt>
                <c:pt idx="8">
                  <c:v>0.64</c:v>
                </c:pt>
                <c:pt idx="9">
                  <c:v>0.72</c:v>
                </c:pt>
                <c:pt idx="10">
                  <c:v>0.8</c:v>
                </c:pt>
                <c:pt idx="11">
                  <c:v>0.88</c:v>
                </c:pt>
                <c:pt idx="12">
                  <c:v>0.96</c:v>
                </c:pt>
                <c:pt idx="13">
                  <c:v>1.04</c:v>
                </c:pt>
                <c:pt idx="14">
                  <c:v>1.1200000000000001</c:v>
                </c:pt>
                <c:pt idx="15">
                  <c:v>1.2</c:v>
                </c:pt>
                <c:pt idx="16">
                  <c:v>1.28</c:v>
                </c:pt>
                <c:pt idx="17">
                  <c:v>1.36</c:v>
                </c:pt>
                <c:pt idx="18">
                  <c:v>1.44</c:v>
                </c:pt>
                <c:pt idx="19">
                  <c:v>1.52</c:v>
                </c:pt>
                <c:pt idx="20">
                  <c:v>1.6</c:v>
                </c:pt>
                <c:pt idx="21">
                  <c:v>1.68</c:v>
                </c:pt>
                <c:pt idx="22">
                  <c:v>1.76</c:v>
                </c:pt>
                <c:pt idx="23">
                  <c:v>1.84</c:v>
                </c:pt>
                <c:pt idx="24">
                  <c:v>1.92</c:v>
                </c:pt>
                <c:pt idx="25">
                  <c:v>2</c:v>
                </c:pt>
                <c:pt idx="26">
                  <c:v>2.08</c:v>
                </c:pt>
                <c:pt idx="27">
                  <c:v>2.16</c:v>
                </c:pt>
                <c:pt idx="28">
                  <c:v>2.2400000000000002</c:v>
                </c:pt>
                <c:pt idx="29">
                  <c:v>2.3199999999999998</c:v>
                </c:pt>
                <c:pt idx="30">
                  <c:v>2.4</c:v>
                </c:pt>
                <c:pt idx="31">
                  <c:v>2.48</c:v>
                </c:pt>
                <c:pt idx="32">
                  <c:v>2.56</c:v>
                </c:pt>
                <c:pt idx="33">
                  <c:v>2.64</c:v>
                </c:pt>
                <c:pt idx="34">
                  <c:v>2.72</c:v>
                </c:pt>
                <c:pt idx="35">
                  <c:v>2.8</c:v>
                </c:pt>
                <c:pt idx="36">
                  <c:v>2.88</c:v>
                </c:pt>
                <c:pt idx="37">
                  <c:v>2.96</c:v>
                </c:pt>
                <c:pt idx="38">
                  <c:v>3.04</c:v>
                </c:pt>
                <c:pt idx="39">
                  <c:v>3.12</c:v>
                </c:pt>
                <c:pt idx="40">
                  <c:v>3.2</c:v>
                </c:pt>
                <c:pt idx="41">
                  <c:v>3.28</c:v>
                </c:pt>
                <c:pt idx="42">
                  <c:v>3.36</c:v>
                </c:pt>
                <c:pt idx="43">
                  <c:v>3.44</c:v>
                </c:pt>
                <c:pt idx="44">
                  <c:v>3.52</c:v>
                </c:pt>
                <c:pt idx="45">
                  <c:v>3.6</c:v>
                </c:pt>
                <c:pt idx="46">
                  <c:v>3.68</c:v>
                </c:pt>
                <c:pt idx="47">
                  <c:v>3.76</c:v>
                </c:pt>
                <c:pt idx="48">
                  <c:v>3.84</c:v>
                </c:pt>
                <c:pt idx="49">
                  <c:v>3.92</c:v>
                </c:pt>
                <c:pt idx="50">
                  <c:v>4</c:v>
                </c:pt>
                <c:pt idx="51">
                  <c:v>4.08</c:v>
                </c:pt>
                <c:pt idx="52">
                  <c:v>4.16</c:v>
                </c:pt>
                <c:pt idx="53">
                  <c:v>4.24</c:v>
                </c:pt>
                <c:pt idx="54">
                  <c:v>4.32</c:v>
                </c:pt>
                <c:pt idx="55">
                  <c:v>4.4000000000000004</c:v>
                </c:pt>
                <c:pt idx="56">
                  <c:v>4.4800000000000004</c:v>
                </c:pt>
                <c:pt idx="57">
                  <c:v>4.5599999999999996</c:v>
                </c:pt>
                <c:pt idx="58">
                  <c:v>4.6399999999999997</c:v>
                </c:pt>
                <c:pt idx="59">
                  <c:v>4.72</c:v>
                </c:pt>
                <c:pt idx="60">
                  <c:v>4.8</c:v>
                </c:pt>
                <c:pt idx="61">
                  <c:v>4.88</c:v>
                </c:pt>
                <c:pt idx="62">
                  <c:v>4.96</c:v>
                </c:pt>
                <c:pt idx="63">
                  <c:v>5.04</c:v>
                </c:pt>
                <c:pt idx="64">
                  <c:v>5.12</c:v>
                </c:pt>
                <c:pt idx="65">
                  <c:v>5.2</c:v>
                </c:pt>
                <c:pt idx="66">
                  <c:v>5.28</c:v>
                </c:pt>
                <c:pt idx="67">
                  <c:v>5.36</c:v>
                </c:pt>
                <c:pt idx="68">
                  <c:v>5.44</c:v>
                </c:pt>
                <c:pt idx="69">
                  <c:v>5.52</c:v>
                </c:pt>
                <c:pt idx="70">
                  <c:v>5.6</c:v>
                </c:pt>
                <c:pt idx="71">
                  <c:v>5.68</c:v>
                </c:pt>
                <c:pt idx="72">
                  <c:v>5.76</c:v>
                </c:pt>
                <c:pt idx="73">
                  <c:v>5.84</c:v>
                </c:pt>
                <c:pt idx="74">
                  <c:v>5.92</c:v>
                </c:pt>
                <c:pt idx="75">
                  <c:v>6</c:v>
                </c:pt>
                <c:pt idx="76">
                  <c:v>6.08</c:v>
                </c:pt>
                <c:pt idx="77">
                  <c:v>6.16</c:v>
                </c:pt>
                <c:pt idx="78">
                  <c:v>6.24</c:v>
                </c:pt>
                <c:pt idx="79">
                  <c:v>6.32</c:v>
                </c:pt>
                <c:pt idx="80">
                  <c:v>6.4</c:v>
                </c:pt>
                <c:pt idx="81">
                  <c:v>6.48</c:v>
                </c:pt>
                <c:pt idx="82">
                  <c:v>6.56</c:v>
                </c:pt>
                <c:pt idx="83">
                  <c:v>6.64</c:v>
                </c:pt>
                <c:pt idx="84">
                  <c:v>6.72</c:v>
                </c:pt>
                <c:pt idx="85">
                  <c:v>6.8</c:v>
                </c:pt>
                <c:pt idx="86">
                  <c:v>6.88</c:v>
                </c:pt>
                <c:pt idx="87">
                  <c:v>6.96</c:v>
                </c:pt>
                <c:pt idx="88">
                  <c:v>7.04</c:v>
                </c:pt>
                <c:pt idx="89">
                  <c:v>7.12</c:v>
                </c:pt>
                <c:pt idx="90">
                  <c:v>7.2</c:v>
                </c:pt>
                <c:pt idx="91">
                  <c:v>7.28</c:v>
                </c:pt>
                <c:pt idx="92">
                  <c:v>7.36</c:v>
                </c:pt>
                <c:pt idx="93">
                  <c:v>7.44</c:v>
                </c:pt>
                <c:pt idx="94">
                  <c:v>7.52</c:v>
                </c:pt>
                <c:pt idx="95">
                  <c:v>7.6</c:v>
                </c:pt>
                <c:pt idx="96">
                  <c:v>7.68</c:v>
                </c:pt>
                <c:pt idx="97">
                  <c:v>7.76</c:v>
                </c:pt>
                <c:pt idx="98">
                  <c:v>7.84</c:v>
                </c:pt>
                <c:pt idx="99">
                  <c:v>7.92</c:v>
                </c:pt>
                <c:pt idx="100">
                  <c:v>8</c:v>
                </c:pt>
              </c:numCache>
            </c:numRef>
          </c:xVal>
          <c:yVal>
            <c:numRef>
              <c:f>'Efficiency Calculations'!$U$9:$U$109</c:f>
              <c:numCache>
                <c:formatCode>0.000</c:formatCode>
                <c:ptCount val="101"/>
                <c:pt idx="0">
                  <c:v>0.20011810660629104</c:v>
                </c:pt>
                <c:pt idx="1">
                  <c:v>0.20014087492474888</c:v>
                </c:pt>
                <c:pt idx="2">
                  <c:v>0.20020916144544171</c:v>
                </c:pt>
                <c:pt idx="3">
                  <c:v>0.20032296763683929</c:v>
                </c:pt>
                <c:pt idx="4">
                  <c:v>0.20048229594634551</c:v>
                </c:pt>
                <c:pt idx="5">
                  <c:v>0.20068714980042962</c:v>
                </c:pt>
                <c:pt idx="6">
                  <c:v>0.20093753360481084</c:v>
                </c:pt>
                <c:pt idx="7">
                  <c:v>0.20123345274469479</c:v>
                </c:pt>
                <c:pt idx="8">
                  <c:v>0.20157491358506358</c:v>
                </c:pt>
                <c:pt idx="9">
                  <c:v>0.20196192347101766</c:v>
                </c:pt>
                <c:pt idx="10">
                  <c:v>0.2023944907281712</c:v>
                </c:pt>
                <c:pt idx="11">
                  <c:v>0.20287262466309977</c:v>
                </c:pt>
                <c:pt idx="12">
                  <c:v>0.20339633556384107</c:v>
                </c:pt>
                <c:pt idx="13">
                  <c:v>0.20396563470044843</c:v>
                </c:pt>
                <c:pt idx="14">
                  <c:v>0.2045805343255975</c:v>
                </c:pt>
                <c:pt idx="15">
                  <c:v>0.20524104767524562</c:v>
                </c:pt>
                <c:pt idx="16">
                  <c:v>0.20594718896934436</c:v>
                </c:pt>
                <c:pt idx="17">
                  <c:v>0.20669897341260551</c:v>
                </c:pt>
                <c:pt idx="18">
                  <c:v>0.20749641719531972</c:v>
                </c:pt>
                <c:pt idx="19">
                  <c:v>0.2083395374942289</c:v>
                </c:pt>
                <c:pt idx="20">
                  <c:v>0.20922835247345195</c:v>
                </c:pt>
                <c:pt idx="21">
                  <c:v>0.2101628812854637</c:v>
                </c:pt>
                <c:pt idx="22">
                  <c:v>0.2111431440721277</c:v>
                </c:pt>
                <c:pt idx="23">
                  <c:v>0.21216916196578267</c:v>
                </c:pt>
                <c:pt idx="24">
                  <c:v>0.21324095709038254</c:v>
                </c:pt>
                <c:pt idx="25">
                  <c:v>0.21435855256269074</c:v>
                </c:pt>
                <c:pt idx="26">
                  <c:v>0.21552197249352806</c:v>
                </c:pt>
                <c:pt idx="27">
                  <c:v>0.2167312419890752</c:v>
                </c:pt>
                <c:pt idx="28">
                  <c:v>0.21798638715222918</c:v>
                </c:pt>
                <c:pt idx="29">
                  <c:v>0.21928743508401438</c:v>
                </c:pt>
                <c:pt idx="30">
                  <c:v>0.22063441388504806</c:v>
                </c:pt>
                <c:pt idx="31">
                  <c:v>0.22202735265706064</c:v>
                </c:pt>
                <c:pt idx="32">
                  <c:v>0.22346628150447095</c:v>
                </c:pt>
                <c:pt idx="33">
                  <c:v>0.22495123153601618</c:v>
                </c:pt>
                <c:pt idx="34">
                  <c:v>0.22648223486643751</c:v>
                </c:pt>
                <c:pt idx="35">
                  <c:v>0.22805932461822065</c:v>
                </c:pt>
                <c:pt idx="36">
                  <c:v>0.22968253492339213</c:v>
                </c:pt>
                <c:pt idx="37">
                  <c:v>0.23135190092537139</c:v>
                </c:pt>
                <c:pt idx="38">
                  <c:v>0.23306745878087867</c:v>
                </c:pt>
                <c:pt idx="39">
                  <c:v>0.23482924566189883</c:v>
                </c:pt>
                <c:pt idx="40">
                  <c:v>0.23663729975770198</c:v>
                </c:pt>
                <c:pt idx="41">
                  <c:v>0.23849166027691995</c:v>
                </c:pt>
                <c:pt idx="42">
                  <c:v>0.24039236744968029</c:v>
                </c:pt>
                <c:pt idx="43">
                  <c:v>0.2423394625297963</c:v>
                </c:pt>
                <c:pt idx="44">
                  <c:v>0.24433298779701496</c:v>
                </c:pt>
                <c:pt idx="45">
                  <c:v>0.24637298655932185</c:v>
                </c:pt>
                <c:pt idx="46">
                  <c:v>0.24845950315530393</c:v>
                </c:pt>
                <c:pt idx="47">
                  <c:v>0.25059258295657005</c:v>
                </c:pt>
                <c:pt idx="48">
                  <c:v>0.25277227237022959</c:v>
                </c:pt>
                <c:pt idx="49">
                  <c:v>0.25499861884142933</c:v>
                </c:pt>
                <c:pt idx="50">
                  <c:v>0.25727167085594954</c:v>
                </c:pt>
                <c:pt idx="51">
                  <c:v>0.25959147794285814</c:v>
                </c:pt>
                <c:pt idx="52">
                  <c:v>0.2619580906772247</c:v>
                </c:pt>
                <c:pt idx="53">
                  <c:v>0.26437156068289341</c:v>
                </c:pt>
                <c:pt idx="54">
                  <c:v>0.26683194063531607</c:v>
                </c:pt>
                <c:pt idx="55">
                  <c:v>0.26933928426444526</c:v>
                </c:pt>
                <c:pt idx="56">
                  <c:v>0.27189364635768731</c:v>
                </c:pt>
                <c:pt idx="57">
                  <c:v>0.2744950827629164</c:v>
                </c:pt>
                <c:pt idx="58">
                  <c:v>0.27714365039154942</c:v>
                </c:pt>
                <c:pt idx="59">
                  <c:v>0.27983940722168177</c:v>
                </c:pt>
                <c:pt idx="60">
                  <c:v>0.28258241230128561</c:v>
                </c:pt>
                <c:pt idx="61">
                  <c:v>0.2853727257514691</c:v>
                </c:pt>
                <c:pt idx="62">
                  <c:v>0.28821040876979842</c:v>
                </c:pt>
                <c:pt idx="63">
                  <c:v>0.29109552363368196</c:v>
                </c:pt>
                <c:pt idx="64">
                  <c:v>0.29402813370381831</c:v>
                </c:pt>
                <c:pt idx="65">
                  <c:v>0.2970083034277064</c:v>
                </c:pt>
                <c:pt idx="66">
                  <c:v>0.30003609834322031</c:v>
                </c:pt>
                <c:pt idx="67">
                  <c:v>0.30311158508224795</c:v>
                </c:pt>
                <c:pt idx="68">
                  <c:v>0.30623483137439328</c:v>
                </c:pt>
                <c:pt idx="69">
                  <c:v>0.30940590605074453</c:v>
                </c:pt>
                <c:pt idx="70">
                  <c:v>0.31262487904770725</c:v>
                </c:pt>
                <c:pt idx="71">
                  <c:v>0.31589182141090283</c:v>
                </c:pt>
                <c:pt idx="72">
                  <c:v>0.31920680529913248</c:v>
                </c:pt>
                <c:pt idx="73">
                  <c:v>0.32256990398840912</c:v>
                </c:pt>
                <c:pt idx="74">
                  <c:v>0.32598119187605534</c:v>
                </c:pt>
                <c:pt idx="75">
                  <c:v>0.32944074448486765</c:v>
                </c:pt>
                <c:pt idx="76">
                  <c:v>0.33294863846735034</c:v>
                </c:pt>
                <c:pt idx="77">
                  <c:v>0.33650495161001653</c:v>
                </c:pt>
                <c:pt idx="78">
                  <c:v>0.34010976283775762</c:v>
                </c:pt>
                <c:pt idx="79">
                  <c:v>0.34376315221828274</c:v>
                </c:pt>
                <c:pt idx="80">
                  <c:v>0.34746520096662675</c:v>
                </c:pt>
                <c:pt idx="81">
                  <c:v>0.35121599144972931</c:v>
                </c:pt>
                <c:pt idx="82">
                  <c:v>0.35501560719108344</c:v>
                </c:pt>
                <c:pt idx="83">
                  <c:v>0.3588641328754566</c:v>
                </c:pt>
                <c:pt idx="84">
                  <c:v>0.36276165435368146</c:v>
                </c:pt>
                <c:pt idx="85">
                  <c:v>0.36670825864752044</c:v>
                </c:pt>
                <c:pt idx="86">
                  <c:v>0.37070403395460183</c:v>
                </c:pt>
                <c:pt idx="87">
                  <c:v>0.3747490696534293</c:v>
                </c:pt>
                <c:pt idx="88">
                  <c:v>0.37884345630846517</c:v>
                </c:pt>
                <c:pt idx="89">
                  <c:v>0.38298728567528806</c:v>
                </c:pt>
                <c:pt idx="90">
                  <c:v>0.38718065070582469</c:v>
                </c:pt>
                <c:pt idx="91">
                  <c:v>0.39142364555365755</c:v>
                </c:pt>
                <c:pt idx="92">
                  <c:v>0.39571636557940842</c:v>
                </c:pt>
                <c:pt idx="93">
                  <c:v>0.40005890735619842</c:v>
                </c:pt>
                <c:pt idx="94">
                  <c:v>0.40445136867518444</c:v>
                </c:pt>
                <c:pt idx="95">
                  <c:v>0.40889384855117472</c:v>
                </c:pt>
                <c:pt idx="96">
                  <c:v>0.41338644722832102</c:v>
                </c:pt>
                <c:pt idx="97">
                  <c:v>0.41792926618589121</c:v>
                </c:pt>
                <c:pt idx="98">
                  <c:v>0.42252240814412051</c:v>
                </c:pt>
                <c:pt idx="99">
                  <c:v>0.42716597707014303</c:v>
                </c:pt>
                <c:pt idx="100">
                  <c:v>0.43186007818400474</c:v>
                </c:pt>
              </c:numCache>
            </c:numRef>
          </c:yVal>
          <c:smooth val="0"/>
          <c:extLst>
            <c:ext xmlns:c16="http://schemas.microsoft.com/office/drawing/2014/chart" uri="{C3380CC4-5D6E-409C-BE32-E72D297353CC}">
              <c16:uniqueId val="{00000002-F5FB-42D4-A397-414D6630BC17}"/>
            </c:ext>
          </c:extLst>
        </c:ser>
        <c:dLbls>
          <c:showLegendKey val="0"/>
          <c:showVal val="0"/>
          <c:showCatName val="0"/>
          <c:showSerName val="0"/>
          <c:showPercent val="0"/>
          <c:showBubbleSize val="0"/>
        </c:dLbls>
        <c:axId val="334025088"/>
        <c:axId val="334027008"/>
      </c:scatterChart>
      <c:valAx>
        <c:axId val="334025088"/>
        <c:scaling>
          <c:orientation val="minMax"/>
          <c:min val="0"/>
        </c:scaling>
        <c:delete val="0"/>
        <c:axPos val="b"/>
        <c:majorGridlines/>
        <c:title>
          <c:tx>
            <c:rich>
              <a:bodyPr/>
              <a:lstStyle/>
              <a:p>
                <a:pPr>
                  <a:defRPr sz="1100" b="1" i="0" u="none" strike="noStrike" baseline="0">
                    <a:solidFill>
                      <a:srgbClr val="000000"/>
                    </a:solidFill>
                    <a:latin typeface="Arial"/>
                    <a:ea typeface="Arial"/>
                    <a:cs typeface="Arial"/>
                  </a:defRPr>
                </a:pPr>
                <a:r>
                  <a:rPr lang="en-US" sz="1100" baseline="0"/>
                  <a:t>Output Current (A)</a:t>
                </a:r>
                <a:endParaRPr lang="en-US" sz="1100"/>
              </a:p>
            </c:rich>
          </c:tx>
          <c:layout>
            <c:manualLayout>
              <c:xMode val="edge"/>
              <c:yMode val="edge"/>
              <c:x val="0.47898089171975511"/>
              <c:y val="0.92540407247481993"/>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975" b="1" i="0" u="none" strike="noStrike" baseline="0">
                <a:solidFill>
                  <a:srgbClr val="000000"/>
                </a:solidFill>
                <a:latin typeface="Arial"/>
                <a:ea typeface="Arial"/>
                <a:cs typeface="Arial"/>
              </a:defRPr>
            </a:pPr>
            <a:endParaRPr lang="en-US"/>
          </a:p>
        </c:txPr>
        <c:crossAx val="334027008"/>
        <c:crosses val="autoZero"/>
        <c:crossBetween val="midCat"/>
      </c:valAx>
      <c:valAx>
        <c:axId val="334027008"/>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sz="1100"/>
                  <a:t>Power Disipation (W)</a:t>
                </a:r>
              </a:p>
            </c:rich>
          </c:tx>
          <c:layout>
            <c:manualLayout>
              <c:xMode val="edge"/>
              <c:yMode val="edge"/>
              <c:x val="1.9108297737292643E-2"/>
              <c:y val="0.3461025738718144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975" b="1" i="0" u="none" strike="noStrike" baseline="0">
                <a:solidFill>
                  <a:srgbClr val="000000"/>
                </a:solidFill>
                <a:latin typeface="Arial"/>
                <a:ea typeface="Arial"/>
                <a:cs typeface="Arial"/>
              </a:defRPr>
            </a:pPr>
            <a:endParaRPr lang="en-US"/>
          </a:p>
        </c:txPr>
        <c:crossAx val="334025088"/>
        <c:crosses val="autoZero"/>
        <c:crossBetween val="midCat"/>
      </c:valAx>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w="12700">
          <a:solidFill>
            <a:srgbClr val="808080"/>
          </a:solidFill>
          <a:prstDash val="solid"/>
        </a:ln>
      </c:spPr>
    </c:plotArea>
    <c:legend>
      <c:legendPos val="r"/>
      <c:layout>
        <c:manualLayout>
          <c:xMode val="edge"/>
          <c:yMode val="edge"/>
          <c:x val="0.62383745388469802"/>
          <c:y val="1.0080645161290322E-2"/>
          <c:w val="0.35068494759833341"/>
          <c:h val="0.1290324697316062"/>
        </c:manualLayout>
      </c:layout>
      <c:overlay val="0"/>
      <c:spPr>
        <a:solidFill>
          <a:srgbClr val="FFFFFF"/>
        </a:solidFill>
        <a:ln w="3175">
          <a:solidFill>
            <a:srgbClr val="000000"/>
          </a:solidFill>
          <a:prstDash val="solid"/>
        </a:ln>
      </c:spPr>
      <c:txPr>
        <a:bodyPr/>
        <a:lstStyle/>
        <a:p>
          <a:pPr>
            <a:defRPr sz="82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Arial"/>
          <a:ea typeface="Arial"/>
          <a:cs typeface="Arial"/>
        </a:defRPr>
      </a:pPr>
      <a:endParaRPr lang="en-US"/>
    </a:p>
  </c:txPr>
  <c:printSettings>
    <c:headerFooter alignWithMargins="0"/>
    <c:pageMargins b="1" l="0.75000000000000666" r="0.75000000000000666"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sz="1600"/>
              <a:t> Overall Efficiency</a:t>
            </a:r>
          </a:p>
        </c:rich>
      </c:tx>
      <c:layout>
        <c:manualLayout>
          <c:xMode val="edge"/>
          <c:yMode val="edge"/>
          <c:x val="0.41192468827576156"/>
          <c:y val="3.0241935483871822E-2"/>
        </c:manualLayout>
      </c:layout>
      <c:overlay val="0"/>
      <c:spPr>
        <a:noFill/>
        <a:ln w="25400">
          <a:noFill/>
        </a:ln>
      </c:spPr>
    </c:title>
    <c:autoTitleDeleted val="0"/>
    <c:plotArea>
      <c:layout>
        <c:manualLayout>
          <c:layoutTarget val="inner"/>
          <c:xMode val="edge"/>
          <c:yMode val="edge"/>
          <c:x val="0.10474102129638858"/>
          <c:y val="0.15927435034411094"/>
          <c:w val="0.85384629851107507"/>
          <c:h val="0.72983942815910108"/>
        </c:manualLayout>
      </c:layout>
      <c:scatterChart>
        <c:scatterStyle val="lineMarker"/>
        <c:varyColors val="0"/>
        <c:ser>
          <c:idx val="0"/>
          <c:order val="0"/>
          <c:tx>
            <c:v>Efficiency</c:v>
          </c:tx>
          <c:spPr>
            <a:ln w="25400">
              <a:solidFill>
                <a:srgbClr val="000080"/>
              </a:solidFill>
              <a:prstDash val="solid"/>
            </a:ln>
          </c:spPr>
          <c:marker>
            <c:symbol val="none"/>
          </c:marker>
          <c:xVal>
            <c:numRef>
              <c:f>'Efficiency Calculations'!$J$9:$J$109</c:f>
              <c:numCache>
                <c:formatCode>0.000</c:formatCode>
                <c:ptCount val="101"/>
                <c:pt idx="0" formatCode="General">
                  <c:v>0</c:v>
                </c:pt>
                <c:pt idx="1">
                  <c:v>0.08</c:v>
                </c:pt>
                <c:pt idx="2">
                  <c:v>0.16</c:v>
                </c:pt>
                <c:pt idx="3">
                  <c:v>0.24</c:v>
                </c:pt>
                <c:pt idx="4">
                  <c:v>0.32</c:v>
                </c:pt>
                <c:pt idx="5">
                  <c:v>0.4</c:v>
                </c:pt>
                <c:pt idx="6">
                  <c:v>0.48</c:v>
                </c:pt>
                <c:pt idx="7">
                  <c:v>0.56000000000000005</c:v>
                </c:pt>
                <c:pt idx="8">
                  <c:v>0.64</c:v>
                </c:pt>
                <c:pt idx="9">
                  <c:v>0.72</c:v>
                </c:pt>
                <c:pt idx="10">
                  <c:v>0.8</c:v>
                </c:pt>
                <c:pt idx="11">
                  <c:v>0.88</c:v>
                </c:pt>
                <c:pt idx="12">
                  <c:v>0.96</c:v>
                </c:pt>
                <c:pt idx="13">
                  <c:v>1.04</c:v>
                </c:pt>
                <c:pt idx="14">
                  <c:v>1.1200000000000001</c:v>
                </c:pt>
                <c:pt idx="15">
                  <c:v>1.2</c:v>
                </c:pt>
                <c:pt idx="16">
                  <c:v>1.28</c:v>
                </c:pt>
                <c:pt idx="17">
                  <c:v>1.36</c:v>
                </c:pt>
                <c:pt idx="18">
                  <c:v>1.44</c:v>
                </c:pt>
                <c:pt idx="19">
                  <c:v>1.52</c:v>
                </c:pt>
                <c:pt idx="20">
                  <c:v>1.6</c:v>
                </c:pt>
                <c:pt idx="21">
                  <c:v>1.68</c:v>
                </c:pt>
                <c:pt idx="22">
                  <c:v>1.76</c:v>
                </c:pt>
                <c:pt idx="23">
                  <c:v>1.84</c:v>
                </c:pt>
                <c:pt idx="24">
                  <c:v>1.92</c:v>
                </c:pt>
                <c:pt idx="25">
                  <c:v>2</c:v>
                </c:pt>
                <c:pt idx="26">
                  <c:v>2.08</c:v>
                </c:pt>
                <c:pt idx="27">
                  <c:v>2.16</c:v>
                </c:pt>
                <c:pt idx="28">
                  <c:v>2.2400000000000002</c:v>
                </c:pt>
                <c:pt idx="29">
                  <c:v>2.3199999999999998</c:v>
                </c:pt>
                <c:pt idx="30">
                  <c:v>2.4</c:v>
                </c:pt>
                <c:pt idx="31">
                  <c:v>2.48</c:v>
                </c:pt>
                <c:pt idx="32">
                  <c:v>2.56</c:v>
                </c:pt>
                <c:pt idx="33">
                  <c:v>2.64</c:v>
                </c:pt>
                <c:pt idx="34">
                  <c:v>2.72</c:v>
                </c:pt>
                <c:pt idx="35">
                  <c:v>2.8</c:v>
                </c:pt>
                <c:pt idx="36">
                  <c:v>2.88</c:v>
                </c:pt>
                <c:pt idx="37">
                  <c:v>2.96</c:v>
                </c:pt>
                <c:pt idx="38">
                  <c:v>3.04</c:v>
                </c:pt>
                <c:pt idx="39">
                  <c:v>3.12</c:v>
                </c:pt>
                <c:pt idx="40">
                  <c:v>3.2</c:v>
                </c:pt>
                <c:pt idx="41">
                  <c:v>3.28</c:v>
                </c:pt>
                <c:pt idx="42">
                  <c:v>3.36</c:v>
                </c:pt>
                <c:pt idx="43">
                  <c:v>3.44</c:v>
                </c:pt>
                <c:pt idx="44">
                  <c:v>3.52</c:v>
                </c:pt>
                <c:pt idx="45">
                  <c:v>3.6</c:v>
                </c:pt>
                <c:pt idx="46">
                  <c:v>3.68</c:v>
                </c:pt>
                <c:pt idx="47">
                  <c:v>3.76</c:v>
                </c:pt>
                <c:pt idx="48">
                  <c:v>3.84</c:v>
                </c:pt>
                <c:pt idx="49">
                  <c:v>3.92</c:v>
                </c:pt>
                <c:pt idx="50">
                  <c:v>4</c:v>
                </c:pt>
                <c:pt idx="51">
                  <c:v>4.08</c:v>
                </c:pt>
                <c:pt idx="52">
                  <c:v>4.16</c:v>
                </c:pt>
                <c:pt idx="53">
                  <c:v>4.24</c:v>
                </c:pt>
                <c:pt idx="54">
                  <c:v>4.32</c:v>
                </c:pt>
                <c:pt idx="55">
                  <c:v>4.4000000000000004</c:v>
                </c:pt>
                <c:pt idx="56">
                  <c:v>4.4800000000000004</c:v>
                </c:pt>
                <c:pt idx="57">
                  <c:v>4.5599999999999996</c:v>
                </c:pt>
                <c:pt idx="58">
                  <c:v>4.6399999999999997</c:v>
                </c:pt>
                <c:pt idx="59">
                  <c:v>4.72</c:v>
                </c:pt>
                <c:pt idx="60">
                  <c:v>4.8</c:v>
                </c:pt>
                <c:pt idx="61">
                  <c:v>4.88</c:v>
                </c:pt>
                <c:pt idx="62">
                  <c:v>4.96</c:v>
                </c:pt>
                <c:pt idx="63">
                  <c:v>5.04</c:v>
                </c:pt>
                <c:pt idx="64">
                  <c:v>5.12</c:v>
                </c:pt>
                <c:pt idx="65">
                  <c:v>5.2</c:v>
                </c:pt>
                <c:pt idx="66">
                  <c:v>5.28</c:v>
                </c:pt>
                <c:pt idx="67">
                  <c:v>5.36</c:v>
                </c:pt>
                <c:pt idx="68">
                  <c:v>5.44</c:v>
                </c:pt>
                <c:pt idx="69">
                  <c:v>5.52</c:v>
                </c:pt>
                <c:pt idx="70">
                  <c:v>5.6</c:v>
                </c:pt>
                <c:pt idx="71">
                  <c:v>5.68</c:v>
                </c:pt>
                <c:pt idx="72">
                  <c:v>5.76</c:v>
                </c:pt>
                <c:pt idx="73">
                  <c:v>5.84</c:v>
                </c:pt>
                <c:pt idx="74">
                  <c:v>5.92</c:v>
                </c:pt>
                <c:pt idx="75">
                  <c:v>6</c:v>
                </c:pt>
                <c:pt idx="76">
                  <c:v>6.08</c:v>
                </c:pt>
                <c:pt idx="77">
                  <c:v>6.16</c:v>
                </c:pt>
                <c:pt idx="78">
                  <c:v>6.24</c:v>
                </c:pt>
                <c:pt idx="79">
                  <c:v>6.32</c:v>
                </c:pt>
                <c:pt idx="80">
                  <c:v>6.4</c:v>
                </c:pt>
                <c:pt idx="81">
                  <c:v>6.48</c:v>
                </c:pt>
                <c:pt idx="82">
                  <c:v>6.56</c:v>
                </c:pt>
                <c:pt idx="83">
                  <c:v>6.64</c:v>
                </c:pt>
                <c:pt idx="84">
                  <c:v>6.72</c:v>
                </c:pt>
                <c:pt idx="85">
                  <c:v>6.8</c:v>
                </c:pt>
                <c:pt idx="86">
                  <c:v>6.88</c:v>
                </c:pt>
                <c:pt idx="87">
                  <c:v>6.96</c:v>
                </c:pt>
                <c:pt idx="88">
                  <c:v>7.04</c:v>
                </c:pt>
                <c:pt idx="89">
                  <c:v>7.12</c:v>
                </c:pt>
                <c:pt idx="90">
                  <c:v>7.2</c:v>
                </c:pt>
                <c:pt idx="91">
                  <c:v>7.28</c:v>
                </c:pt>
                <c:pt idx="92">
                  <c:v>7.36</c:v>
                </c:pt>
                <c:pt idx="93">
                  <c:v>7.44</c:v>
                </c:pt>
                <c:pt idx="94">
                  <c:v>7.52</c:v>
                </c:pt>
                <c:pt idx="95">
                  <c:v>7.6</c:v>
                </c:pt>
                <c:pt idx="96">
                  <c:v>7.68</c:v>
                </c:pt>
                <c:pt idx="97">
                  <c:v>7.76</c:v>
                </c:pt>
                <c:pt idx="98">
                  <c:v>7.84</c:v>
                </c:pt>
                <c:pt idx="99">
                  <c:v>7.92</c:v>
                </c:pt>
                <c:pt idx="100">
                  <c:v>8</c:v>
                </c:pt>
              </c:numCache>
            </c:numRef>
          </c:xVal>
          <c:yVal>
            <c:numRef>
              <c:f>'Efficiency Calculations'!$AV$9:$AV$109</c:f>
              <c:numCache>
                <c:formatCode>0.0%</c:formatCode>
                <c:ptCount val="101"/>
                <c:pt idx="0">
                  <c:v>0</c:v>
                </c:pt>
                <c:pt idx="1">
                  <c:v>0.3555687205108114</c:v>
                </c:pt>
                <c:pt idx="2">
                  <c:v>0.45616703536836523</c:v>
                </c:pt>
                <c:pt idx="3">
                  <c:v>0.50484645895324587</c:v>
                </c:pt>
                <c:pt idx="4">
                  <c:v>0.53606754855998695</c:v>
                </c:pt>
                <c:pt idx="5">
                  <c:v>0.58563879006243968</c:v>
                </c:pt>
                <c:pt idx="6">
                  <c:v>0.62407983784810017</c:v>
                </c:pt>
                <c:pt idx="7">
                  <c:v>0.65474695155929485</c:v>
                </c:pt>
                <c:pt idx="8">
                  <c:v>0.67977020283114076</c:v>
                </c:pt>
                <c:pt idx="9">
                  <c:v>0.70056658441375941</c:v>
                </c:pt>
                <c:pt idx="10">
                  <c:v>0.7181153597889034</c:v>
                </c:pt>
                <c:pt idx="11">
                  <c:v>0.7331149710286462</c:v>
                </c:pt>
                <c:pt idx="12">
                  <c:v>0.74607696773805421</c:v>
                </c:pt>
                <c:pt idx="13">
                  <c:v>0.75738459914318124</c:v>
                </c:pt>
                <c:pt idx="14">
                  <c:v>0.76733066391390026</c:v>
                </c:pt>
                <c:pt idx="15">
                  <c:v>0.77614270725435286</c:v>
                </c:pt>
                <c:pt idx="16">
                  <c:v>0.78400023943680297</c:v>
                </c:pt>
                <c:pt idx="17">
                  <c:v>0.79104677546772417</c:v>
                </c:pt>
                <c:pt idx="18">
                  <c:v>0.79739842641034608</c:v>
                </c:pt>
                <c:pt idx="19">
                  <c:v>0.80315014213291691</c:v>
                </c:pt>
                <c:pt idx="20">
                  <c:v>0.80838032186685738</c:v>
                </c:pt>
                <c:pt idx="21">
                  <c:v>0.8131542696518308</c:v>
                </c:pt>
                <c:pt idx="22">
                  <c:v>0.81752681876562239</c:v>
                </c:pt>
                <c:pt idx="23">
                  <c:v>0.82154434931680054</c:v>
                </c:pt>
                <c:pt idx="24">
                  <c:v>0.82524635662835322</c:v>
                </c:pt>
                <c:pt idx="25">
                  <c:v>0.82866668292105372</c:v>
                </c:pt>
                <c:pt idx="26">
                  <c:v>0.83183449371331775</c:v>
                </c:pt>
                <c:pt idx="27">
                  <c:v>0.83477505860591539</c:v>
                </c:pt>
                <c:pt idx="28">
                  <c:v>0.83751038069604722</c:v>
                </c:pt>
                <c:pt idx="29">
                  <c:v>0.84005970778637717</c:v>
                </c:pt>
                <c:pt idx="30">
                  <c:v>0.84243995050192089</c:v>
                </c:pt>
                <c:pt idx="31">
                  <c:v>0.8446660265098398</c:v>
                </c:pt>
                <c:pt idx="32">
                  <c:v>0.84675114564328535</c:v>
                </c:pt>
                <c:pt idx="33">
                  <c:v>0.84870704743660241</c:v>
                </c:pt>
                <c:pt idx="34">
                  <c:v>0.85054420008766962</c:v>
                </c:pt>
                <c:pt idx="35">
                  <c:v>0.85227196796252425</c:v>
                </c:pt>
                <c:pt idx="36">
                  <c:v>0.85389875329597964</c:v>
                </c:pt>
                <c:pt idx="37">
                  <c:v>0.85543211660974339</c:v>
                </c:pt>
                <c:pt idx="38">
                  <c:v>0.8568788794861929</c:v>
                </c:pt>
                <c:pt idx="39">
                  <c:v>0.85824521264213571</c:v>
                </c:pt>
                <c:pt idx="40">
                  <c:v>0.85953671169844126</c:v>
                </c:pt>
                <c:pt idx="41">
                  <c:v>0.86075846260530742</c:v>
                </c:pt>
                <c:pt idx="42">
                  <c:v>0.86191509833412583</c:v>
                </c:pt>
                <c:pt idx="43">
                  <c:v>0.86301084816642493</c:v>
                </c:pt>
                <c:pt idx="44">
                  <c:v>0.86404958068366156</c:v>
                </c:pt>
                <c:pt idx="45">
                  <c:v>0.86503484137747089</c:v>
                </c:pt>
                <c:pt idx="46">
                  <c:v>0.86596988564968602</c:v>
                </c:pt>
                <c:pt idx="47">
                  <c:v>0.86685770784822258</c:v>
                </c:pt>
                <c:pt idx="48">
                  <c:v>0.86770106688347426</c:v>
                </c:pt>
                <c:pt idx="49">
                  <c:v>0.86850250888598934</c:v>
                </c:pt>
                <c:pt idx="50">
                  <c:v>0.86926438729657962</c:v>
                </c:pt>
                <c:pt idx="51">
                  <c:v>0.86998888072201264</c:v>
                </c:pt>
                <c:pt idx="52">
                  <c:v>0.87067800884093172</c:v>
                </c:pt>
                <c:pt idx="53">
                  <c:v>0.87133364660394785</c:v>
                </c:pt>
                <c:pt idx="54">
                  <c:v>0.87195753693757949</c:v>
                </c:pt>
                <c:pt idx="55">
                  <c:v>0.87255130213277166</c:v>
                </c:pt>
                <c:pt idx="56">
                  <c:v>0.87311645407419203</c:v>
                </c:pt>
                <c:pt idx="57">
                  <c:v>0.87365440344566692</c:v>
                </c:pt>
                <c:pt idx="58">
                  <c:v>0.87416646802934228</c:v>
                </c:pt>
                <c:pt idx="59">
                  <c:v>0.87465388020098045</c:v>
                </c:pt>
                <c:pt idx="60">
                  <c:v>0.87511779371077758</c:v>
                </c:pt>
                <c:pt idx="61">
                  <c:v>0.87555928982791398</c:v>
                </c:pt>
                <c:pt idx="62">
                  <c:v>0.87597938291740951</c:v>
                </c:pt>
                <c:pt idx="63">
                  <c:v>0.87637902550954083</c:v>
                </c:pt>
                <c:pt idx="64">
                  <c:v>0.87675911291487563</c:v>
                </c:pt>
                <c:pt idx="65">
                  <c:v>0.87712048743173432</c:v>
                </c:pt>
                <c:pt idx="66">
                  <c:v>0.87746394218745472</c:v>
                </c:pt>
                <c:pt idx="67">
                  <c:v>0.87779022465010803</c:v>
                </c:pt>
                <c:pt idx="68">
                  <c:v>0.87810003984317764</c:v>
                </c:pt>
                <c:pt idx="69">
                  <c:v>0.87839405329209863</c:v>
                </c:pt>
                <c:pt idx="70">
                  <c:v>0.87867289372838919</c:v>
                </c:pt>
                <c:pt idx="71">
                  <c:v>0.87893715557431706</c:v>
                </c:pt>
                <c:pt idx="72">
                  <c:v>0.87918740122859929</c:v>
                </c:pt>
                <c:pt idx="73">
                  <c:v>0.87942416317147065</c:v>
                </c:pt>
                <c:pt idx="74">
                  <c:v>0.8796479459055544</c:v>
                </c:pt>
                <c:pt idx="75">
                  <c:v>0.87985922774727598</c:v>
                </c:pt>
                <c:pt idx="76">
                  <c:v>0.88005846248207409</c:v>
                </c:pt>
                <c:pt idx="77">
                  <c:v>0.8802460808953313</c:v>
                </c:pt>
                <c:pt idx="78">
                  <c:v>0.88042249218976998</c:v>
                </c:pt>
                <c:pt idx="79">
                  <c:v>0.88058808529901156</c:v>
                </c:pt>
                <c:pt idx="80">
                  <c:v>0.88074323010606137</c:v>
                </c:pt>
                <c:pt idx="81">
                  <c:v>0.88088827857464302</c:v>
                </c:pt>
                <c:pt idx="82">
                  <c:v>0.88102356580056518</c:v>
                </c:pt>
                <c:pt idx="83">
                  <c:v>0.88114941098963184</c:v>
                </c:pt>
                <c:pt idx="84">
                  <c:v>0.8812661183680075</c:v>
                </c:pt>
                <c:pt idx="85">
                  <c:v>0.88137397803041451</c:v>
                </c:pt>
                <c:pt idx="86">
                  <c:v>0.88147326673105053</c:v>
                </c:pt>
                <c:pt idx="87">
                  <c:v>0.88156424862168603</c:v>
                </c:pt>
                <c:pt idx="88">
                  <c:v>0.88164717594100395</c:v>
                </c:pt>
                <c:pt idx="89">
                  <c:v>0.88172228965889154</c:v>
                </c:pt>
                <c:pt idx="90">
                  <c:v>0.88178982007907825</c:v>
                </c:pt>
                <c:pt idx="91">
                  <c:v>0.88184998740322007</c:v>
                </c:pt>
                <c:pt idx="92">
                  <c:v>0.88190300225927043</c:v>
                </c:pt>
                <c:pt idx="93">
                  <c:v>0.88194906619674573</c:v>
                </c:pt>
                <c:pt idx="94">
                  <c:v>0.88198837215126913</c:v>
                </c:pt>
                <c:pt idx="95">
                  <c:v>0.88202110488059238</c:v>
                </c:pt>
                <c:pt idx="96">
                  <c:v>0.88204744137410707</c:v>
                </c:pt>
                <c:pt idx="97">
                  <c:v>0.88206755123770442</c:v>
                </c:pt>
                <c:pt idx="98">
                  <c:v>0.88208159705568923</c:v>
                </c:pt>
                <c:pt idx="99">
                  <c:v>0.88208973473132291</c:v>
                </c:pt>
                <c:pt idx="100">
                  <c:v>0.88209211380744856</c:v>
                </c:pt>
              </c:numCache>
            </c:numRef>
          </c:yVal>
          <c:smooth val="0"/>
          <c:extLst>
            <c:ext xmlns:c16="http://schemas.microsoft.com/office/drawing/2014/chart" uri="{C3380CC4-5D6E-409C-BE32-E72D297353CC}">
              <c16:uniqueId val="{00000000-EB57-4071-85DB-21E836E81E4D}"/>
            </c:ext>
          </c:extLst>
        </c:ser>
        <c:dLbls>
          <c:showLegendKey val="0"/>
          <c:showVal val="0"/>
          <c:showCatName val="0"/>
          <c:showSerName val="0"/>
          <c:showPercent val="0"/>
          <c:showBubbleSize val="0"/>
        </c:dLbls>
        <c:axId val="44440576"/>
        <c:axId val="333276288"/>
      </c:scatterChart>
      <c:valAx>
        <c:axId val="44440576"/>
        <c:scaling>
          <c:orientation val="minMax"/>
        </c:scaling>
        <c:delete val="0"/>
        <c:axPos val="b"/>
        <c:majorGridlines/>
        <c:title>
          <c:tx>
            <c:rich>
              <a:bodyPr/>
              <a:lstStyle/>
              <a:p>
                <a:pPr>
                  <a:defRPr sz="1100" b="1" i="0" u="none" strike="noStrike" baseline="0">
                    <a:solidFill>
                      <a:srgbClr val="000000"/>
                    </a:solidFill>
                    <a:latin typeface="Arial"/>
                    <a:ea typeface="Arial"/>
                    <a:cs typeface="Arial"/>
                  </a:defRPr>
                </a:pPr>
                <a:r>
                  <a:rPr lang="en-US" sz="1100" baseline="0"/>
                  <a:t>Output Current (A)</a:t>
                </a:r>
                <a:endParaRPr lang="en-US" sz="1100"/>
              </a:p>
            </c:rich>
          </c:tx>
          <c:layout>
            <c:manualLayout>
              <c:xMode val="edge"/>
              <c:yMode val="edge"/>
              <c:x val="0.4576315442322012"/>
              <c:y val="0.9435492337651342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1025" b="1" i="0" u="none" strike="noStrike" baseline="0">
                <a:solidFill>
                  <a:srgbClr val="000000"/>
                </a:solidFill>
                <a:latin typeface="Arial"/>
                <a:ea typeface="Arial"/>
                <a:cs typeface="Arial"/>
              </a:defRPr>
            </a:pPr>
            <a:endParaRPr lang="en-US"/>
          </a:p>
        </c:txPr>
        <c:crossAx val="333276288"/>
        <c:crosses val="autoZero"/>
        <c:crossBetween val="midCat"/>
      </c:valAx>
      <c:valAx>
        <c:axId val="333276288"/>
        <c:scaling>
          <c:orientation val="minMax"/>
          <c:max val="1"/>
          <c:min val="0.70000000000000007"/>
        </c:scaling>
        <c:delete val="0"/>
        <c:axPos val="l"/>
        <c:majorGridlines>
          <c:spPr>
            <a:ln w="3175">
              <a:solidFill>
                <a:srgbClr val="000000"/>
              </a:solidFill>
              <a:prstDash val="solid"/>
            </a:ln>
          </c:spPr>
        </c:majorGridlines>
        <c:title>
          <c:tx>
            <c:rich>
              <a:bodyPr/>
              <a:lstStyle/>
              <a:p>
                <a:pPr>
                  <a:defRPr sz="1025" b="1" i="0" u="none" strike="noStrike" baseline="0">
                    <a:solidFill>
                      <a:srgbClr val="000000"/>
                    </a:solidFill>
                    <a:latin typeface="Arial"/>
                    <a:ea typeface="Arial"/>
                    <a:cs typeface="Arial"/>
                  </a:defRPr>
                </a:pPr>
                <a:r>
                  <a:rPr lang="en-US"/>
                  <a:t>Efficiency (%)</a:t>
                </a:r>
              </a:p>
            </c:rich>
          </c:tx>
          <c:layout>
            <c:manualLayout>
              <c:xMode val="edge"/>
              <c:yMode val="edge"/>
              <c:x val="6.7750677506776052E-3"/>
              <c:y val="0.4274197781728969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25" b="1" i="0" u="none" strike="noStrike" baseline="0">
                <a:solidFill>
                  <a:srgbClr val="000000"/>
                </a:solidFill>
                <a:latin typeface="Arial"/>
                <a:ea typeface="Arial"/>
                <a:cs typeface="Arial"/>
              </a:defRPr>
            </a:pPr>
            <a:endParaRPr lang="en-US"/>
          </a:p>
        </c:txPr>
        <c:crossAx val="44440576"/>
        <c:crosses val="autoZero"/>
        <c:crossBetween val="midCat"/>
      </c:valAx>
      <c:spPr>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w="12700">
          <a:solidFill>
            <a:srgbClr val="808080"/>
          </a:solidFill>
          <a:prstDash val="solid"/>
        </a:ln>
      </c:spPr>
    </c:plotArea>
    <c:legend>
      <c:legendPos val="r"/>
      <c:layout>
        <c:manualLayout>
          <c:xMode val="edge"/>
          <c:yMode val="edge"/>
          <c:x val="0.81417468158588802"/>
          <c:y val="3.6290322580645726E-2"/>
          <c:w val="0.16008127236069711"/>
          <c:h val="4.2338709677419352E-2"/>
        </c:manualLayout>
      </c:layout>
      <c:overlay val="0"/>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925" b="0" i="0" u="none" strike="noStrike" baseline="0">
          <a:solidFill>
            <a:srgbClr val="000000"/>
          </a:solidFill>
          <a:latin typeface="Arial"/>
          <a:ea typeface="Arial"/>
          <a:cs typeface="Arial"/>
        </a:defRPr>
      </a:pPr>
      <a:endParaRPr lang="en-US"/>
    </a:p>
  </c:txPr>
  <c:printSettings>
    <c:headerFooter alignWithMargins="0"/>
    <c:pageMargins b="1" l="0.75000000000000666" r="0.75000000000000666"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i="0" u="none" strike="noStrike" baseline="0">
                <a:solidFill>
                  <a:srgbClr val="000000"/>
                </a:solidFill>
                <a:latin typeface="Arial" pitchFamily="34" charset="0"/>
                <a:ea typeface="Calibri"/>
                <a:cs typeface="Arial" pitchFamily="34" charset="0"/>
              </a:defRPr>
            </a:pPr>
            <a:r>
              <a:rPr lang="en-US" sz="2000">
                <a:latin typeface="Arial" pitchFamily="34" charset="0"/>
                <a:cs typeface="Arial" pitchFamily="34" charset="0"/>
                <a:sym typeface="Symbol"/>
              </a:rPr>
              <a:t></a:t>
            </a:r>
            <a:r>
              <a:rPr lang="en-US" sz="2000" b="1" i="0" u="none" strike="noStrike" baseline="0"/>
              <a:t>,  V</a:t>
            </a:r>
            <a:r>
              <a:rPr lang="en-US" sz="2000" b="1" i="0" u="none" strike="noStrike" baseline="-25000"/>
              <a:t>IN</a:t>
            </a:r>
            <a:r>
              <a:rPr lang="en-US" sz="2000" b="1" i="0" u="none" strike="noStrike" baseline="0"/>
              <a:t> = V</a:t>
            </a:r>
            <a:r>
              <a:rPr lang="en-US" sz="2000" b="1" i="0" u="none" strike="noStrike" baseline="-25000"/>
              <a:t>IN(nom)</a:t>
            </a:r>
            <a:endParaRPr lang="en-US" sz="2000">
              <a:latin typeface="Arial" pitchFamily="34" charset="0"/>
              <a:cs typeface="Arial" pitchFamily="34" charset="0"/>
            </a:endParaRPr>
          </a:p>
        </c:rich>
      </c:tx>
      <c:layout>
        <c:manualLayout>
          <c:xMode val="edge"/>
          <c:yMode val="edge"/>
          <c:x val="7.7082846781954192E-2"/>
          <c:y val="1.4109969466157928E-2"/>
        </c:manualLayout>
      </c:layout>
      <c:overlay val="0"/>
      <c:spPr>
        <a:noFill/>
        <a:ln w="25400">
          <a:noFill/>
        </a:ln>
      </c:spPr>
    </c:title>
    <c:autoTitleDeleted val="0"/>
    <c:plotArea>
      <c:layout>
        <c:manualLayout>
          <c:layoutTarget val="inner"/>
          <c:xMode val="edge"/>
          <c:yMode val="edge"/>
          <c:x val="8.2399604911965282E-2"/>
          <c:y val="0.12372903654825702"/>
          <c:w val="0.82579990228506228"/>
          <c:h val="0.76068566810117366"/>
        </c:manualLayout>
      </c:layout>
      <c:lineChart>
        <c:grouping val="standard"/>
        <c:varyColors val="0"/>
        <c:ser>
          <c:idx val="0"/>
          <c:order val="0"/>
          <c:tx>
            <c:v>Efficiency</c:v>
          </c:tx>
          <c:spPr>
            <a:ln w="28575">
              <a:solidFill>
                <a:srgbClr val="FF0000"/>
              </a:solidFill>
              <a:prstDash val="solid"/>
            </a:ln>
          </c:spPr>
          <c:marker>
            <c:symbol val="none"/>
          </c:marker>
          <c:cat>
            <c:numRef>
              <c:f>'Efficiency Calculations'!$J$9:$J$109</c:f>
              <c:numCache>
                <c:formatCode>0.000</c:formatCode>
                <c:ptCount val="101"/>
                <c:pt idx="0" formatCode="General">
                  <c:v>0</c:v>
                </c:pt>
                <c:pt idx="1">
                  <c:v>0.08</c:v>
                </c:pt>
                <c:pt idx="2">
                  <c:v>0.16</c:v>
                </c:pt>
                <c:pt idx="3">
                  <c:v>0.24</c:v>
                </c:pt>
                <c:pt idx="4">
                  <c:v>0.32</c:v>
                </c:pt>
                <c:pt idx="5">
                  <c:v>0.4</c:v>
                </c:pt>
                <c:pt idx="6">
                  <c:v>0.48</c:v>
                </c:pt>
                <c:pt idx="7">
                  <c:v>0.56000000000000005</c:v>
                </c:pt>
                <c:pt idx="8">
                  <c:v>0.64</c:v>
                </c:pt>
                <c:pt idx="9">
                  <c:v>0.72</c:v>
                </c:pt>
                <c:pt idx="10">
                  <c:v>0.8</c:v>
                </c:pt>
                <c:pt idx="11">
                  <c:v>0.88</c:v>
                </c:pt>
                <c:pt idx="12">
                  <c:v>0.96</c:v>
                </c:pt>
                <c:pt idx="13">
                  <c:v>1.04</c:v>
                </c:pt>
                <c:pt idx="14">
                  <c:v>1.1200000000000001</c:v>
                </c:pt>
                <c:pt idx="15">
                  <c:v>1.2</c:v>
                </c:pt>
                <c:pt idx="16">
                  <c:v>1.28</c:v>
                </c:pt>
                <c:pt idx="17">
                  <c:v>1.36</c:v>
                </c:pt>
                <c:pt idx="18">
                  <c:v>1.44</c:v>
                </c:pt>
                <c:pt idx="19">
                  <c:v>1.52</c:v>
                </c:pt>
                <c:pt idx="20">
                  <c:v>1.6</c:v>
                </c:pt>
                <c:pt idx="21">
                  <c:v>1.68</c:v>
                </c:pt>
                <c:pt idx="22">
                  <c:v>1.76</c:v>
                </c:pt>
                <c:pt idx="23">
                  <c:v>1.84</c:v>
                </c:pt>
                <c:pt idx="24">
                  <c:v>1.92</c:v>
                </c:pt>
                <c:pt idx="25">
                  <c:v>2</c:v>
                </c:pt>
                <c:pt idx="26">
                  <c:v>2.08</c:v>
                </c:pt>
                <c:pt idx="27">
                  <c:v>2.16</c:v>
                </c:pt>
                <c:pt idx="28">
                  <c:v>2.2400000000000002</c:v>
                </c:pt>
                <c:pt idx="29">
                  <c:v>2.3199999999999998</c:v>
                </c:pt>
                <c:pt idx="30">
                  <c:v>2.4</c:v>
                </c:pt>
                <c:pt idx="31">
                  <c:v>2.48</c:v>
                </c:pt>
                <c:pt idx="32">
                  <c:v>2.56</c:v>
                </c:pt>
                <c:pt idx="33">
                  <c:v>2.64</c:v>
                </c:pt>
                <c:pt idx="34">
                  <c:v>2.72</c:v>
                </c:pt>
                <c:pt idx="35">
                  <c:v>2.8</c:v>
                </c:pt>
                <c:pt idx="36">
                  <c:v>2.88</c:v>
                </c:pt>
                <c:pt idx="37">
                  <c:v>2.96</c:v>
                </c:pt>
                <c:pt idx="38">
                  <c:v>3.04</c:v>
                </c:pt>
                <c:pt idx="39">
                  <c:v>3.12</c:v>
                </c:pt>
                <c:pt idx="40">
                  <c:v>3.2</c:v>
                </c:pt>
                <c:pt idx="41">
                  <c:v>3.28</c:v>
                </c:pt>
                <c:pt idx="42">
                  <c:v>3.36</c:v>
                </c:pt>
                <c:pt idx="43">
                  <c:v>3.44</c:v>
                </c:pt>
                <c:pt idx="44">
                  <c:v>3.52</c:v>
                </c:pt>
                <c:pt idx="45">
                  <c:v>3.6</c:v>
                </c:pt>
                <c:pt idx="46">
                  <c:v>3.68</c:v>
                </c:pt>
                <c:pt idx="47">
                  <c:v>3.76</c:v>
                </c:pt>
                <c:pt idx="48">
                  <c:v>3.84</c:v>
                </c:pt>
                <c:pt idx="49">
                  <c:v>3.92</c:v>
                </c:pt>
                <c:pt idx="50">
                  <c:v>4</c:v>
                </c:pt>
                <c:pt idx="51">
                  <c:v>4.08</c:v>
                </c:pt>
                <c:pt idx="52">
                  <c:v>4.16</c:v>
                </c:pt>
                <c:pt idx="53">
                  <c:v>4.24</c:v>
                </c:pt>
                <c:pt idx="54">
                  <c:v>4.32</c:v>
                </c:pt>
                <c:pt idx="55">
                  <c:v>4.4000000000000004</c:v>
                </c:pt>
                <c:pt idx="56">
                  <c:v>4.4800000000000004</c:v>
                </c:pt>
                <c:pt idx="57">
                  <c:v>4.5599999999999996</c:v>
                </c:pt>
                <c:pt idx="58">
                  <c:v>4.6399999999999997</c:v>
                </c:pt>
                <c:pt idx="59">
                  <c:v>4.72</c:v>
                </c:pt>
                <c:pt idx="60">
                  <c:v>4.8</c:v>
                </c:pt>
                <c:pt idx="61">
                  <c:v>4.88</c:v>
                </c:pt>
                <c:pt idx="62">
                  <c:v>4.96</c:v>
                </c:pt>
                <c:pt idx="63">
                  <c:v>5.04</c:v>
                </c:pt>
                <c:pt idx="64">
                  <c:v>5.12</c:v>
                </c:pt>
                <c:pt idx="65">
                  <c:v>5.2</c:v>
                </c:pt>
                <c:pt idx="66">
                  <c:v>5.28</c:v>
                </c:pt>
                <c:pt idx="67">
                  <c:v>5.36</c:v>
                </c:pt>
                <c:pt idx="68">
                  <c:v>5.44</c:v>
                </c:pt>
                <c:pt idx="69">
                  <c:v>5.52</c:v>
                </c:pt>
                <c:pt idx="70">
                  <c:v>5.6</c:v>
                </c:pt>
                <c:pt idx="71">
                  <c:v>5.68</c:v>
                </c:pt>
                <c:pt idx="72">
                  <c:v>5.76</c:v>
                </c:pt>
                <c:pt idx="73">
                  <c:v>5.84</c:v>
                </c:pt>
                <c:pt idx="74">
                  <c:v>5.92</c:v>
                </c:pt>
                <c:pt idx="75">
                  <c:v>6</c:v>
                </c:pt>
                <c:pt idx="76">
                  <c:v>6.08</c:v>
                </c:pt>
                <c:pt idx="77">
                  <c:v>6.16</c:v>
                </c:pt>
                <c:pt idx="78">
                  <c:v>6.24</c:v>
                </c:pt>
                <c:pt idx="79">
                  <c:v>6.32</c:v>
                </c:pt>
                <c:pt idx="80">
                  <c:v>6.4</c:v>
                </c:pt>
                <c:pt idx="81">
                  <c:v>6.48</c:v>
                </c:pt>
                <c:pt idx="82">
                  <c:v>6.56</c:v>
                </c:pt>
                <c:pt idx="83">
                  <c:v>6.64</c:v>
                </c:pt>
                <c:pt idx="84">
                  <c:v>6.72</c:v>
                </c:pt>
                <c:pt idx="85">
                  <c:v>6.8</c:v>
                </c:pt>
                <c:pt idx="86">
                  <c:v>6.88</c:v>
                </c:pt>
                <c:pt idx="87">
                  <c:v>6.96</c:v>
                </c:pt>
                <c:pt idx="88">
                  <c:v>7.04</c:v>
                </c:pt>
                <c:pt idx="89">
                  <c:v>7.12</c:v>
                </c:pt>
                <c:pt idx="90">
                  <c:v>7.2</c:v>
                </c:pt>
                <c:pt idx="91">
                  <c:v>7.28</c:v>
                </c:pt>
                <c:pt idx="92">
                  <c:v>7.36</c:v>
                </c:pt>
                <c:pt idx="93">
                  <c:v>7.44</c:v>
                </c:pt>
                <c:pt idx="94">
                  <c:v>7.52</c:v>
                </c:pt>
                <c:pt idx="95">
                  <c:v>7.6</c:v>
                </c:pt>
                <c:pt idx="96">
                  <c:v>7.68</c:v>
                </c:pt>
                <c:pt idx="97">
                  <c:v>7.76</c:v>
                </c:pt>
                <c:pt idx="98">
                  <c:v>7.84</c:v>
                </c:pt>
                <c:pt idx="99">
                  <c:v>7.92</c:v>
                </c:pt>
                <c:pt idx="100">
                  <c:v>8</c:v>
                </c:pt>
              </c:numCache>
            </c:numRef>
          </c:cat>
          <c:val>
            <c:numRef>
              <c:f>'Efficiency Calculations'!$AZ$9:$AZ$109</c:f>
              <c:numCache>
                <c:formatCode>0.00</c:formatCode>
                <c:ptCount val="101"/>
                <c:pt idx="0">
                  <c:v>0</c:v>
                </c:pt>
                <c:pt idx="1">
                  <c:v>35.556872051081143</c:v>
                </c:pt>
                <c:pt idx="2">
                  <c:v>45.616703536836525</c:v>
                </c:pt>
                <c:pt idx="3">
                  <c:v>50.48464589532459</c:v>
                </c:pt>
                <c:pt idx="4">
                  <c:v>53.606754855998695</c:v>
                </c:pt>
                <c:pt idx="5">
                  <c:v>58.563879006243965</c:v>
                </c:pt>
                <c:pt idx="6">
                  <c:v>62.407983784810014</c:v>
                </c:pt>
                <c:pt idx="7">
                  <c:v>65.474695155929481</c:v>
                </c:pt>
                <c:pt idx="8">
                  <c:v>67.977020283114072</c:v>
                </c:pt>
                <c:pt idx="9">
                  <c:v>70.056658441375944</c:v>
                </c:pt>
                <c:pt idx="10">
                  <c:v>71.811535978890333</c:v>
                </c:pt>
                <c:pt idx="11">
                  <c:v>73.311497102864621</c:v>
                </c:pt>
                <c:pt idx="12">
                  <c:v>74.607696773805415</c:v>
                </c:pt>
                <c:pt idx="13">
                  <c:v>75.738459914318128</c:v>
                </c:pt>
                <c:pt idx="14">
                  <c:v>76.733066391390025</c:v>
                </c:pt>
                <c:pt idx="15">
                  <c:v>77.61427072543529</c:v>
                </c:pt>
                <c:pt idx="16">
                  <c:v>78.400023943680296</c:v>
                </c:pt>
                <c:pt idx="17">
                  <c:v>79.104677546772422</c:v>
                </c:pt>
                <c:pt idx="18">
                  <c:v>79.739842641034613</c:v>
                </c:pt>
                <c:pt idx="19">
                  <c:v>80.31501421329169</c:v>
                </c:pt>
                <c:pt idx="20">
                  <c:v>80.838032186685737</c:v>
                </c:pt>
                <c:pt idx="21">
                  <c:v>81.315426965183079</c:v>
                </c:pt>
                <c:pt idx="22">
                  <c:v>81.752681876562235</c:v>
                </c:pt>
                <c:pt idx="23">
                  <c:v>82.154434931680058</c:v>
                </c:pt>
                <c:pt idx="24">
                  <c:v>82.524635662835323</c:v>
                </c:pt>
                <c:pt idx="25">
                  <c:v>82.866668292105373</c:v>
                </c:pt>
                <c:pt idx="26">
                  <c:v>83.183449371331776</c:v>
                </c:pt>
                <c:pt idx="27">
                  <c:v>83.477505860591535</c:v>
                </c:pt>
                <c:pt idx="28">
                  <c:v>83.751038069604718</c:v>
                </c:pt>
                <c:pt idx="29">
                  <c:v>84.005970778637717</c:v>
                </c:pt>
                <c:pt idx="30">
                  <c:v>84.243995050192083</c:v>
                </c:pt>
                <c:pt idx="31">
                  <c:v>84.466602650983987</c:v>
                </c:pt>
                <c:pt idx="32">
                  <c:v>84.675114564328538</c:v>
                </c:pt>
                <c:pt idx="33">
                  <c:v>84.870704743660241</c:v>
                </c:pt>
                <c:pt idx="34">
                  <c:v>85.054420008766968</c:v>
                </c:pt>
                <c:pt idx="35">
                  <c:v>85.227196796252429</c:v>
                </c:pt>
                <c:pt idx="36">
                  <c:v>85.38987532959797</c:v>
                </c:pt>
                <c:pt idx="37">
                  <c:v>85.543211660974336</c:v>
                </c:pt>
                <c:pt idx="38">
                  <c:v>85.687887948619291</c:v>
                </c:pt>
                <c:pt idx="39">
                  <c:v>85.824521264213573</c:v>
                </c:pt>
                <c:pt idx="40">
                  <c:v>85.953671169844128</c:v>
                </c:pt>
                <c:pt idx="41">
                  <c:v>86.075846260530739</c:v>
                </c:pt>
                <c:pt idx="42">
                  <c:v>86.191509833412582</c:v>
                </c:pt>
                <c:pt idx="43">
                  <c:v>86.301084816642486</c:v>
                </c:pt>
                <c:pt idx="44">
                  <c:v>86.404958068366156</c:v>
                </c:pt>
                <c:pt idx="45">
                  <c:v>86.503484137747094</c:v>
                </c:pt>
                <c:pt idx="46">
                  <c:v>86.596988564968598</c:v>
                </c:pt>
                <c:pt idx="47">
                  <c:v>86.685770784822253</c:v>
                </c:pt>
                <c:pt idx="48">
                  <c:v>86.770106688347425</c:v>
                </c:pt>
                <c:pt idx="49">
                  <c:v>86.850250888598936</c:v>
                </c:pt>
                <c:pt idx="50">
                  <c:v>86.92643872965796</c:v>
                </c:pt>
                <c:pt idx="51">
                  <c:v>86.998888072201268</c:v>
                </c:pt>
                <c:pt idx="52">
                  <c:v>87.067800884093174</c:v>
                </c:pt>
                <c:pt idx="53">
                  <c:v>87.13336466039479</c:v>
                </c:pt>
                <c:pt idx="54">
                  <c:v>87.19575369375795</c:v>
                </c:pt>
                <c:pt idx="55">
                  <c:v>87.25513021327717</c:v>
                </c:pt>
                <c:pt idx="56">
                  <c:v>87.311645407419206</c:v>
                </c:pt>
                <c:pt idx="57">
                  <c:v>87.365440344566693</c:v>
                </c:pt>
                <c:pt idx="58">
                  <c:v>87.416646802934224</c:v>
                </c:pt>
                <c:pt idx="59">
                  <c:v>87.465388020098047</c:v>
                </c:pt>
                <c:pt idx="60">
                  <c:v>87.511779371077765</c:v>
                </c:pt>
                <c:pt idx="61">
                  <c:v>87.5559289827914</c:v>
                </c:pt>
                <c:pt idx="62">
                  <c:v>87.597938291740945</c:v>
                </c:pt>
                <c:pt idx="63">
                  <c:v>87.637902550954081</c:v>
                </c:pt>
                <c:pt idx="64">
                  <c:v>87.675911291487566</c:v>
                </c:pt>
                <c:pt idx="65">
                  <c:v>87.712048743173426</c:v>
                </c:pt>
                <c:pt idx="66">
                  <c:v>87.746394218745465</c:v>
                </c:pt>
                <c:pt idx="67">
                  <c:v>87.779022465010797</c:v>
                </c:pt>
                <c:pt idx="68">
                  <c:v>87.81000398431776</c:v>
                </c:pt>
                <c:pt idx="69">
                  <c:v>87.839405329209868</c:v>
                </c:pt>
                <c:pt idx="70">
                  <c:v>87.867289372838925</c:v>
                </c:pt>
                <c:pt idx="71">
                  <c:v>87.893715557431705</c:v>
                </c:pt>
                <c:pt idx="72">
                  <c:v>87.91874012285993</c:v>
                </c:pt>
                <c:pt idx="73">
                  <c:v>87.942416317147064</c:v>
                </c:pt>
                <c:pt idx="74">
                  <c:v>87.964794590555442</c:v>
                </c:pt>
                <c:pt idx="75">
                  <c:v>87.985922774727598</c:v>
                </c:pt>
                <c:pt idx="76">
                  <c:v>88.005846248207405</c:v>
                </c:pt>
                <c:pt idx="77">
                  <c:v>88.024608089533132</c:v>
                </c:pt>
                <c:pt idx="78">
                  <c:v>88.042249218976991</c:v>
                </c:pt>
                <c:pt idx="79">
                  <c:v>88.058808529901157</c:v>
                </c:pt>
                <c:pt idx="80">
                  <c:v>88.074323010606136</c:v>
                </c:pt>
                <c:pt idx="81">
                  <c:v>88.08882785746431</c:v>
                </c:pt>
                <c:pt idx="82">
                  <c:v>88.102356580056522</c:v>
                </c:pt>
                <c:pt idx="83">
                  <c:v>88.114941098963186</c:v>
                </c:pt>
                <c:pt idx="84">
                  <c:v>88.126611836800748</c:v>
                </c:pt>
                <c:pt idx="85">
                  <c:v>88.137397803041452</c:v>
                </c:pt>
                <c:pt idx="86">
                  <c:v>88.147326673105056</c:v>
                </c:pt>
                <c:pt idx="87">
                  <c:v>88.156424862168606</c:v>
                </c:pt>
                <c:pt idx="88">
                  <c:v>88.164717594100395</c:v>
                </c:pt>
                <c:pt idx="89">
                  <c:v>88.172228965889161</c:v>
                </c:pt>
                <c:pt idx="90">
                  <c:v>88.17898200790782</c:v>
                </c:pt>
                <c:pt idx="91">
                  <c:v>88.184998740322001</c:v>
                </c:pt>
                <c:pt idx="92">
                  <c:v>88.190300225927047</c:v>
                </c:pt>
                <c:pt idx="93">
                  <c:v>88.194906619674569</c:v>
                </c:pt>
                <c:pt idx="94">
                  <c:v>88.198837215126915</c:v>
                </c:pt>
                <c:pt idx="95">
                  <c:v>88.202110488059233</c:v>
                </c:pt>
                <c:pt idx="96">
                  <c:v>88.2047441374107</c:v>
                </c:pt>
                <c:pt idx="97">
                  <c:v>88.206755123770435</c:v>
                </c:pt>
                <c:pt idx="98">
                  <c:v>88.208159705568917</c:v>
                </c:pt>
                <c:pt idx="99">
                  <c:v>88.208973473132289</c:v>
                </c:pt>
                <c:pt idx="100">
                  <c:v>88.209211380744861</c:v>
                </c:pt>
              </c:numCache>
            </c:numRef>
          </c:val>
          <c:smooth val="0"/>
          <c:extLst>
            <c:ext xmlns:c16="http://schemas.microsoft.com/office/drawing/2014/chart" uri="{C3380CC4-5D6E-409C-BE32-E72D297353CC}">
              <c16:uniqueId val="{00000000-F8E4-4E87-B237-B7C8F7E9CC7F}"/>
            </c:ext>
          </c:extLst>
        </c:ser>
        <c:dLbls>
          <c:showLegendKey val="0"/>
          <c:showVal val="0"/>
          <c:showCatName val="0"/>
          <c:showSerName val="0"/>
          <c:showPercent val="0"/>
          <c:showBubbleSize val="0"/>
        </c:dLbls>
        <c:marker val="1"/>
        <c:smooth val="0"/>
        <c:axId val="44547072"/>
        <c:axId val="44561536"/>
      </c:lineChart>
      <c:lineChart>
        <c:grouping val="standard"/>
        <c:varyColors val="0"/>
        <c:ser>
          <c:idx val="2"/>
          <c:order val="1"/>
          <c:tx>
            <c:strRef>
              <c:f>'Efficiency Calculations'!$BC$8</c:f>
              <c:strCache>
                <c:ptCount val="1"/>
                <c:pt idx="0">
                  <c:v>Control MOSFET Loss</c:v>
                </c:pt>
              </c:strCache>
            </c:strRef>
          </c:tx>
          <c:spPr>
            <a:ln w="38100">
              <a:solidFill>
                <a:srgbClr val="808000"/>
              </a:solidFill>
              <a:prstDash val="sysDash"/>
            </a:ln>
          </c:spPr>
          <c:marker>
            <c:symbol val="none"/>
          </c:marker>
          <c:cat>
            <c:numRef>
              <c:f>'Efficiency Calculations'!$K$9:$K$109</c:f>
              <c:numCache>
                <c:formatCode>0.000</c:formatCode>
                <c:ptCount val="101"/>
                <c:pt idx="0">
                  <c:v>0</c:v>
                </c:pt>
                <c:pt idx="1">
                  <c:v>0.08</c:v>
                </c:pt>
                <c:pt idx="2">
                  <c:v>0.16</c:v>
                </c:pt>
                <c:pt idx="3">
                  <c:v>0.24</c:v>
                </c:pt>
                <c:pt idx="4">
                  <c:v>0.32</c:v>
                </c:pt>
                <c:pt idx="5">
                  <c:v>0.4</c:v>
                </c:pt>
                <c:pt idx="6">
                  <c:v>0.48</c:v>
                </c:pt>
                <c:pt idx="7">
                  <c:v>0.56000000000000005</c:v>
                </c:pt>
                <c:pt idx="8">
                  <c:v>0.64</c:v>
                </c:pt>
                <c:pt idx="9">
                  <c:v>0.72</c:v>
                </c:pt>
                <c:pt idx="10">
                  <c:v>0.8</c:v>
                </c:pt>
                <c:pt idx="11">
                  <c:v>0.88</c:v>
                </c:pt>
                <c:pt idx="12">
                  <c:v>0.96</c:v>
                </c:pt>
                <c:pt idx="13">
                  <c:v>1.04</c:v>
                </c:pt>
                <c:pt idx="14">
                  <c:v>1.1200000000000001</c:v>
                </c:pt>
                <c:pt idx="15">
                  <c:v>1.2</c:v>
                </c:pt>
                <c:pt idx="16">
                  <c:v>1.28</c:v>
                </c:pt>
                <c:pt idx="17">
                  <c:v>1.36</c:v>
                </c:pt>
                <c:pt idx="18">
                  <c:v>1.44</c:v>
                </c:pt>
                <c:pt idx="19">
                  <c:v>1.52</c:v>
                </c:pt>
                <c:pt idx="20">
                  <c:v>1.6</c:v>
                </c:pt>
                <c:pt idx="21">
                  <c:v>1.68</c:v>
                </c:pt>
                <c:pt idx="22">
                  <c:v>1.76</c:v>
                </c:pt>
                <c:pt idx="23">
                  <c:v>1.84</c:v>
                </c:pt>
                <c:pt idx="24">
                  <c:v>1.92</c:v>
                </c:pt>
                <c:pt idx="25">
                  <c:v>2</c:v>
                </c:pt>
                <c:pt idx="26">
                  <c:v>2.08</c:v>
                </c:pt>
                <c:pt idx="27">
                  <c:v>2.16</c:v>
                </c:pt>
                <c:pt idx="28">
                  <c:v>2.2400000000000002</c:v>
                </c:pt>
                <c:pt idx="29">
                  <c:v>2.3199999999999998</c:v>
                </c:pt>
                <c:pt idx="30">
                  <c:v>2.4</c:v>
                </c:pt>
                <c:pt idx="31">
                  <c:v>2.48</c:v>
                </c:pt>
                <c:pt idx="32">
                  <c:v>2.56</c:v>
                </c:pt>
                <c:pt idx="33">
                  <c:v>2.64</c:v>
                </c:pt>
                <c:pt idx="34">
                  <c:v>2.72</c:v>
                </c:pt>
                <c:pt idx="35">
                  <c:v>2.8</c:v>
                </c:pt>
                <c:pt idx="36">
                  <c:v>2.88</c:v>
                </c:pt>
                <c:pt idx="37">
                  <c:v>2.96</c:v>
                </c:pt>
                <c:pt idx="38">
                  <c:v>3.04</c:v>
                </c:pt>
                <c:pt idx="39">
                  <c:v>3.12</c:v>
                </c:pt>
                <c:pt idx="40">
                  <c:v>3.2</c:v>
                </c:pt>
                <c:pt idx="41">
                  <c:v>3.28</c:v>
                </c:pt>
                <c:pt idx="42">
                  <c:v>3.36</c:v>
                </c:pt>
                <c:pt idx="43">
                  <c:v>3.44</c:v>
                </c:pt>
                <c:pt idx="44">
                  <c:v>3.52</c:v>
                </c:pt>
                <c:pt idx="45">
                  <c:v>3.6</c:v>
                </c:pt>
                <c:pt idx="46">
                  <c:v>3.68</c:v>
                </c:pt>
                <c:pt idx="47">
                  <c:v>3.76</c:v>
                </c:pt>
                <c:pt idx="48">
                  <c:v>3.84</c:v>
                </c:pt>
                <c:pt idx="49">
                  <c:v>3.92</c:v>
                </c:pt>
                <c:pt idx="50">
                  <c:v>4</c:v>
                </c:pt>
                <c:pt idx="51">
                  <c:v>4.08</c:v>
                </c:pt>
                <c:pt idx="52">
                  <c:v>4.16</c:v>
                </c:pt>
                <c:pt idx="53">
                  <c:v>4.24</c:v>
                </c:pt>
                <c:pt idx="54">
                  <c:v>4.32</c:v>
                </c:pt>
                <c:pt idx="55">
                  <c:v>4.4000000000000004</c:v>
                </c:pt>
                <c:pt idx="56">
                  <c:v>4.4800000000000004</c:v>
                </c:pt>
                <c:pt idx="57">
                  <c:v>4.5599999999999996</c:v>
                </c:pt>
                <c:pt idx="58">
                  <c:v>4.6399999999999997</c:v>
                </c:pt>
                <c:pt idx="59">
                  <c:v>4.72</c:v>
                </c:pt>
                <c:pt idx="60">
                  <c:v>4.8</c:v>
                </c:pt>
                <c:pt idx="61">
                  <c:v>4.88</c:v>
                </c:pt>
                <c:pt idx="62">
                  <c:v>4.96</c:v>
                </c:pt>
                <c:pt idx="63">
                  <c:v>5.04</c:v>
                </c:pt>
                <c:pt idx="64">
                  <c:v>5.12</c:v>
                </c:pt>
                <c:pt idx="65">
                  <c:v>5.2</c:v>
                </c:pt>
                <c:pt idx="66">
                  <c:v>5.28</c:v>
                </c:pt>
                <c:pt idx="67">
                  <c:v>5.36</c:v>
                </c:pt>
                <c:pt idx="68">
                  <c:v>5.44</c:v>
                </c:pt>
                <c:pt idx="69">
                  <c:v>5.52</c:v>
                </c:pt>
                <c:pt idx="70">
                  <c:v>5.6</c:v>
                </c:pt>
                <c:pt idx="71">
                  <c:v>5.68</c:v>
                </c:pt>
                <c:pt idx="72">
                  <c:v>5.76</c:v>
                </c:pt>
                <c:pt idx="73">
                  <c:v>5.84</c:v>
                </c:pt>
                <c:pt idx="74">
                  <c:v>5.92</c:v>
                </c:pt>
                <c:pt idx="75">
                  <c:v>6</c:v>
                </c:pt>
                <c:pt idx="76">
                  <c:v>6.08</c:v>
                </c:pt>
                <c:pt idx="77">
                  <c:v>6.16</c:v>
                </c:pt>
                <c:pt idx="78">
                  <c:v>6.24</c:v>
                </c:pt>
                <c:pt idx="79">
                  <c:v>6.32</c:v>
                </c:pt>
                <c:pt idx="80">
                  <c:v>6.4</c:v>
                </c:pt>
                <c:pt idx="81">
                  <c:v>6.48</c:v>
                </c:pt>
                <c:pt idx="82">
                  <c:v>6.56</c:v>
                </c:pt>
                <c:pt idx="83">
                  <c:v>6.64</c:v>
                </c:pt>
                <c:pt idx="84">
                  <c:v>6.72</c:v>
                </c:pt>
                <c:pt idx="85">
                  <c:v>6.8</c:v>
                </c:pt>
                <c:pt idx="86">
                  <c:v>6.88</c:v>
                </c:pt>
                <c:pt idx="87">
                  <c:v>6.96</c:v>
                </c:pt>
                <c:pt idx="88">
                  <c:v>7.04</c:v>
                </c:pt>
                <c:pt idx="89">
                  <c:v>7.12</c:v>
                </c:pt>
                <c:pt idx="90">
                  <c:v>7.2</c:v>
                </c:pt>
                <c:pt idx="91">
                  <c:v>7.28</c:v>
                </c:pt>
                <c:pt idx="92">
                  <c:v>7.36</c:v>
                </c:pt>
                <c:pt idx="93">
                  <c:v>7.44</c:v>
                </c:pt>
                <c:pt idx="94">
                  <c:v>7.52</c:v>
                </c:pt>
                <c:pt idx="95">
                  <c:v>7.6</c:v>
                </c:pt>
                <c:pt idx="96">
                  <c:v>7.68</c:v>
                </c:pt>
                <c:pt idx="97">
                  <c:v>7.76</c:v>
                </c:pt>
                <c:pt idx="98">
                  <c:v>7.84</c:v>
                </c:pt>
                <c:pt idx="99">
                  <c:v>7.92</c:v>
                </c:pt>
                <c:pt idx="100">
                  <c:v>8</c:v>
                </c:pt>
              </c:numCache>
            </c:numRef>
          </c:cat>
          <c:val>
            <c:numRef>
              <c:f>'Efficiency Calculations'!$BC$9:$BC$109</c:f>
              <c:numCache>
                <c:formatCode>0.000</c:formatCode>
                <c:ptCount val="101"/>
                <c:pt idx="0">
                  <c:v>6.6624631092667185E-3</c:v>
                </c:pt>
                <c:pt idx="1">
                  <c:v>0.16148034268057646</c:v>
                </c:pt>
                <c:pt idx="2">
                  <c:v>0.38006368751109115</c:v>
                </c:pt>
                <c:pt idx="3">
                  <c:v>0.59294039982001845</c:v>
                </c:pt>
                <c:pt idx="4">
                  <c:v>0.79011196694489549</c:v>
                </c:pt>
                <c:pt idx="5">
                  <c:v>0.80822508938913407</c:v>
                </c:pt>
                <c:pt idx="6">
                  <c:v>0.82641151977819405</c:v>
                </c:pt>
                <c:pt idx="7">
                  <c:v>0.84467158937842202</c:v>
                </c:pt>
                <c:pt idx="8">
                  <c:v>0.86300563455288259</c:v>
                </c:pt>
                <c:pt idx="9">
                  <c:v>0.88141399680468391</c:v>
                </c:pt>
                <c:pt idx="10">
                  <c:v>0.8998970228212021</c:v>
                </c:pt>
                <c:pt idx="11">
                  <c:v>0.9184550645192211</c:v>
                </c:pt>
                <c:pt idx="12">
                  <c:v>0.93708847909099557</c:v>
                </c:pt>
                <c:pt idx="13">
                  <c:v>0.95579762905125343</c:v>
                </c:pt>
                <c:pt idx="14">
                  <c:v>0.97458288228514578</c:v>
                </c:pt>
                <c:pt idx="15">
                  <c:v>0.9934446120971625</c:v>
                </c:pt>
                <c:pt idx="16">
                  <c:v>1.0123831972610244</c:v>
                </c:pt>
                <c:pt idx="17">
                  <c:v>1.0313990220705638</c:v>
                </c:pt>
                <c:pt idx="18">
                  <c:v>1.0504924763916124</c:v>
                </c:pt>
                <c:pt idx="19">
                  <c:v>1.0696639557149052</c:v>
                </c:pt>
                <c:pt idx="20">
                  <c:v>1.0889138612100213</c:v>
                </c:pt>
                <c:pt idx="21">
                  <c:v>1.1082425997803707</c:v>
                </c:pt>
                <c:pt idx="22">
                  <c:v>1.1276505841192455</c:v>
                </c:pt>
                <c:pt idx="23">
                  <c:v>1.147138232766955</c:v>
                </c:pt>
                <c:pt idx="24">
                  <c:v>1.1667059701690519</c:v>
                </c:pt>
                <c:pt idx="25">
                  <c:v>1.1863542267356744</c:v>
                </c:pt>
                <c:pt idx="26">
                  <c:v>1.2060834389020194</c:v>
                </c:pt>
                <c:pt idx="27">
                  <c:v>1.2258940491899604</c:v>
                </c:pt>
                <c:pt idx="28">
                  <c:v>1.2457865062708311</c:v>
                </c:pt>
                <c:pt idx="29">
                  <c:v>1.2657612650293961</c:v>
                </c:pt>
                <c:pt idx="30">
                  <c:v>1.2858187866290198</c:v>
                </c:pt>
                <c:pt idx="31">
                  <c:v>1.3059595385780571</c:v>
                </c:pt>
                <c:pt idx="32">
                  <c:v>1.3261839947974885</c:v>
                </c:pt>
                <c:pt idx="33">
                  <c:v>1.3464926356898113</c:v>
                </c:pt>
                <c:pt idx="34">
                  <c:v>1.3668859482092177</c:v>
                </c:pt>
                <c:pt idx="35">
                  <c:v>1.3873644259330695</c:v>
                </c:pt>
                <c:pt idx="36">
                  <c:v>1.4079285691347037</c:v>
                </c:pt>
                <c:pt idx="37">
                  <c:v>1.4285788848575767</c:v>
                </c:pt>
                <c:pt idx="38">
                  <c:v>1.4493158869907832</c:v>
                </c:pt>
                <c:pt idx="39">
                  <c:v>1.470140096345963</c:v>
                </c:pt>
                <c:pt idx="40">
                  <c:v>1.4910520407356247</c:v>
                </c:pt>
                <c:pt idx="41">
                  <c:v>1.5120522550529072</c:v>
                </c:pt>
                <c:pt idx="42">
                  <c:v>1.533141281352806</c:v>
                </c:pt>
                <c:pt idx="43">
                  <c:v>1.5543196689348886</c:v>
                </c:pt>
                <c:pt idx="44">
                  <c:v>1.5755879744275239</c:v>
                </c:pt>
                <c:pt idx="45">
                  <c:v>1.596946761873655</c:v>
                </c:pt>
                <c:pt idx="46">
                  <c:v>1.6183966028181369</c:v>
                </c:pt>
                <c:pt idx="47">
                  <c:v>1.6399380763966742</c:v>
                </c:pt>
                <c:pt idx="48">
                  <c:v>1.6615717694263807</c:v>
                </c:pt>
                <c:pt idx="49">
                  <c:v>1.6832982764979922</c:v>
                </c:pt>
                <c:pt idx="50">
                  <c:v>1.7051182000697644</c:v>
                </c:pt>
                <c:pt idx="51">
                  <c:v>1.7270321505630819</c:v>
                </c:pt>
                <c:pt idx="52">
                  <c:v>1.7490407464598121</c:v>
                </c:pt>
                <c:pt idx="53">
                  <c:v>1.7711446144014367</c:v>
                </c:pt>
                <c:pt idx="54">
                  <c:v>1.7933443892899898</c:v>
                </c:pt>
                <c:pt idx="55">
                  <c:v>1.8156407143908393</c:v>
                </c:pt>
                <c:pt idx="56">
                  <c:v>1.8380342414373436</c:v>
                </c:pt>
                <c:pt idx="57">
                  <c:v>1.8605256307374192</c:v>
                </c:pt>
                <c:pt idx="58">
                  <c:v>1.8831155512820557</c:v>
                </c:pt>
                <c:pt idx="59">
                  <c:v>1.9058046808558124</c:v>
                </c:pt>
                <c:pt idx="60">
                  <c:v>1.9285937061493343</c:v>
                </c:pt>
                <c:pt idx="61">
                  <c:v>1.9514833228739326</c:v>
                </c:pt>
                <c:pt idx="62">
                  <c:v>1.9744742358782532</c:v>
                </c:pt>
                <c:pt idx="63">
                  <c:v>1.9975671592670927</c:v>
                </c:pt>
                <c:pt idx="64">
                  <c:v>2.0207628165223852</c:v>
                </c:pt>
                <c:pt idx="65">
                  <c:v>2.0440619406264169</c:v>
                </c:pt>
                <c:pt idx="66">
                  <c:v>2.0674652741872994</c:v>
                </c:pt>
                <c:pt idx="67">
                  <c:v>2.090973569566752</c:v>
                </c:pt>
                <c:pt idx="68">
                  <c:v>2.1145875890102377</c:v>
                </c:pt>
                <c:pt idx="69">
                  <c:v>2.1383081047794996</c:v>
                </c:pt>
                <c:pt idx="70">
                  <c:v>2.1621358992875388</c:v>
                </c:pt>
                <c:pt idx="71">
                  <c:v>2.1860717652360915</c:v>
                </c:pt>
                <c:pt idx="72">
                  <c:v>2.2101165057556464</c:v>
                </c:pt>
                <c:pt idx="73">
                  <c:v>2.2342709345480625</c:v>
                </c:pt>
                <c:pt idx="74">
                  <c:v>2.2585358760318259</c:v>
                </c:pt>
                <c:pt idx="75">
                  <c:v>2.2829121654900129</c:v>
                </c:pt>
                <c:pt idx="76">
                  <c:v>2.307400649221004</c:v>
                </c:pt>
                <c:pt idx="77">
                  <c:v>2.3320021846920098</c:v>
                </c:pt>
                <c:pt idx="78">
                  <c:v>2.356717640695464</c:v>
                </c:pt>
                <c:pt idx="79">
                  <c:v>2.38154789750834</c:v>
                </c:pt>
                <c:pt idx="80">
                  <c:v>2.4064938470544575</c:v>
                </c:pt>
                <c:pt idx="81">
                  <c:v>2.4315563930698314</c:v>
                </c:pt>
                <c:pt idx="82">
                  <c:v>2.4567364512711363</c:v>
                </c:pt>
                <c:pt idx="83">
                  <c:v>2.4820349495273422</c:v>
                </c:pt>
                <c:pt idx="84">
                  <c:v>2.5074528280345918</c:v>
                </c:pt>
                <c:pt idx="85">
                  <c:v>2.5329910394943838</c:v>
                </c:pt>
                <c:pt idx="86">
                  <c:v>2.5586505492951419</c:v>
                </c:pt>
                <c:pt idx="87">
                  <c:v>2.5844323356972234</c:v>
                </c:pt>
                <c:pt idx="88">
                  <c:v>2.6103373900214555</c:v>
                </c:pt>
                <c:pt idx="89">
                  <c:v>2.6363667168412674</c:v>
                </c:pt>
                <c:pt idx="90">
                  <c:v>2.6625213341784959</c:v>
                </c:pt>
                <c:pt idx="91">
                  <c:v>2.6888022737029393</c:v>
                </c:pt>
                <c:pt idx="92">
                  <c:v>2.7152105809357501</c:v>
                </c:pt>
                <c:pt idx="93">
                  <c:v>2.7417473154567333</c:v>
                </c:pt>
                <c:pt idx="94">
                  <c:v>2.7684135511156569</c:v>
                </c:pt>
                <c:pt idx="95">
                  <c:v>2.7952103762476357</c:v>
                </c:pt>
                <c:pt idx="96">
                  <c:v>2.8221388938926966</c:v>
                </c:pt>
                <c:pt idx="97">
                  <c:v>2.8492002220196118</c:v>
                </c:pt>
                <c:pt idx="98">
                  <c:v>2.876395493754087</c:v>
                </c:pt>
                <c:pt idx="99">
                  <c:v>2.9037258576114096</c:v>
                </c:pt>
                <c:pt idx="100">
                  <c:v>2.9311924777336502</c:v>
                </c:pt>
              </c:numCache>
            </c:numRef>
          </c:val>
          <c:smooth val="0"/>
          <c:extLst>
            <c:ext xmlns:c16="http://schemas.microsoft.com/office/drawing/2014/chart" uri="{C3380CC4-5D6E-409C-BE32-E72D297353CC}">
              <c16:uniqueId val="{00000001-F8E4-4E87-B237-B7C8F7E9CC7F}"/>
            </c:ext>
          </c:extLst>
        </c:ser>
        <c:ser>
          <c:idx val="3"/>
          <c:order val="2"/>
          <c:tx>
            <c:v>Inductor Loss</c:v>
          </c:tx>
          <c:spPr>
            <a:ln w="38100">
              <a:solidFill>
                <a:srgbClr val="800080"/>
              </a:solidFill>
              <a:prstDash val="dash"/>
            </a:ln>
          </c:spPr>
          <c:marker>
            <c:symbol val="none"/>
          </c:marker>
          <c:cat>
            <c:numRef>
              <c:f>'Efficiency Calculations'!$K$9:$K$109</c:f>
              <c:numCache>
                <c:formatCode>0.000</c:formatCode>
                <c:ptCount val="101"/>
                <c:pt idx="0">
                  <c:v>0</c:v>
                </c:pt>
                <c:pt idx="1">
                  <c:v>0.08</c:v>
                </c:pt>
                <c:pt idx="2">
                  <c:v>0.16</c:v>
                </c:pt>
                <c:pt idx="3">
                  <c:v>0.24</c:v>
                </c:pt>
                <c:pt idx="4">
                  <c:v>0.32</c:v>
                </c:pt>
                <c:pt idx="5">
                  <c:v>0.4</c:v>
                </c:pt>
                <c:pt idx="6">
                  <c:v>0.48</c:v>
                </c:pt>
                <c:pt idx="7">
                  <c:v>0.56000000000000005</c:v>
                </c:pt>
                <c:pt idx="8">
                  <c:v>0.64</c:v>
                </c:pt>
                <c:pt idx="9">
                  <c:v>0.72</c:v>
                </c:pt>
                <c:pt idx="10">
                  <c:v>0.8</c:v>
                </c:pt>
                <c:pt idx="11">
                  <c:v>0.88</c:v>
                </c:pt>
                <c:pt idx="12">
                  <c:v>0.96</c:v>
                </c:pt>
                <c:pt idx="13">
                  <c:v>1.04</c:v>
                </c:pt>
                <c:pt idx="14">
                  <c:v>1.1200000000000001</c:v>
                </c:pt>
                <c:pt idx="15">
                  <c:v>1.2</c:v>
                </c:pt>
                <c:pt idx="16">
                  <c:v>1.28</c:v>
                </c:pt>
                <c:pt idx="17">
                  <c:v>1.36</c:v>
                </c:pt>
                <c:pt idx="18">
                  <c:v>1.44</c:v>
                </c:pt>
                <c:pt idx="19">
                  <c:v>1.52</c:v>
                </c:pt>
                <c:pt idx="20">
                  <c:v>1.6</c:v>
                </c:pt>
                <c:pt idx="21">
                  <c:v>1.68</c:v>
                </c:pt>
                <c:pt idx="22">
                  <c:v>1.76</c:v>
                </c:pt>
                <c:pt idx="23">
                  <c:v>1.84</c:v>
                </c:pt>
                <c:pt idx="24">
                  <c:v>1.92</c:v>
                </c:pt>
                <c:pt idx="25">
                  <c:v>2</c:v>
                </c:pt>
                <c:pt idx="26">
                  <c:v>2.08</c:v>
                </c:pt>
                <c:pt idx="27">
                  <c:v>2.16</c:v>
                </c:pt>
                <c:pt idx="28">
                  <c:v>2.2400000000000002</c:v>
                </c:pt>
                <c:pt idx="29">
                  <c:v>2.3199999999999998</c:v>
                </c:pt>
                <c:pt idx="30">
                  <c:v>2.4</c:v>
                </c:pt>
                <c:pt idx="31">
                  <c:v>2.48</c:v>
                </c:pt>
                <c:pt idx="32">
                  <c:v>2.56</c:v>
                </c:pt>
                <c:pt idx="33">
                  <c:v>2.64</c:v>
                </c:pt>
                <c:pt idx="34">
                  <c:v>2.72</c:v>
                </c:pt>
                <c:pt idx="35">
                  <c:v>2.8</c:v>
                </c:pt>
                <c:pt idx="36">
                  <c:v>2.88</c:v>
                </c:pt>
                <c:pt idx="37">
                  <c:v>2.96</c:v>
                </c:pt>
                <c:pt idx="38">
                  <c:v>3.04</c:v>
                </c:pt>
                <c:pt idx="39">
                  <c:v>3.12</c:v>
                </c:pt>
                <c:pt idx="40">
                  <c:v>3.2</c:v>
                </c:pt>
                <c:pt idx="41">
                  <c:v>3.28</c:v>
                </c:pt>
                <c:pt idx="42">
                  <c:v>3.36</c:v>
                </c:pt>
                <c:pt idx="43">
                  <c:v>3.44</c:v>
                </c:pt>
                <c:pt idx="44">
                  <c:v>3.52</c:v>
                </c:pt>
                <c:pt idx="45">
                  <c:v>3.6</c:v>
                </c:pt>
                <c:pt idx="46">
                  <c:v>3.68</c:v>
                </c:pt>
                <c:pt idx="47">
                  <c:v>3.76</c:v>
                </c:pt>
                <c:pt idx="48">
                  <c:v>3.84</c:v>
                </c:pt>
                <c:pt idx="49">
                  <c:v>3.92</c:v>
                </c:pt>
                <c:pt idx="50">
                  <c:v>4</c:v>
                </c:pt>
                <c:pt idx="51">
                  <c:v>4.08</c:v>
                </c:pt>
                <c:pt idx="52">
                  <c:v>4.16</c:v>
                </c:pt>
                <c:pt idx="53">
                  <c:v>4.24</c:v>
                </c:pt>
                <c:pt idx="54">
                  <c:v>4.32</c:v>
                </c:pt>
                <c:pt idx="55">
                  <c:v>4.4000000000000004</c:v>
                </c:pt>
                <c:pt idx="56">
                  <c:v>4.4800000000000004</c:v>
                </c:pt>
                <c:pt idx="57">
                  <c:v>4.5599999999999996</c:v>
                </c:pt>
                <c:pt idx="58">
                  <c:v>4.6399999999999997</c:v>
                </c:pt>
                <c:pt idx="59">
                  <c:v>4.72</c:v>
                </c:pt>
                <c:pt idx="60">
                  <c:v>4.8</c:v>
                </c:pt>
                <c:pt idx="61">
                  <c:v>4.88</c:v>
                </c:pt>
                <c:pt idx="62">
                  <c:v>4.96</c:v>
                </c:pt>
                <c:pt idx="63">
                  <c:v>5.04</c:v>
                </c:pt>
                <c:pt idx="64">
                  <c:v>5.12</c:v>
                </c:pt>
                <c:pt idx="65">
                  <c:v>5.2</c:v>
                </c:pt>
                <c:pt idx="66">
                  <c:v>5.28</c:v>
                </c:pt>
                <c:pt idx="67">
                  <c:v>5.36</c:v>
                </c:pt>
                <c:pt idx="68">
                  <c:v>5.44</c:v>
                </c:pt>
                <c:pt idx="69">
                  <c:v>5.52</c:v>
                </c:pt>
                <c:pt idx="70">
                  <c:v>5.6</c:v>
                </c:pt>
                <c:pt idx="71">
                  <c:v>5.68</c:v>
                </c:pt>
                <c:pt idx="72">
                  <c:v>5.76</c:v>
                </c:pt>
                <c:pt idx="73">
                  <c:v>5.84</c:v>
                </c:pt>
                <c:pt idx="74">
                  <c:v>5.92</c:v>
                </c:pt>
                <c:pt idx="75">
                  <c:v>6</c:v>
                </c:pt>
                <c:pt idx="76">
                  <c:v>6.08</c:v>
                </c:pt>
                <c:pt idx="77">
                  <c:v>6.16</c:v>
                </c:pt>
                <c:pt idx="78">
                  <c:v>6.24</c:v>
                </c:pt>
                <c:pt idx="79">
                  <c:v>6.32</c:v>
                </c:pt>
                <c:pt idx="80">
                  <c:v>6.4</c:v>
                </c:pt>
                <c:pt idx="81">
                  <c:v>6.48</c:v>
                </c:pt>
                <c:pt idx="82">
                  <c:v>6.56</c:v>
                </c:pt>
                <c:pt idx="83">
                  <c:v>6.64</c:v>
                </c:pt>
                <c:pt idx="84">
                  <c:v>6.72</c:v>
                </c:pt>
                <c:pt idx="85">
                  <c:v>6.8</c:v>
                </c:pt>
                <c:pt idx="86">
                  <c:v>6.88</c:v>
                </c:pt>
                <c:pt idx="87">
                  <c:v>6.96</c:v>
                </c:pt>
                <c:pt idx="88">
                  <c:v>7.04</c:v>
                </c:pt>
                <c:pt idx="89">
                  <c:v>7.12</c:v>
                </c:pt>
                <c:pt idx="90">
                  <c:v>7.2</c:v>
                </c:pt>
                <c:pt idx="91">
                  <c:v>7.28</c:v>
                </c:pt>
                <c:pt idx="92">
                  <c:v>7.36</c:v>
                </c:pt>
                <c:pt idx="93">
                  <c:v>7.44</c:v>
                </c:pt>
                <c:pt idx="94">
                  <c:v>7.52</c:v>
                </c:pt>
                <c:pt idx="95">
                  <c:v>7.6</c:v>
                </c:pt>
                <c:pt idx="96">
                  <c:v>7.68</c:v>
                </c:pt>
                <c:pt idx="97">
                  <c:v>7.76</c:v>
                </c:pt>
                <c:pt idx="98">
                  <c:v>7.84</c:v>
                </c:pt>
                <c:pt idx="99">
                  <c:v>7.92</c:v>
                </c:pt>
                <c:pt idx="100">
                  <c:v>8</c:v>
                </c:pt>
              </c:numCache>
            </c:numRef>
          </c:cat>
          <c:val>
            <c:numRef>
              <c:f>'Efficiency Calculations'!$BA$9:$BA$109</c:f>
              <c:numCache>
                <c:formatCode>0.000</c:formatCode>
                <c:ptCount val="101"/>
                <c:pt idx="0">
                  <c:v>0.20011810660629104</c:v>
                </c:pt>
                <c:pt idx="1">
                  <c:v>0.20014087492474888</c:v>
                </c:pt>
                <c:pt idx="2">
                  <c:v>0.20020916144544171</c:v>
                </c:pt>
                <c:pt idx="3">
                  <c:v>0.20032296763683929</c:v>
                </c:pt>
                <c:pt idx="4">
                  <c:v>0.20048229594634551</c:v>
                </c:pt>
                <c:pt idx="5">
                  <c:v>0.20068714980042962</c:v>
                </c:pt>
                <c:pt idx="6">
                  <c:v>0.20093753360481084</c:v>
                </c:pt>
                <c:pt idx="7">
                  <c:v>0.20123345274469479</c:v>
                </c:pt>
                <c:pt idx="8">
                  <c:v>0.20157491358506358</c:v>
                </c:pt>
                <c:pt idx="9">
                  <c:v>0.20196192347101766</c:v>
                </c:pt>
                <c:pt idx="10">
                  <c:v>0.2023944907281712</c:v>
                </c:pt>
                <c:pt idx="11">
                  <c:v>0.20287262466309977</c:v>
                </c:pt>
                <c:pt idx="12">
                  <c:v>0.20339633556384107</c:v>
                </c:pt>
                <c:pt idx="13">
                  <c:v>0.20396563470044843</c:v>
                </c:pt>
                <c:pt idx="14">
                  <c:v>0.2045805343255975</c:v>
                </c:pt>
                <c:pt idx="15">
                  <c:v>0.20524104767524562</c:v>
                </c:pt>
                <c:pt idx="16">
                  <c:v>0.20594718896934436</c:v>
                </c:pt>
                <c:pt idx="17">
                  <c:v>0.20669897341260551</c:v>
                </c:pt>
                <c:pt idx="18">
                  <c:v>0.20749641719531972</c:v>
                </c:pt>
                <c:pt idx="19">
                  <c:v>0.2083395374942289</c:v>
                </c:pt>
                <c:pt idx="20">
                  <c:v>0.20922835247345195</c:v>
                </c:pt>
                <c:pt idx="21">
                  <c:v>0.2101628812854637</c:v>
                </c:pt>
                <c:pt idx="22">
                  <c:v>0.2111431440721277</c:v>
                </c:pt>
                <c:pt idx="23">
                  <c:v>0.21216916196578267</c:v>
                </c:pt>
                <c:pt idx="24">
                  <c:v>0.21324095709038254</c:v>
                </c:pt>
                <c:pt idx="25">
                  <c:v>0.21435855256269074</c:v>
                </c:pt>
                <c:pt idx="26">
                  <c:v>0.21552197249352806</c:v>
                </c:pt>
                <c:pt idx="27">
                  <c:v>0.2167312419890752</c:v>
                </c:pt>
                <c:pt idx="28">
                  <c:v>0.21798638715222918</c:v>
                </c:pt>
                <c:pt idx="29">
                  <c:v>0.21928743508401438</c:v>
                </c:pt>
                <c:pt idx="30">
                  <c:v>0.22063441388504806</c:v>
                </c:pt>
                <c:pt idx="31">
                  <c:v>0.22202735265706064</c:v>
                </c:pt>
                <c:pt idx="32">
                  <c:v>0.22346628150447095</c:v>
                </c:pt>
                <c:pt idx="33">
                  <c:v>0.22495123153601618</c:v>
                </c:pt>
                <c:pt idx="34">
                  <c:v>0.22648223486643751</c:v>
                </c:pt>
                <c:pt idx="35">
                  <c:v>0.22805932461822065</c:v>
                </c:pt>
                <c:pt idx="36">
                  <c:v>0.22968253492339213</c:v>
                </c:pt>
                <c:pt idx="37">
                  <c:v>0.23135190092537139</c:v>
                </c:pt>
                <c:pt idx="38">
                  <c:v>0.23306745878087867</c:v>
                </c:pt>
                <c:pt idx="39">
                  <c:v>0.23482924566189883</c:v>
                </c:pt>
                <c:pt idx="40">
                  <c:v>0.23663729975770198</c:v>
                </c:pt>
                <c:pt idx="41">
                  <c:v>0.23849166027691995</c:v>
                </c:pt>
                <c:pt idx="42">
                  <c:v>0.24039236744968029</c:v>
                </c:pt>
                <c:pt idx="43">
                  <c:v>0.2423394625297963</c:v>
                </c:pt>
                <c:pt idx="44">
                  <c:v>0.24433298779701496</c:v>
                </c:pt>
                <c:pt idx="45">
                  <c:v>0.24637298655932185</c:v>
                </c:pt>
                <c:pt idx="46">
                  <c:v>0.24845950315530393</c:v>
                </c:pt>
                <c:pt idx="47">
                  <c:v>0.25059258295657005</c:v>
                </c:pt>
                <c:pt idx="48">
                  <c:v>0.25277227237022959</c:v>
                </c:pt>
                <c:pt idx="49">
                  <c:v>0.25499861884142933</c:v>
                </c:pt>
                <c:pt idx="50">
                  <c:v>0.25727167085594954</c:v>
                </c:pt>
                <c:pt idx="51">
                  <c:v>0.25959147794285814</c:v>
                </c:pt>
                <c:pt idx="52">
                  <c:v>0.2619580906772247</c:v>
                </c:pt>
                <c:pt idx="53">
                  <c:v>0.26437156068289341</c:v>
                </c:pt>
                <c:pt idx="54">
                  <c:v>0.26683194063531607</c:v>
                </c:pt>
                <c:pt idx="55">
                  <c:v>0.26933928426444526</c:v>
                </c:pt>
                <c:pt idx="56">
                  <c:v>0.27189364635768731</c:v>
                </c:pt>
                <c:pt idx="57">
                  <c:v>0.2744950827629164</c:v>
                </c:pt>
                <c:pt idx="58">
                  <c:v>0.27714365039154942</c:v>
                </c:pt>
                <c:pt idx="59">
                  <c:v>0.27983940722168177</c:v>
                </c:pt>
                <c:pt idx="60">
                  <c:v>0.28258241230128561</c:v>
                </c:pt>
                <c:pt idx="61">
                  <c:v>0.2853727257514691</c:v>
                </c:pt>
                <c:pt idx="62">
                  <c:v>0.28821040876979842</c:v>
                </c:pt>
                <c:pt idx="63">
                  <c:v>0.29109552363368196</c:v>
                </c:pt>
                <c:pt idx="64">
                  <c:v>0.29402813370381831</c:v>
                </c:pt>
                <c:pt idx="65">
                  <c:v>0.2970083034277064</c:v>
                </c:pt>
                <c:pt idx="66">
                  <c:v>0.30003609834322031</c:v>
                </c:pt>
                <c:pt idx="67">
                  <c:v>0.30311158508224795</c:v>
                </c:pt>
                <c:pt idx="68">
                  <c:v>0.30623483137439328</c:v>
                </c:pt>
                <c:pt idx="69">
                  <c:v>0.30940590605074453</c:v>
                </c:pt>
                <c:pt idx="70">
                  <c:v>0.31262487904770725</c:v>
                </c:pt>
                <c:pt idx="71">
                  <c:v>0.31589182141090283</c:v>
                </c:pt>
                <c:pt idx="72">
                  <c:v>0.31920680529913248</c:v>
                </c:pt>
                <c:pt idx="73">
                  <c:v>0.32256990398840912</c:v>
                </c:pt>
                <c:pt idx="74">
                  <c:v>0.32598119187605534</c:v>
                </c:pt>
                <c:pt idx="75">
                  <c:v>0.32944074448486765</c:v>
                </c:pt>
                <c:pt idx="76">
                  <c:v>0.33294863846735034</c:v>
                </c:pt>
                <c:pt idx="77">
                  <c:v>0.33650495161001653</c:v>
                </c:pt>
                <c:pt idx="78">
                  <c:v>0.34010976283775762</c:v>
                </c:pt>
                <c:pt idx="79">
                  <c:v>0.34376315221828274</c:v>
                </c:pt>
                <c:pt idx="80">
                  <c:v>0.34746520096662675</c:v>
                </c:pt>
                <c:pt idx="81">
                  <c:v>0.35121599144972931</c:v>
                </c:pt>
                <c:pt idx="82">
                  <c:v>0.35501560719108344</c:v>
                </c:pt>
                <c:pt idx="83">
                  <c:v>0.3588641328754566</c:v>
                </c:pt>
                <c:pt idx="84">
                  <c:v>0.36276165435368146</c:v>
                </c:pt>
                <c:pt idx="85">
                  <c:v>0.36670825864752044</c:v>
                </c:pt>
                <c:pt idx="86">
                  <c:v>0.37070403395460183</c:v>
                </c:pt>
                <c:pt idx="87">
                  <c:v>0.3747490696534293</c:v>
                </c:pt>
                <c:pt idx="88">
                  <c:v>0.37884345630846517</c:v>
                </c:pt>
                <c:pt idx="89">
                  <c:v>0.38298728567528806</c:v>
                </c:pt>
                <c:pt idx="90">
                  <c:v>0.38718065070582469</c:v>
                </c:pt>
                <c:pt idx="91">
                  <c:v>0.39142364555365755</c:v>
                </c:pt>
                <c:pt idx="92">
                  <c:v>0.39571636557940842</c:v>
                </c:pt>
                <c:pt idx="93">
                  <c:v>0.40005890735619842</c:v>
                </c:pt>
                <c:pt idx="94">
                  <c:v>0.40445136867518444</c:v>
                </c:pt>
                <c:pt idx="95">
                  <c:v>0.40889384855117472</c:v>
                </c:pt>
                <c:pt idx="96">
                  <c:v>0.41338644722832102</c:v>
                </c:pt>
                <c:pt idx="97">
                  <c:v>0.41792926618589121</c:v>
                </c:pt>
                <c:pt idx="98">
                  <c:v>0.42252240814412051</c:v>
                </c:pt>
                <c:pt idx="99">
                  <c:v>0.42716597707014303</c:v>
                </c:pt>
                <c:pt idx="100">
                  <c:v>0.43186007818400474</c:v>
                </c:pt>
              </c:numCache>
            </c:numRef>
          </c:val>
          <c:smooth val="0"/>
          <c:extLst>
            <c:ext xmlns:c16="http://schemas.microsoft.com/office/drawing/2014/chart" uri="{C3380CC4-5D6E-409C-BE32-E72D297353CC}">
              <c16:uniqueId val="{00000002-F8E4-4E87-B237-B7C8F7E9CC7F}"/>
            </c:ext>
          </c:extLst>
        </c:ser>
        <c:ser>
          <c:idx val="1"/>
          <c:order val="3"/>
          <c:tx>
            <c:strRef>
              <c:f>'Efficiency Calculations'!$BD$8</c:f>
              <c:strCache>
                <c:ptCount val="1"/>
                <c:pt idx="0">
                  <c:v>SYNC MOSFET Loss</c:v>
                </c:pt>
              </c:strCache>
            </c:strRef>
          </c:tx>
          <c:spPr>
            <a:ln w="38100">
              <a:solidFill>
                <a:srgbClr val="002060"/>
              </a:solidFill>
              <a:prstDash val="sysDot"/>
            </a:ln>
          </c:spPr>
          <c:marker>
            <c:symbol val="none"/>
          </c:marker>
          <c:cat>
            <c:numRef>
              <c:f>'Efficiency Calculations'!$K$9:$K$109</c:f>
              <c:numCache>
                <c:formatCode>0.000</c:formatCode>
                <c:ptCount val="101"/>
                <c:pt idx="0">
                  <c:v>0</c:v>
                </c:pt>
                <c:pt idx="1">
                  <c:v>0.08</c:v>
                </c:pt>
                <c:pt idx="2">
                  <c:v>0.16</c:v>
                </c:pt>
                <c:pt idx="3">
                  <c:v>0.24</c:v>
                </c:pt>
                <c:pt idx="4">
                  <c:v>0.32</c:v>
                </c:pt>
                <c:pt idx="5">
                  <c:v>0.4</c:v>
                </c:pt>
                <c:pt idx="6">
                  <c:v>0.48</c:v>
                </c:pt>
                <c:pt idx="7">
                  <c:v>0.56000000000000005</c:v>
                </c:pt>
                <c:pt idx="8">
                  <c:v>0.64</c:v>
                </c:pt>
                <c:pt idx="9">
                  <c:v>0.72</c:v>
                </c:pt>
                <c:pt idx="10">
                  <c:v>0.8</c:v>
                </c:pt>
                <c:pt idx="11">
                  <c:v>0.88</c:v>
                </c:pt>
                <c:pt idx="12">
                  <c:v>0.96</c:v>
                </c:pt>
                <c:pt idx="13">
                  <c:v>1.04</c:v>
                </c:pt>
                <c:pt idx="14">
                  <c:v>1.1200000000000001</c:v>
                </c:pt>
                <c:pt idx="15">
                  <c:v>1.2</c:v>
                </c:pt>
                <c:pt idx="16">
                  <c:v>1.28</c:v>
                </c:pt>
                <c:pt idx="17">
                  <c:v>1.36</c:v>
                </c:pt>
                <c:pt idx="18">
                  <c:v>1.44</c:v>
                </c:pt>
                <c:pt idx="19">
                  <c:v>1.52</c:v>
                </c:pt>
                <c:pt idx="20">
                  <c:v>1.6</c:v>
                </c:pt>
                <c:pt idx="21">
                  <c:v>1.68</c:v>
                </c:pt>
                <c:pt idx="22">
                  <c:v>1.76</c:v>
                </c:pt>
                <c:pt idx="23">
                  <c:v>1.84</c:v>
                </c:pt>
                <c:pt idx="24">
                  <c:v>1.92</c:v>
                </c:pt>
                <c:pt idx="25">
                  <c:v>2</c:v>
                </c:pt>
                <c:pt idx="26">
                  <c:v>2.08</c:v>
                </c:pt>
                <c:pt idx="27">
                  <c:v>2.16</c:v>
                </c:pt>
                <c:pt idx="28">
                  <c:v>2.2400000000000002</c:v>
                </c:pt>
                <c:pt idx="29">
                  <c:v>2.3199999999999998</c:v>
                </c:pt>
                <c:pt idx="30">
                  <c:v>2.4</c:v>
                </c:pt>
                <c:pt idx="31">
                  <c:v>2.48</c:v>
                </c:pt>
                <c:pt idx="32">
                  <c:v>2.56</c:v>
                </c:pt>
                <c:pt idx="33">
                  <c:v>2.64</c:v>
                </c:pt>
                <c:pt idx="34">
                  <c:v>2.72</c:v>
                </c:pt>
                <c:pt idx="35">
                  <c:v>2.8</c:v>
                </c:pt>
                <c:pt idx="36">
                  <c:v>2.88</c:v>
                </c:pt>
                <c:pt idx="37">
                  <c:v>2.96</c:v>
                </c:pt>
                <c:pt idx="38">
                  <c:v>3.04</c:v>
                </c:pt>
                <c:pt idx="39">
                  <c:v>3.12</c:v>
                </c:pt>
                <c:pt idx="40">
                  <c:v>3.2</c:v>
                </c:pt>
                <c:pt idx="41">
                  <c:v>3.28</c:v>
                </c:pt>
                <c:pt idx="42">
                  <c:v>3.36</c:v>
                </c:pt>
                <c:pt idx="43">
                  <c:v>3.44</c:v>
                </c:pt>
                <c:pt idx="44">
                  <c:v>3.52</c:v>
                </c:pt>
                <c:pt idx="45">
                  <c:v>3.6</c:v>
                </c:pt>
                <c:pt idx="46">
                  <c:v>3.68</c:v>
                </c:pt>
                <c:pt idx="47">
                  <c:v>3.76</c:v>
                </c:pt>
                <c:pt idx="48">
                  <c:v>3.84</c:v>
                </c:pt>
                <c:pt idx="49">
                  <c:v>3.92</c:v>
                </c:pt>
                <c:pt idx="50">
                  <c:v>4</c:v>
                </c:pt>
                <c:pt idx="51">
                  <c:v>4.08</c:v>
                </c:pt>
                <c:pt idx="52">
                  <c:v>4.16</c:v>
                </c:pt>
                <c:pt idx="53">
                  <c:v>4.24</c:v>
                </c:pt>
                <c:pt idx="54">
                  <c:v>4.32</c:v>
                </c:pt>
                <c:pt idx="55">
                  <c:v>4.4000000000000004</c:v>
                </c:pt>
                <c:pt idx="56">
                  <c:v>4.4800000000000004</c:v>
                </c:pt>
                <c:pt idx="57">
                  <c:v>4.5599999999999996</c:v>
                </c:pt>
                <c:pt idx="58">
                  <c:v>4.6399999999999997</c:v>
                </c:pt>
                <c:pt idx="59">
                  <c:v>4.72</c:v>
                </c:pt>
                <c:pt idx="60">
                  <c:v>4.8</c:v>
                </c:pt>
                <c:pt idx="61">
                  <c:v>4.88</c:v>
                </c:pt>
                <c:pt idx="62">
                  <c:v>4.96</c:v>
                </c:pt>
                <c:pt idx="63">
                  <c:v>5.04</c:v>
                </c:pt>
                <c:pt idx="64">
                  <c:v>5.12</c:v>
                </c:pt>
                <c:pt idx="65">
                  <c:v>5.2</c:v>
                </c:pt>
                <c:pt idx="66">
                  <c:v>5.28</c:v>
                </c:pt>
                <c:pt idx="67">
                  <c:v>5.36</c:v>
                </c:pt>
                <c:pt idx="68">
                  <c:v>5.44</c:v>
                </c:pt>
                <c:pt idx="69">
                  <c:v>5.52</c:v>
                </c:pt>
                <c:pt idx="70">
                  <c:v>5.6</c:v>
                </c:pt>
                <c:pt idx="71">
                  <c:v>5.68</c:v>
                </c:pt>
                <c:pt idx="72">
                  <c:v>5.76</c:v>
                </c:pt>
                <c:pt idx="73">
                  <c:v>5.84</c:v>
                </c:pt>
                <c:pt idx="74">
                  <c:v>5.92</c:v>
                </c:pt>
                <c:pt idx="75">
                  <c:v>6</c:v>
                </c:pt>
                <c:pt idx="76">
                  <c:v>6.08</c:v>
                </c:pt>
                <c:pt idx="77">
                  <c:v>6.16</c:v>
                </c:pt>
                <c:pt idx="78">
                  <c:v>6.24</c:v>
                </c:pt>
                <c:pt idx="79">
                  <c:v>6.32</c:v>
                </c:pt>
                <c:pt idx="80">
                  <c:v>6.4</c:v>
                </c:pt>
                <c:pt idx="81">
                  <c:v>6.48</c:v>
                </c:pt>
                <c:pt idx="82">
                  <c:v>6.56</c:v>
                </c:pt>
                <c:pt idx="83">
                  <c:v>6.64</c:v>
                </c:pt>
                <c:pt idx="84">
                  <c:v>6.72</c:v>
                </c:pt>
                <c:pt idx="85">
                  <c:v>6.8</c:v>
                </c:pt>
                <c:pt idx="86">
                  <c:v>6.88</c:v>
                </c:pt>
                <c:pt idx="87">
                  <c:v>6.96</c:v>
                </c:pt>
                <c:pt idx="88">
                  <c:v>7.04</c:v>
                </c:pt>
                <c:pt idx="89">
                  <c:v>7.12</c:v>
                </c:pt>
                <c:pt idx="90">
                  <c:v>7.2</c:v>
                </c:pt>
                <c:pt idx="91">
                  <c:v>7.28</c:v>
                </c:pt>
                <c:pt idx="92">
                  <c:v>7.36</c:v>
                </c:pt>
                <c:pt idx="93">
                  <c:v>7.44</c:v>
                </c:pt>
                <c:pt idx="94">
                  <c:v>7.52</c:v>
                </c:pt>
                <c:pt idx="95">
                  <c:v>7.6</c:v>
                </c:pt>
                <c:pt idx="96">
                  <c:v>7.68</c:v>
                </c:pt>
                <c:pt idx="97">
                  <c:v>7.76</c:v>
                </c:pt>
                <c:pt idx="98">
                  <c:v>7.84</c:v>
                </c:pt>
                <c:pt idx="99">
                  <c:v>7.92</c:v>
                </c:pt>
                <c:pt idx="100">
                  <c:v>8</c:v>
                </c:pt>
              </c:numCache>
            </c:numRef>
          </c:cat>
          <c:val>
            <c:numRef>
              <c:f>'Efficiency Calculations'!$BD$9:$BD$109</c:f>
              <c:numCache>
                <c:formatCode>0.000</c:formatCode>
                <c:ptCount val="101"/>
                <c:pt idx="0">
                  <c:v>6.5757316369003558E-3</c:v>
                </c:pt>
                <c:pt idx="1">
                  <c:v>1.3144171972748427E-2</c:v>
                </c:pt>
                <c:pt idx="2">
                  <c:v>1.9743269238404811E-2</c:v>
                </c:pt>
                <c:pt idx="3">
                  <c:v>2.6373035140297728E-2</c:v>
                </c:pt>
                <c:pt idx="4">
                  <c:v>3.3121837450116952E-2</c:v>
                </c:pt>
                <c:pt idx="5">
                  <c:v>4.1459246833641231E-2</c:v>
                </c:pt>
                <c:pt idx="6">
                  <c:v>4.9827456390263494E-2</c:v>
                </c:pt>
                <c:pt idx="7">
                  <c:v>5.8226505982516739E-2</c:v>
                </c:pt>
                <c:pt idx="8">
                  <c:v>6.665643636394572E-2</c:v>
                </c:pt>
                <c:pt idx="9">
                  <c:v>7.5117289180556351E-2</c:v>
                </c:pt>
                <c:pt idx="10">
                  <c:v>8.3609106972330011E-2</c:v>
                </c:pt>
                <c:pt idx="11">
                  <c:v>9.2131933174802505E-2</c:v>
                </c:pt>
                <c:pt idx="12">
                  <c:v>0.10068581212070826</c:v>
                </c:pt>
                <c:pt idx="13">
                  <c:v>0.10927078904168971</c:v>
                </c:pt>
                <c:pt idx="14">
                  <c:v>0.11788691007007165</c:v>
                </c:pt>
                <c:pt idx="15">
                  <c:v>0.12653422224070141</c:v>
                </c:pt>
                <c:pt idx="16">
                  <c:v>0.13521277349285429</c:v>
                </c:pt>
                <c:pt idx="17">
                  <c:v>0.1439226126722048</c:v>
                </c:pt>
                <c:pt idx="18">
                  <c:v>0.15266378953286375</c:v>
                </c:pt>
                <c:pt idx="19">
                  <c:v>0.16143635473948159</c:v>
                </c:pt>
                <c:pt idx="20">
                  <c:v>0.17024035986941757</c:v>
                </c:pt>
                <c:pt idx="21">
                  <c:v>0.17907585741497573</c:v>
                </c:pt>
                <c:pt idx="22">
                  <c:v>0.18794290078570738</c:v>
                </c:pt>
                <c:pt idx="23">
                  <c:v>0.19684154431078027</c:v>
                </c:pt>
                <c:pt idx="24">
                  <c:v>0.20577184324141484</c:v>
                </c:pt>
                <c:pt idx="25">
                  <c:v>0.21473385375338822</c:v>
                </c:pt>
                <c:pt idx="26">
                  <c:v>0.22372763294960499</c:v>
                </c:pt>
                <c:pt idx="27">
                  <c:v>0.23275323886273619</c:v>
                </c:pt>
                <c:pt idx="28">
                  <c:v>0.24181073045792628</c:v>
                </c:pt>
                <c:pt idx="29">
                  <c:v>0.25090016763556833</c:v>
                </c:pt>
                <c:pt idx="30">
                  <c:v>0.26002161123414769</c:v>
                </c:pt>
                <c:pt idx="31">
                  <c:v>0.26917512303315472</c:v>
                </c:pt>
                <c:pt idx="32">
                  <c:v>0.27836076575606639</c:v>
                </c:pt>
                <c:pt idx="33">
                  <c:v>0.28757860307339733</c:v>
                </c:pt>
                <c:pt idx="34">
                  <c:v>0.29682869960582103</c:v>
                </c:pt>
                <c:pt idx="35">
                  <c:v>0.30611112092736059</c:v>
                </c:pt>
                <c:pt idx="36">
                  <c:v>0.31542593356865029</c:v>
                </c:pt>
                <c:pt idx="37">
                  <c:v>0.3247732050202673</c:v>
                </c:pt>
                <c:pt idx="38">
                  <c:v>0.33415300373613505</c:v>
                </c:pt>
                <c:pt idx="39">
                  <c:v>0.34356539913699835</c:v>
                </c:pt>
                <c:pt idx="40">
                  <c:v>0.35301046161396893</c:v>
                </c:pt>
                <c:pt idx="41">
                  <c:v>0.36248826253214483</c:v>
                </c:pt>
                <c:pt idx="42">
                  <c:v>0.37199887423430122</c:v>
                </c:pt>
                <c:pt idx="43">
                  <c:v>0.38154237004465519</c:v>
                </c:pt>
                <c:pt idx="44">
                  <c:v>0.39111882427270234</c:v>
                </c:pt>
                <c:pt idx="45">
                  <c:v>0.40072831221712946</c:v>
                </c:pt>
                <c:pt idx="46">
                  <c:v>0.41037091016979926</c:v>
                </c:pt>
                <c:pt idx="47">
                  <c:v>0.42004669541981116</c:v>
                </c:pt>
                <c:pt idx="48">
                  <c:v>0.42975574625763702</c:v>
                </c:pt>
                <c:pt idx="49">
                  <c:v>0.43949814197933179</c:v>
                </c:pt>
                <c:pt idx="50">
                  <c:v>0.44927396289082111</c:v>
                </c:pt>
                <c:pt idx="51">
                  <c:v>0.45908329031226497</c:v>
                </c:pt>
                <c:pt idx="52">
                  <c:v>0.46892620658249828</c:v>
                </c:pt>
                <c:pt idx="53">
                  <c:v>0.47880279506354989</c:v>
                </c:pt>
                <c:pt idx="54">
                  <c:v>0.48871314014523837</c:v>
                </c:pt>
                <c:pt idx="55">
                  <c:v>0.49865732724984735</c:v>
                </c:pt>
                <c:pt idx="56">
                  <c:v>0.50863544283688022</c:v>
                </c:pt>
                <c:pt idx="57">
                  <c:v>0.51864757440789311</c:v>
                </c:pt>
                <c:pt idx="58">
                  <c:v>0.52869381051141029</c:v>
                </c:pt>
                <c:pt idx="59">
                  <c:v>0.53877424074791758</c:v>
                </c:pt>
                <c:pt idx="60">
                  <c:v>0.54888895577494046</c:v>
                </c:pt>
                <c:pt idx="61">
                  <c:v>0.5590380473122013</c:v>
                </c:pt>
                <c:pt idx="62">
                  <c:v>0.56922160814686118</c:v>
                </c:pt>
                <c:pt idx="63">
                  <c:v>0.57943973213884359</c:v>
                </c:pt>
                <c:pt idx="64">
                  <c:v>0.58969251422624325</c:v>
                </c:pt>
                <c:pt idx="65">
                  <c:v>0.59998005043081826</c:v>
                </c:pt>
                <c:pt idx="66">
                  <c:v>0.61030243786356819</c:v>
                </c:pt>
                <c:pt idx="67">
                  <c:v>0.62065977473039813</c:v>
                </c:pt>
                <c:pt idx="68">
                  <c:v>0.63105216033786848</c:v>
                </c:pt>
                <c:pt idx="69">
                  <c:v>0.64147969509903269</c:v>
                </c:pt>
                <c:pt idx="70">
                  <c:v>0.65194248053936277</c:v>
                </c:pt>
                <c:pt idx="71">
                  <c:v>0.66244061930276321</c:v>
                </c:pt>
                <c:pt idx="72">
                  <c:v>0.67297421515767475</c:v>
                </c:pt>
                <c:pt idx="73">
                  <c:v>0.68354337300326773</c:v>
                </c:pt>
                <c:pt idx="74">
                  <c:v>0.69414819887572676</c:v>
                </c:pt>
                <c:pt idx="75">
                  <c:v>0.70478879995462684</c:v>
                </c:pt>
                <c:pt idx="76">
                  <c:v>0.7154652845694025</c:v>
                </c:pt>
                <c:pt idx="77">
                  <c:v>0.72617776220590924</c:v>
                </c:pt>
                <c:pt idx="78">
                  <c:v>0.73692634351307995</c:v>
                </c:pt>
                <c:pt idx="79">
                  <c:v>0.74771114030967589</c:v>
                </c:pt>
                <c:pt idx="80">
                  <c:v>0.75853226559113329</c:v>
                </c:pt>
                <c:pt idx="81">
                  <c:v>0.76938983353650681</c:v>
                </c:pt>
                <c:pt idx="82">
                  <c:v>0.78028395951551066</c:v>
                </c:pt>
                <c:pt idx="83">
                  <c:v>0.79121476009565805</c:v>
                </c:pt>
                <c:pt idx="84">
                  <c:v>0.80218235304949925</c:v>
                </c:pt>
                <c:pt idx="85">
                  <c:v>0.81318685736196161</c:v>
                </c:pt>
                <c:pt idx="86">
                  <c:v>0.82422839323778785</c:v>
                </c:pt>
                <c:pt idx="87">
                  <c:v>0.83530708210908</c:v>
                </c:pt>
                <c:pt idx="88">
                  <c:v>0.84642304664294421</c:v>
                </c:pt>
                <c:pt idx="89">
                  <c:v>0.85757641074923963</c:v>
                </c:pt>
                <c:pt idx="90">
                  <c:v>0.86876729958843346</c:v>
                </c:pt>
                <c:pt idx="91">
                  <c:v>0.87999583957956107</c:v>
                </c:pt>
                <c:pt idx="92">
                  <c:v>0.89126215840829426</c:v>
                </c:pt>
                <c:pt idx="93">
                  <c:v>0.9025663850351171</c:v>
                </c:pt>
                <c:pt idx="94">
                  <c:v>0.91390864970361085</c:v>
                </c:pt>
                <c:pt idx="95">
                  <c:v>0.9252890839488499</c:v>
                </c:pt>
                <c:pt idx="96">
                  <c:v>0.93670782060590929</c:v>
                </c:pt>
                <c:pt idx="97">
                  <c:v>0.94816499381848285</c:v>
                </c:pt>
                <c:pt idx="98">
                  <c:v>0.95966073904761828</c:v>
                </c:pt>
                <c:pt idx="99">
                  <c:v>0.9711951930805649</c:v>
                </c:pt>
                <c:pt idx="100">
                  <c:v>0.98276849403973809</c:v>
                </c:pt>
              </c:numCache>
            </c:numRef>
          </c:val>
          <c:smooth val="0"/>
          <c:extLst>
            <c:ext xmlns:c16="http://schemas.microsoft.com/office/drawing/2014/chart" uri="{C3380CC4-5D6E-409C-BE32-E72D297353CC}">
              <c16:uniqueId val="{00000003-F8E4-4E87-B237-B7C8F7E9CC7F}"/>
            </c:ext>
          </c:extLst>
        </c:ser>
        <c:dLbls>
          <c:showLegendKey val="0"/>
          <c:showVal val="0"/>
          <c:showCatName val="0"/>
          <c:showSerName val="0"/>
          <c:showPercent val="0"/>
          <c:showBubbleSize val="0"/>
        </c:dLbls>
        <c:marker val="1"/>
        <c:smooth val="0"/>
        <c:axId val="334234752"/>
        <c:axId val="44563456"/>
      </c:lineChart>
      <c:catAx>
        <c:axId val="44547072"/>
        <c:scaling>
          <c:orientation val="minMax"/>
        </c:scaling>
        <c:delete val="0"/>
        <c:axPos val="b"/>
        <c:majorGridlines>
          <c:spPr>
            <a:ln w="15875">
              <a:solidFill>
                <a:srgbClr val="969696"/>
              </a:solidFill>
              <a:prstDash val="sysDash"/>
            </a:ln>
          </c:spPr>
        </c:majorGridlines>
        <c:title>
          <c:tx>
            <c:rich>
              <a:bodyPr/>
              <a:lstStyle/>
              <a:p>
                <a:pPr>
                  <a:defRPr sz="1300" b="1" i="0" u="none" strike="noStrike" baseline="0">
                    <a:solidFill>
                      <a:srgbClr val="0000FF"/>
                    </a:solidFill>
                    <a:latin typeface="Arial" pitchFamily="34" charset="0"/>
                    <a:ea typeface="Calibri"/>
                    <a:cs typeface="Arial" pitchFamily="34" charset="0"/>
                  </a:defRPr>
                </a:pPr>
                <a:r>
                  <a:rPr lang="en-US" sz="1300">
                    <a:solidFill>
                      <a:srgbClr val="0000FF"/>
                    </a:solidFill>
                    <a:latin typeface="Arial" pitchFamily="34" charset="0"/>
                    <a:cs typeface="Arial" pitchFamily="34" charset="0"/>
                  </a:rPr>
                  <a:t>Load Current (A)</a:t>
                </a:r>
              </a:p>
            </c:rich>
          </c:tx>
          <c:layout>
            <c:manualLayout>
              <c:xMode val="edge"/>
              <c:yMode val="edge"/>
              <c:x val="0.41625343343709942"/>
              <c:y val="0.94571913573731337"/>
            </c:manualLayout>
          </c:layout>
          <c:overlay val="0"/>
          <c:spPr>
            <a:noFill/>
            <a:ln w="25400">
              <a:noFill/>
            </a:ln>
          </c:spPr>
        </c:title>
        <c:numFmt formatCode="General" sourceLinked="0"/>
        <c:majorTickMark val="in"/>
        <c:minorTickMark val="in"/>
        <c:tickLblPos val="nextTo"/>
        <c:spPr>
          <a:ln w="3175">
            <a:solidFill>
              <a:srgbClr val="000000"/>
            </a:solidFill>
            <a:prstDash val="solid"/>
          </a:ln>
        </c:spPr>
        <c:txPr>
          <a:bodyPr rot="0" vert="horz"/>
          <a:lstStyle/>
          <a:p>
            <a:pPr>
              <a:defRPr sz="1100" b="1" i="0" u="none" strike="noStrike" baseline="0">
                <a:solidFill>
                  <a:srgbClr val="0000FF"/>
                </a:solidFill>
                <a:latin typeface="Arial" pitchFamily="34" charset="0"/>
                <a:ea typeface="Calibri"/>
                <a:cs typeface="Arial" pitchFamily="34" charset="0"/>
              </a:defRPr>
            </a:pPr>
            <a:endParaRPr lang="en-US"/>
          </a:p>
        </c:txPr>
        <c:crossAx val="44561536"/>
        <c:crosses val="autoZero"/>
        <c:auto val="1"/>
        <c:lblAlgn val="ctr"/>
        <c:lblOffset val="100"/>
        <c:tickLblSkip val="20"/>
        <c:tickMarkSkip val="20"/>
        <c:noMultiLvlLbl val="1"/>
      </c:catAx>
      <c:valAx>
        <c:axId val="44561536"/>
        <c:scaling>
          <c:orientation val="minMax"/>
          <c:max val="100"/>
          <c:min val="65"/>
        </c:scaling>
        <c:delete val="0"/>
        <c:axPos val="l"/>
        <c:majorGridlines>
          <c:spPr>
            <a:ln w="15875">
              <a:solidFill>
                <a:srgbClr val="808080"/>
              </a:solidFill>
              <a:prstDash val="solid"/>
            </a:ln>
          </c:spPr>
        </c:majorGridlines>
        <c:minorGridlines/>
        <c:title>
          <c:tx>
            <c:rich>
              <a:bodyPr/>
              <a:lstStyle/>
              <a:p>
                <a:pPr>
                  <a:defRPr sz="1300" b="1" i="0" u="none" strike="noStrike" baseline="0">
                    <a:solidFill>
                      <a:srgbClr val="FF0000"/>
                    </a:solidFill>
                    <a:latin typeface="Arial" pitchFamily="34" charset="0"/>
                    <a:ea typeface="Calibri"/>
                    <a:cs typeface="Arial" pitchFamily="34" charset="0"/>
                  </a:defRPr>
                </a:pPr>
                <a:r>
                  <a:rPr lang="en-US" sz="1300" b="1">
                    <a:solidFill>
                      <a:srgbClr val="FF0000"/>
                    </a:solidFill>
                    <a:latin typeface="Arial" pitchFamily="34" charset="0"/>
                    <a:cs typeface="Arial" pitchFamily="34" charset="0"/>
                  </a:rPr>
                  <a:t>Efficiency (%)</a:t>
                </a:r>
              </a:p>
            </c:rich>
          </c:tx>
          <c:layout>
            <c:manualLayout>
              <c:xMode val="edge"/>
              <c:yMode val="edge"/>
              <c:x val="1.2871858674081443E-2"/>
              <c:y val="0.37638177915688398"/>
            </c:manualLayout>
          </c:layout>
          <c:overlay val="0"/>
          <c:spPr>
            <a:noFill/>
            <a:ln w="25400">
              <a:noFill/>
            </a:ln>
          </c:spPr>
        </c:title>
        <c:numFmt formatCode="#,##0" sourceLinked="0"/>
        <c:majorTickMark val="out"/>
        <c:minorTickMark val="out"/>
        <c:tickLblPos val="nextTo"/>
        <c:spPr>
          <a:ln w="3175">
            <a:solidFill>
              <a:srgbClr val="000000"/>
            </a:solidFill>
            <a:prstDash val="solid"/>
          </a:ln>
        </c:spPr>
        <c:txPr>
          <a:bodyPr rot="0" vert="horz"/>
          <a:lstStyle/>
          <a:p>
            <a:pPr>
              <a:defRPr sz="1100" b="1" i="0" u="none" strike="noStrike" baseline="0">
                <a:solidFill>
                  <a:srgbClr val="FF0000"/>
                </a:solidFill>
                <a:latin typeface="Arial" pitchFamily="34" charset="0"/>
                <a:ea typeface="Calibri"/>
                <a:cs typeface="Arial" pitchFamily="34" charset="0"/>
              </a:defRPr>
            </a:pPr>
            <a:endParaRPr lang="en-US"/>
          </a:p>
        </c:txPr>
        <c:crossAx val="44547072"/>
        <c:crosses val="autoZero"/>
        <c:crossBetween val="between"/>
        <c:majorUnit val="5"/>
        <c:minorUnit val="2.5"/>
      </c:valAx>
      <c:valAx>
        <c:axId val="44563456"/>
        <c:scaling>
          <c:orientation val="minMax"/>
          <c:min val="0"/>
        </c:scaling>
        <c:delete val="0"/>
        <c:axPos val="r"/>
        <c:title>
          <c:tx>
            <c:rich>
              <a:bodyPr rot="-5400000" vert="horz"/>
              <a:lstStyle/>
              <a:p>
                <a:pPr>
                  <a:defRPr sz="1400" b="1"/>
                </a:pPr>
                <a:r>
                  <a:rPr lang="en-US" sz="1400" b="1"/>
                  <a:t>Power Loss (W)</a:t>
                </a:r>
              </a:p>
            </c:rich>
          </c:tx>
          <c:layout>
            <c:manualLayout>
              <c:xMode val="edge"/>
              <c:yMode val="edge"/>
              <c:x val="0.95594291793250197"/>
              <c:y val="0.37048873366731228"/>
            </c:manualLayout>
          </c:layout>
          <c:overlay val="0"/>
        </c:title>
        <c:numFmt formatCode="General" sourceLinked="0"/>
        <c:majorTickMark val="cross"/>
        <c:minorTickMark val="none"/>
        <c:tickLblPos val="nextTo"/>
        <c:txPr>
          <a:bodyPr/>
          <a:lstStyle/>
          <a:p>
            <a:pPr>
              <a:defRPr sz="1100" b="1">
                <a:solidFill>
                  <a:sysClr val="windowText" lastClr="000000"/>
                </a:solidFill>
              </a:defRPr>
            </a:pPr>
            <a:endParaRPr lang="en-US"/>
          </a:p>
        </c:txPr>
        <c:crossAx val="334234752"/>
        <c:crosses val="max"/>
        <c:crossBetween val="between"/>
      </c:valAx>
      <c:catAx>
        <c:axId val="334234752"/>
        <c:scaling>
          <c:orientation val="minMax"/>
        </c:scaling>
        <c:delete val="1"/>
        <c:axPos val="b"/>
        <c:numFmt formatCode="0.000" sourceLinked="1"/>
        <c:majorTickMark val="out"/>
        <c:minorTickMark val="none"/>
        <c:tickLblPos val="nextTo"/>
        <c:crossAx val="44563456"/>
        <c:crosses val="autoZero"/>
        <c:auto val="1"/>
        <c:lblAlgn val="ctr"/>
        <c:lblOffset val="100"/>
        <c:noMultiLvlLbl val="0"/>
      </c:catAx>
      <c:spPr>
        <a:noFill/>
        <a:ln w="25400">
          <a:noFill/>
        </a:ln>
      </c:spPr>
    </c:plotArea>
    <c:legend>
      <c:legendPos val="t"/>
      <c:layout>
        <c:manualLayout>
          <c:xMode val="edge"/>
          <c:yMode val="edge"/>
          <c:x val="0.36120408747265326"/>
          <c:y val="1.1892626175886978E-2"/>
          <c:w val="0.55790801648035493"/>
          <c:h val="9.0576560908423698E-2"/>
        </c:manualLayout>
      </c:layout>
      <c:overlay val="0"/>
      <c:spPr>
        <a:solidFill>
          <a:srgbClr val="FFFFFF"/>
        </a:solidFill>
        <a:ln w="25400">
          <a:noFill/>
        </a:ln>
      </c:spPr>
      <c:txPr>
        <a:bodyPr/>
        <a:lstStyle/>
        <a:p>
          <a:pPr>
            <a:defRPr sz="1200" b="0" i="0" u="none" strike="noStrike" baseline="0">
              <a:solidFill>
                <a:srgbClr val="000000"/>
              </a:solidFill>
              <a:latin typeface="Arial" pitchFamily="34" charset="0"/>
              <a:ea typeface="Calibri"/>
              <a:cs typeface="Arial" pitchFamily="34" charset="0"/>
            </a:defRPr>
          </a:pPr>
          <a:endParaRPr lang="en-US"/>
        </a:p>
      </c:txPr>
    </c:legend>
    <c:plotVisOnly val="1"/>
    <c:dispBlanksAs val="gap"/>
    <c:showDLblsOverMax val="0"/>
  </c:chart>
  <c:spPr>
    <a:noFill/>
    <a:ln w="9525">
      <a:noFill/>
    </a:ln>
  </c:spPr>
  <c:txPr>
    <a:bodyPr/>
    <a:lstStyle/>
    <a:p>
      <a:pPr>
        <a:defRPr sz="850" b="0" i="0" u="none" strike="noStrike" baseline="0">
          <a:solidFill>
            <a:srgbClr val="000000"/>
          </a:solidFill>
          <a:latin typeface="Arial"/>
          <a:ea typeface="Arial"/>
          <a:cs typeface="Arial"/>
        </a:defRPr>
      </a:pPr>
      <a:endParaRPr lang="en-US"/>
    </a:p>
  </c:txPr>
  <c:printSettings>
    <c:headerFooter alignWithMargins="0"/>
    <c:pageMargins b="1" l="0.75000000000000666" r="0.75000000000000666" t="1" header="0.5" footer="0.5"/>
    <c:pageSetup paperSize="5"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i="0" u="none" strike="noStrike" baseline="0">
                <a:solidFill>
                  <a:srgbClr val="000000"/>
                </a:solidFill>
                <a:latin typeface="Arial" pitchFamily="34" charset="0"/>
                <a:ea typeface="Calibri"/>
                <a:cs typeface="Arial" pitchFamily="34" charset="0"/>
              </a:defRPr>
            </a:pPr>
            <a:r>
              <a:rPr lang="en-US" sz="2000">
                <a:latin typeface="Arial" pitchFamily="34" charset="0"/>
                <a:cs typeface="Arial" pitchFamily="34" charset="0"/>
                <a:sym typeface="Symbol"/>
              </a:rPr>
              <a:t></a:t>
            </a:r>
            <a:r>
              <a:rPr lang="en-US" sz="2000" b="1" i="0" u="none" strike="noStrike" baseline="0"/>
              <a:t>,  V</a:t>
            </a:r>
            <a:r>
              <a:rPr lang="en-US" sz="2000" b="1" i="0" u="none" strike="noStrike" baseline="-25000"/>
              <a:t>IN</a:t>
            </a:r>
            <a:r>
              <a:rPr lang="en-US" sz="2000" b="1" i="0" u="none" strike="noStrike" baseline="0"/>
              <a:t> = V</a:t>
            </a:r>
            <a:r>
              <a:rPr lang="en-US" sz="2000" b="1" i="0" u="none" strike="noStrike" baseline="-25000"/>
              <a:t>IN(nom)</a:t>
            </a:r>
            <a:endParaRPr lang="en-US" sz="2000">
              <a:latin typeface="Arial" pitchFamily="34" charset="0"/>
              <a:cs typeface="Arial" pitchFamily="34" charset="0"/>
            </a:endParaRPr>
          </a:p>
        </c:rich>
      </c:tx>
      <c:layout>
        <c:manualLayout>
          <c:xMode val="edge"/>
          <c:yMode val="edge"/>
          <c:x val="7.7082846781954192E-2"/>
          <c:y val="1.4109969466157928E-2"/>
        </c:manualLayout>
      </c:layout>
      <c:overlay val="0"/>
      <c:spPr>
        <a:noFill/>
        <a:ln w="25400">
          <a:noFill/>
        </a:ln>
      </c:spPr>
    </c:title>
    <c:autoTitleDeleted val="0"/>
    <c:plotArea>
      <c:layout>
        <c:manualLayout>
          <c:layoutTarget val="inner"/>
          <c:xMode val="edge"/>
          <c:yMode val="edge"/>
          <c:x val="8.2399604911965282E-2"/>
          <c:y val="0.12372903654825702"/>
          <c:w val="0.82579990228506228"/>
          <c:h val="0.76068566810117366"/>
        </c:manualLayout>
      </c:layout>
      <c:lineChart>
        <c:grouping val="standard"/>
        <c:varyColors val="0"/>
        <c:ser>
          <c:idx val="0"/>
          <c:order val="0"/>
          <c:tx>
            <c:v>Efficiency</c:v>
          </c:tx>
          <c:spPr>
            <a:ln w="28575">
              <a:solidFill>
                <a:srgbClr val="FF0000"/>
              </a:solidFill>
              <a:prstDash val="solid"/>
            </a:ln>
          </c:spPr>
          <c:marker>
            <c:symbol val="none"/>
          </c:marker>
          <c:cat>
            <c:multiLvlStrRef>
              <c:f>#REF!</c:f>
            </c:multiLvlStrRef>
          </c:cat>
          <c:val>
            <c:numRef>
              <c:f>#REF!</c:f>
              <c:numCache>
                <c:formatCode>General</c:formatCode>
                <c:ptCount val="1"/>
                <c:pt idx="0">
                  <c:v>1</c:v>
                </c:pt>
              </c:numCache>
            </c:numRef>
          </c:val>
          <c:smooth val="0"/>
          <c:extLst>
            <c:ext xmlns:c16="http://schemas.microsoft.com/office/drawing/2014/chart" uri="{C3380CC4-5D6E-409C-BE32-E72D297353CC}">
              <c16:uniqueId val="{00000000-7A01-4C6E-8131-226BA8336B2F}"/>
            </c:ext>
          </c:extLst>
        </c:ser>
        <c:dLbls>
          <c:showLegendKey val="0"/>
          <c:showVal val="0"/>
          <c:showCatName val="0"/>
          <c:showSerName val="0"/>
          <c:showPercent val="0"/>
          <c:showBubbleSize val="0"/>
        </c:dLbls>
        <c:marker val="1"/>
        <c:smooth val="0"/>
        <c:axId val="334288768"/>
        <c:axId val="334299136"/>
      </c:lineChart>
      <c:lineChart>
        <c:grouping val="standard"/>
        <c:varyColors val="0"/>
        <c:ser>
          <c:idx val="2"/>
          <c:order val="1"/>
          <c:tx>
            <c:strRef>
              <c:f>'Efficiency Calculations'!$BC$8</c:f>
              <c:strCache>
                <c:ptCount val="1"/>
                <c:pt idx="0">
                  <c:v>Control MOSFET Loss</c:v>
                </c:pt>
              </c:strCache>
            </c:strRef>
          </c:tx>
          <c:spPr>
            <a:ln w="38100">
              <a:solidFill>
                <a:srgbClr val="808000"/>
              </a:solidFill>
              <a:prstDash val="sysDash"/>
            </a:ln>
          </c:spPr>
          <c:marker>
            <c:symbol val="none"/>
          </c:marker>
          <c:cat>
            <c:numRef>
              <c:f>'Efficiency Calculations'!$K$9:$K$109</c:f>
              <c:numCache>
                <c:formatCode>0.000</c:formatCode>
                <c:ptCount val="101"/>
                <c:pt idx="0">
                  <c:v>0</c:v>
                </c:pt>
                <c:pt idx="1">
                  <c:v>0.08</c:v>
                </c:pt>
                <c:pt idx="2">
                  <c:v>0.16</c:v>
                </c:pt>
                <c:pt idx="3">
                  <c:v>0.24</c:v>
                </c:pt>
                <c:pt idx="4">
                  <c:v>0.32</c:v>
                </c:pt>
                <c:pt idx="5">
                  <c:v>0.4</c:v>
                </c:pt>
                <c:pt idx="6">
                  <c:v>0.48</c:v>
                </c:pt>
                <c:pt idx="7">
                  <c:v>0.56000000000000005</c:v>
                </c:pt>
                <c:pt idx="8">
                  <c:v>0.64</c:v>
                </c:pt>
                <c:pt idx="9">
                  <c:v>0.72</c:v>
                </c:pt>
                <c:pt idx="10">
                  <c:v>0.8</c:v>
                </c:pt>
                <c:pt idx="11">
                  <c:v>0.88</c:v>
                </c:pt>
                <c:pt idx="12">
                  <c:v>0.96</c:v>
                </c:pt>
                <c:pt idx="13">
                  <c:v>1.04</c:v>
                </c:pt>
                <c:pt idx="14">
                  <c:v>1.1200000000000001</c:v>
                </c:pt>
                <c:pt idx="15">
                  <c:v>1.2</c:v>
                </c:pt>
                <c:pt idx="16">
                  <c:v>1.28</c:v>
                </c:pt>
                <c:pt idx="17">
                  <c:v>1.36</c:v>
                </c:pt>
                <c:pt idx="18">
                  <c:v>1.44</c:v>
                </c:pt>
                <c:pt idx="19">
                  <c:v>1.52</c:v>
                </c:pt>
                <c:pt idx="20">
                  <c:v>1.6</c:v>
                </c:pt>
                <c:pt idx="21">
                  <c:v>1.68</c:v>
                </c:pt>
                <c:pt idx="22">
                  <c:v>1.76</c:v>
                </c:pt>
                <c:pt idx="23">
                  <c:v>1.84</c:v>
                </c:pt>
                <c:pt idx="24">
                  <c:v>1.92</c:v>
                </c:pt>
                <c:pt idx="25">
                  <c:v>2</c:v>
                </c:pt>
                <c:pt idx="26">
                  <c:v>2.08</c:v>
                </c:pt>
                <c:pt idx="27">
                  <c:v>2.16</c:v>
                </c:pt>
                <c:pt idx="28">
                  <c:v>2.2400000000000002</c:v>
                </c:pt>
                <c:pt idx="29">
                  <c:v>2.3199999999999998</c:v>
                </c:pt>
                <c:pt idx="30">
                  <c:v>2.4</c:v>
                </c:pt>
                <c:pt idx="31">
                  <c:v>2.48</c:v>
                </c:pt>
                <c:pt idx="32">
                  <c:v>2.56</c:v>
                </c:pt>
                <c:pt idx="33">
                  <c:v>2.64</c:v>
                </c:pt>
                <c:pt idx="34">
                  <c:v>2.72</c:v>
                </c:pt>
                <c:pt idx="35">
                  <c:v>2.8</c:v>
                </c:pt>
                <c:pt idx="36">
                  <c:v>2.88</c:v>
                </c:pt>
                <c:pt idx="37">
                  <c:v>2.96</c:v>
                </c:pt>
                <c:pt idx="38">
                  <c:v>3.04</c:v>
                </c:pt>
                <c:pt idx="39">
                  <c:v>3.12</c:v>
                </c:pt>
                <c:pt idx="40">
                  <c:v>3.2</c:v>
                </c:pt>
                <c:pt idx="41">
                  <c:v>3.28</c:v>
                </c:pt>
                <c:pt idx="42">
                  <c:v>3.36</c:v>
                </c:pt>
                <c:pt idx="43">
                  <c:v>3.44</c:v>
                </c:pt>
                <c:pt idx="44">
                  <c:v>3.52</c:v>
                </c:pt>
                <c:pt idx="45">
                  <c:v>3.6</c:v>
                </c:pt>
                <c:pt idx="46">
                  <c:v>3.68</c:v>
                </c:pt>
                <c:pt idx="47">
                  <c:v>3.76</c:v>
                </c:pt>
                <c:pt idx="48">
                  <c:v>3.84</c:v>
                </c:pt>
                <c:pt idx="49">
                  <c:v>3.92</c:v>
                </c:pt>
                <c:pt idx="50">
                  <c:v>4</c:v>
                </c:pt>
                <c:pt idx="51">
                  <c:v>4.08</c:v>
                </c:pt>
                <c:pt idx="52">
                  <c:v>4.16</c:v>
                </c:pt>
                <c:pt idx="53">
                  <c:v>4.24</c:v>
                </c:pt>
                <c:pt idx="54">
                  <c:v>4.32</c:v>
                </c:pt>
                <c:pt idx="55">
                  <c:v>4.4000000000000004</c:v>
                </c:pt>
                <c:pt idx="56">
                  <c:v>4.4800000000000004</c:v>
                </c:pt>
                <c:pt idx="57">
                  <c:v>4.5599999999999996</c:v>
                </c:pt>
                <c:pt idx="58">
                  <c:v>4.6399999999999997</c:v>
                </c:pt>
                <c:pt idx="59">
                  <c:v>4.72</c:v>
                </c:pt>
                <c:pt idx="60">
                  <c:v>4.8</c:v>
                </c:pt>
                <c:pt idx="61">
                  <c:v>4.88</c:v>
                </c:pt>
                <c:pt idx="62">
                  <c:v>4.96</c:v>
                </c:pt>
                <c:pt idx="63">
                  <c:v>5.04</c:v>
                </c:pt>
                <c:pt idx="64">
                  <c:v>5.12</c:v>
                </c:pt>
                <c:pt idx="65">
                  <c:v>5.2</c:v>
                </c:pt>
                <c:pt idx="66">
                  <c:v>5.28</c:v>
                </c:pt>
                <c:pt idx="67">
                  <c:v>5.36</c:v>
                </c:pt>
                <c:pt idx="68">
                  <c:v>5.44</c:v>
                </c:pt>
                <c:pt idx="69">
                  <c:v>5.52</c:v>
                </c:pt>
                <c:pt idx="70">
                  <c:v>5.6</c:v>
                </c:pt>
                <c:pt idx="71">
                  <c:v>5.68</c:v>
                </c:pt>
                <c:pt idx="72">
                  <c:v>5.76</c:v>
                </c:pt>
                <c:pt idx="73">
                  <c:v>5.84</c:v>
                </c:pt>
                <c:pt idx="74">
                  <c:v>5.92</c:v>
                </c:pt>
                <c:pt idx="75">
                  <c:v>6</c:v>
                </c:pt>
                <c:pt idx="76">
                  <c:v>6.08</c:v>
                </c:pt>
                <c:pt idx="77">
                  <c:v>6.16</c:v>
                </c:pt>
                <c:pt idx="78">
                  <c:v>6.24</c:v>
                </c:pt>
                <c:pt idx="79">
                  <c:v>6.32</c:v>
                </c:pt>
                <c:pt idx="80">
                  <c:v>6.4</c:v>
                </c:pt>
                <c:pt idx="81">
                  <c:v>6.48</c:v>
                </c:pt>
                <c:pt idx="82">
                  <c:v>6.56</c:v>
                </c:pt>
                <c:pt idx="83">
                  <c:v>6.64</c:v>
                </c:pt>
                <c:pt idx="84">
                  <c:v>6.72</c:v>
                </c:pt>
                <c:pt idx="85">
                  <c:v>6.8</c:v>
                </c:pt>
                <c:pt idx="86">
                  <c:v>6.88</c:v>
                </c:pt>
                <c:pt idx="87">
                  <c:v>6.96</c:v>
                </c:pt>
                <c:pt idx="88">
                  <c:v>7.04</c:v>
                </c:pt>
                <c:pt idx="89">
                  <c:v>7.12</c:v>
                </c:pt>
                <c:pt idx="90">
                  <c:v>7.2</c:v>
                </c:pt>
                <c:pt idx="91">
                  <c:v>7.28</c:v>
                </c:pt>
                <c:pt idx="92">
                  <c:v>7.36</c:v>
                </c:pt>
                <c:pt idx="93">
                  <c:v>7.44</c:v>
                </c:pt>
                <c:pt idx="94">
                  <c:v>7.52</c:v>
                </c:pt>
                <c:pt idx="95">
                  <c:v>7.6</c:v>
                </c:pt>
                <c:pt idx="96">
                  <c:v>7.68</c:v>
                </c:pt>
                <c:pt idx="97">
                  <c:v>7.76</c:v>
                </c:pt>
                <c:pt idx="98">
                  <c:v>7.84</c:v>
                </c:pt>
                <c:pt idx="99">
                  <c:v>7.92</c:v>
                </c:pt>
                <c:pt idx="100">
                  <c:v>8</c:v>
                </c:pt>
              </c:numCache>
            </c:numRef>
          </c:cat>
          <c:val>
            <c:numRef>
              <c:f>#REF!</c:f>
              <c:numCache>
                <c:formatCode>General</c:formatCode>
                <c:ptCount val="1"/>
                <c:pt idx="0">
                  <c:v>1</c:v>
                </c:pt>
              </c:numCache>
            </c:numRef>
          </c:val>
          <c:smooth val="0"/>
          <c:extLst>
            <c:ext xmlns:c16="http://schemas.microsoft.com/office/drawing/2014/chart" uri="{C3380CC4-5D6E-409C-BE32-E72D297353CC}">
              <c16:uniqueId val="{00000001-7A01-4C6E-8131-226BA8336B2F}"/>
            </c:ext>
          </c:extLst>
        </c:ser>
        <c:ser>
          <c:idx val="3"/>
          <c:order val="2"/>
          <c:tx>
            <c:v>Inductor Loss</c:v>
          </c:tx>
          <c:spPr>
            <a:ln w="38100">
              <a:solidFill>
                <a:srgbClr val="800080"/>
              </a:solidFill>
              <a:prstDash val="dash"/>
            </a:ln>
          </c:spPr>
          <c:marker>
            <c:symbol val="none"/>
          </c:marker>
          <c:cat>
            <c:numRef>
              <c:f>'Efficiency Calculations'!$K$9:$K$109</c:f>
              <c:numCache>
                <c:formatCode>0.000</c:formatCode>
                <c:ptCount val="101"/>
                <c:pt idx="0">
                  <c:v>0</c:v>
                </c:pt>
                <c:pt idx="1">
                  <c:v>0.08</c:v>
                </c:pt>
                <c:pt idx="2">
                  <c:v>0.16</c:v>
                </c:pt>
                <c:pt idx="3">
                  <c:v>0.24</c:v>
                </c:pt>
                <c:pt idx="4">
                  <c:v>0.32</c:v>
                </c:pt>
                <c:pt idx="5">
                  <c:v>0.4</c:v>
                </c:pt>
                <c:pt idx="6">
                  <c:v>0.48</c:v>
                </c:pt>
                <c:pt idx="7">
                  <c:v>0.56000000000000005</c:v>
                </c:pt>
                <c:pt idx="8">
                  <c:v>0.64</c:v>
                </c:pt>
                <c:pt idx="9">
                  <c:v>0.72</c:v>
                </c:pt>
                <c:pt idx="10">
                  <c:v>0.8</c:v>
                </c:pt>
                <c:pt idx="11">
                  <c:v>0.88</c:v>
                </c:pt>
                <c:pt idx="12">
                  <c:v>0.96</c:v>
                </c:pt>
                <c:pt idx="13">
                  <c:v>1.04</c:v>
                </c:pt>
                <c:pt idx="14">
                  <c:v>1.1200000000000001</c:v>
                </c:pt>
                <c:pt idx="15">
                  <c:v>1.2</c:v>
                </c:pt>
                <c:pt idx="16">
                  <c:v>1.28</c:v>
                </c:pt>
                <c:pt idx="17">
                  <c:v>1.36</c:v>
                </c:pt>
                <c:pt idx="18">
                  <c:v>1.44</c:v>
                </c:pt>
                <c:pt idx="19">
                  <c:v>1.52</c:v>
                </c:pt>
                <c:pt idx="20">
                  <c:v>1.6</c:v>
                </c:pt>
                <c:pt idx="21">
                  <c:v>1.68</c:v>
                </c:pt>
                <c:pt idx="22">
                  <c:v>1.76</c:v>
                </c:pt>
                <c:pt idx="23">
                  <c:v>1.84</c:v>
                </c:pt>
                <c:pt idx="24">
                  <c:v>1.92</c:v>
                </c:pt>
                <c:pt idx="25">
                  <c:v>2</c:v>
                </c:pt>
                <c:pt idx="26">
                  <c:v>2.08</c:v>
                </c:pt>
                <c:pt idx="27">
                  <c:v>2.16</c:v>
                </c:pt>
                <c:pt idx="28">
                  <c:v>2.2400000000000002</c:v>
                </c:pt>
                <c:pt idx="29">
                  <c:v>2.3199999999999998</c:v>
                </c:pt>
                <c:pt idx="30">
                  <c:v>2.4</c:v>
                </c:pt>
                <c:pt idx="31">
                  <c:v>2.48</c:v>
                </c:pt>
                <c:pt idx="32">
                  <c:v>2.56</c:v>
                </c:pt>
                <c:pt idx="33">
                  <c:v>2.64</c:v>
                </c:pt>
                <c:pt idx="34">
                  <c:v>2.72</c:v>
                </c:pt>
                <c:pt idx="35">
                  <c:v>2.8</c:v>
                </c:pt>
                <c:pt idx="36">
                  <c:v>2.88</c:v>
                </c:pt>
                <c:pt idx="37">
                  <c:v>2.96</c:v>
                </c:pt>
                <c:pt idx="38">
                  <c:v>3.04</c:v>
                </c:pt>
                <c:pt idx="39">
                  <c:v>3.12</c:v>
                </c:pt>
                <c:pt idx="40">
                  <c:v>3.2</c:v>
                </c:pt>
                <c:pt idx="41">
                  <c:v>3.28</c:v>
                </c:pt>
                <c:pt idx="42">
                  <c:v>3.36</c:v>
                </c:pt>
                <c:pt idx="43">
                  <c:v>3.44</c:v>
                </c:pt>
                <c:pt idx="44">
                  <c:v>3.52</c:v>
                </c:pt>
                <c:pt idx="45">
                  <c:v>3.6</c:v>
                </c:pt>
                <c:pt idx="46">
                  <c:v>3.68</c:v>
                </c:pt>
                <c:pt idx="47">
                  <c:v>3.76</c:v>
                </c:pt>
                <c:pt idx="48">
                  <c:v>3.84</c:v>
                </c:pt>
                <c:pt idx="49">
                  <c:v>3.92</c:v>
                </c:pt>
                <c:pt idx="50">
                  <c:v>4</c:v>
                </c:pt>
                <c:pt idx="51">
                  <c:v>4.08</c:v>
                </c:pt>
                <c:pt idx="52">
                  <c:v>4.16</c:v>
                </c:pt>
                <c:pt idx="53">
                  <c:v>4.24</c:v>
                </c:pt>
                <c:pt idx="54">
                  <c:v>4.32</c:v>
                </c:pt>
                <c:pt idx="55">
                  <c:v>4.4000000000000004</c:v>
                </c:pt>
                <c:pt idx="56">
                  <c:v>4.4800000000000004</c:v>
                </c:pt>
                <c:pt idx="57">
                  <c:v>4.5599999999999996</c:v>
                </c:pt>
                <c:pt idx="58">
                  <c:v>4.6399999999999997</c:v>
                </c:pt>
                <c:pt idx="59">
                  <c:v>4.72</c:v>
                </c:pt>
                <c:pt idx="60">
                  <c:v>4.8</c:v>
                </c:pt>
                <c:pt idx="61">
                  <c:v>4.88</c:v>
                </c:pt>
                <c:pt idx="62">
                  <c:v>4.96</c:v>
                </c:pt>
                <c:pt idx="63">
                  <c:v>5.04</c:v>
                </c:pt>
                <c:pt idx="64">
                  <c:v>5.12</c:v>
                </c:pt>
                <c:pt idx="65">
                  <c:v>5.2</c:v>
                </c:pt>
                <c:pt idx="66">
                  <c:v>5.28</c:v>
                </c:pt>
                <c:pt idx="67">
                  <c:v>5.36</c:v>
                </c:pt>
                <c:pt idx="68">
                  <c:v>5.44</c:v>
                </c:pt>
                <c:pt idx="69">
                  <c:v>5.52</c:v>
                </c:pt>
                <c:pt idx="70">
                  <c:v>5.6</c:v>
                </c:pt>
                <c:pt idx="71">
                  <c:v>5.68</c:v>
                </c:pt>
                <c:pt idx="72">
                  <c:v>5.76</c:v>
                </c:pt>
                <c:pt idx="73">
                  <c:v>5.84</c:v>
                </c:pt>
                <c:pt idx="74">
                  <c:v>5.92</c:v>
                </c:pt>
                <c:pt idx="75">
                  <c:v>6</c:v>
                </c:pt>
                <c:pt idx="76">
                  <c:v>6.08</c:v>
                </c:pt>
                <c:pt idx="77">
                  <c:v>6.16</c:v>
                </c:pt>
                <c:pt idx="78">
                  <c:v>6.24</c:v>
                </c:pt>
                <c:pt idx="79">
                  <c:v>6.32</c:v>
                </c:pt>
                <c:pt idx="80">
                  <c:v>6.4</c:v>
                </c:pt>
                <c:pt idx="81">
                  <c:v>6.48</c:v>
                </c:pt>
                <c:pt idx="82">
                  <c:v>6.56</c:v>
                </c:pt>
                <c:pt idx="83">
                  <c:v>6.64</c:v>
                </c:pt>
                <c:pt idx="84">
                  <c:v>6.72</c:v>
                </c:pt>
                <c:pt idx="85">
                  <c:v>6.8</c:v>
                </c:pt>
                <c:pt idx="86">
                  <c:v>6.88</c:v>
                </c:pt>
                <c:pt idx="87">
                  <c:v>6.96</c:v>
                </c:pt>
                <c:pt idx="88">
                  <c:v>7.04</c:v>
                </c:pt>
                <c:pt idx="89">
                  <c:v>7.12</c:v>
                </c:pt>
                <c:pt idx="90">
                  <c:v>7.2</c:v>
                </c:pt>
                <c:pt idx="91">
                  <c:v>7.28</c:v>
                </c:pt>
                <c:pt idx="92">
                  <c:v>7.36</c:v>
                </c:pt>
                <c:pt idx="93">
                  <c:v>7.44</c:v>
                </c:pt>
                <c:pt idx="94">
                  <c:v>7.52</c:v>
                </c:pt>
                <c:pt idx="95">
                  <c:v>7.6</c:v>
                </c:pt>
                <c:pt idx="96">
                  <c:v>7.68</c:v>
                </c:pt>
                <c:pt idx="97">
                  <c:v>7.76</c:v>
                </c:pt>
                <c:pt idx="98">
                  <c:v>7.84</c:v>
                </c:pt>
                <c:pt idx="99">
                  <c:v>7.92</c:v>
                </c:pt>
                <c:pt idx="100">
                  <c:v>8</c:v>
                </c:pt>
              </c:numCache>
            </c:numRef>
          </c:cat>
          <c:val>
            <c:numRef>
              <c:f>#REF!</c:f>
              <c:numCache>
                <c:formatCode>General</c:formatCode>
                <c:ptCount val="1"/>
                <c:pt idx="0">
                  <c:v>1</c:v>
                </c:pt>
              </c:numCache>
            </c:numRef>
          </c:val>
          <c:smooth val="0"/>
          <c:extLst>
            <c:ext xmlns:c16="http://schemas.microsoft.com/office/drawing/2014/chart" uri="{C3380CC4-5D6E-409C-BE32-E72D297353CC}">
              <c16:uniqueId val="{00000002-7A01-4C6E-8131-226BA8336B2F}"/>
            </c:ext>
          </c:extLst>
        </c:ser>
        <c:ser>
          <c:idx val="1"/>
          <c:order val="3"/>
          <c:tx>
            <c:strRef>
              <c:f>'Efficiency Calculations'!$BD$8</c:f>
              <c:strCache>
                <c:ptCount val="1"/>
                <c:pt idx="0">
                  <c:v>SYNC MOSFET Loss</c:v>
                </c:pt>
              </c:strCache>
            </c:strRef>
          </c:tx>
          <c:spPr>
            <a:ln w="38100">
              <a:solidFill>
                <a:srgbClr val="002060"/>
              </a:solidFill>
              <a:prstDash val="sysDot"/>
            </a:ln>
          </c:spPr>
          <c:marker>
            <c:symbol val="none"/>
          </c:marker>
          <c:cat>
            <c:numRef>
              <c:f>'Efficiency Calculations'!$K$9:$K$109</c:f>
              <c:numCache>
                <c:formatCode>0.000</c:formatCode>
                <c:ptCount val="101"/>
                <c:pt idx="0">
                  <c:v>0</c:v>
                </c:pt>
                <c:pt idx="1">
                  <c:v>0.08</c:v>
                </c:pt>
                <c:pt idx="2">
                  <c:v>0.16</c:v>
                </c:pt>
                <c:pt idx="3">
                  <c:v>0.24</c:v>
                </c:pt>
                <c:pt idx="4">
                  <c:v>0.32</c:v>
                </c:pt>
                <c:pt idx="5">
                  <c:v>0.4</c:v>
                </c:pt>
                <c:pt idx="6">
                  <c:v>0.48</c:v>
                </c:pt>
                <c:pt idx="7">
                  <c:v>0.56000000000000005</c:v>
                </c:pt>
                <c:pt idx="8">
                  <c:v>0.64</c:v>
                </c:pt>
                <c:pt idx="9">
                  <c:v>0.72</c:v>
                </c:pt>
                <c:pt idx="10">
                  <c:v>0.8</c:v>
                </c:pt>
                <c:pt idx="11">
                  <c:v>0.88</c:v>
                </c:pt>
                <c:pt idx="12">
                  <c:v>0.96</c:v>
                </c:pt>
                <c:pt idx="13">
                  <c:v>1.04</c:v>
                </c:pt>
                <c:pt idx="14">
                  <c:v>1.1200000000000001</c:v>
                </c:pt>
                <c:pt idx="15">
                  <c:v>1.2</c:v>
                </c:pt>
                <c:pt idx="16">
                  <c:v>1.28</c:v>
                </c:pt>
                <c:pt idx="17">
                  <c:v>1.36</c:v>
                </c:pt>
                <c:pt idx="18">
                  <c:v>1.44</c:v>
                </c:pt>
                <c:pt idx="19">
                  <c:v>1.52</c:v>
                </c:pt>
                <c:pt idx="20">
                  <c:v>1.6</c:v>
                </c:pt>
                <c:pt idx="21">
                  <c:v>1.68</c:v>
                </c:pt>
                <c:pt idx="22">
                  <c:v>1.76</c:v>
                </c:pt>
                <c:pt idx="23">
                  <c:v>1.84</c:v>
                </c:pt>
                <c:pt idx="24">
                  <c:v>1.92</c:v>
                </c:pt>
                <c:pt idx="25">
                  <c:v>2</c:v>
                </c:pt>
                <c:pt idx="26">
                  <c:v>2.08</c:v>
                </c:pt>
                <c:pt idx="27">
                  <c:v>2.16</c:v>
                </c:pt>
                <c:pt idx="28">
                  <c:v>2.2400000000000002</c:v>
                </c:pt>
                <c:pt idx="29">
                  <c:v>2.3199999999999998</c:v>
                </c:pt>
                <c:pt idx="30">
                  <c:v>2.4</c:v>
                </c:pt>
                <c:pt idx="31">
                  <c:v>2.48</c:v>
                </c:pt>
                <c:pt idx="32">
                  <c:v>2.56</c:v>
                </c:pt>
                <c:pt idx="33">
                  <c:v>2.64</c:v>
                </c:pt>
                <c:pt idx="34">
                  <c:v>2.72</c:v>
                </c:pt>
                <c:pt idx="35">
                  <c:v>2.8</c:v>
                </c:pt>
                <c:pt idx="36">
                  <c:v>2.88</c:v>
                </c:pt>
                <c:pt idx="37">
                  <c:v>2.96</c:v>
                </c:pt>
                <c:pt idx="38">
                  <c:v>3.04</c:v>
                </c:pt>
                <c:pt idx="39">
                  <c:v>3.12</c:v>
                </c:pt>
                <c:pt idx="40">
                  <c:v>3.2</c:v>
                </c:pt>
                <c:pt idx="41">
                  <c:v>3.28</c:v>
                </c:pt>
                <c:pt idx="42">
                  <c:v>3.36</c:v>
                </c:pt>
                <c:pt idx="43">
                  <c:v>3.44</c:v>
                </c:pt>
                <c:pt idx="44">
                  <c:v>3.52</c:v>
                </c:pt>
                <c:pt idx="45">
                  <c:v>3.6</c:v>
                </c:pt>
                <c:pt idx="46">
                  <c:v>3.68</c:v>
                </c:pt>
                <c:pt idx="47">
                  <c:v>3.76</c:v>
                </c:pt>
                <c:pt idx="48">
                  <c:v>3.84</c:v>
                </c:pt>
                <c:pt idx="49">
                  <c:v>3.92</c:v>
                </c:pt>
                <c:pt idx="50">
                  <c:v>4</c:v>
                </c:pt>
                <c:pt idx="51">
                  <c:v>4.08</c:v>
                </c:pt>
                <c:pt idx="52">
                  <c:v>4.16</c:v>
                </c:pt>
                <c:pt idx="53">
                  <c:v>4.24</c:v>
                </c:pt>
                <c:pt idx="54">
                  <c:v>4.32</c:v>
                </c:pt>
                <c:pt idx="55">
                  <c:v>4.4000000000000004</c:v>
                </c:pt>
                <c:pt idx="56">
                  <c:v>4.4800000000000004</c:v>
                </c:pt>
                <c:pt idx="57">
                  <c:v>4.5599999999999996</c:v>
                </c:pt>
                <c:pt idx="58">
                  <c:v>4.6399999999999997</c:v>
                </c:pt>
                <c:pt idx="59">
                  <c:v>4.72</c:v>
                </c:pt>
                <c:pt idx="60">
                  <c:v>4.8</c:v>
                </c:pt>
                <c:pt idx="61">
                  <c:v>4.88</c:v>
                </c:pt>
                <c:pt idx="62">
                  <c:v>4.96</c:v>
                </c:pt>
                <c:pt idx="63">
                  <c:v>5.04</c:v>
                </c:pt>
                <c:pt idx="64">
                  <c:v>5.12</c:v>
                </c:pt>
                <c:pt idx="65">
                  <c:v>5.2</c:v>
                </c:pt>
                <c:pt idx="66">
                  <c:v>5.28</c:v>
                </c:pt>
                <c:pt idx="67">
                  <c:v>5.36</c:v>
                </c:pt>
                <c:pt idx="68">
                  <c:v>5.44</c:v>
                </c:pt>
                <c:pt idx="69">
                  <c:v>5.52</c:v>
                </c:pt>
                <c:pt idx="70">
                  <c:v>5.6</c:v>
                </c:pt>
                <c:pt idx="71">
                  <c:v>5.68</c:v>
                </c:pt>
                <c:pt idx="72">
                  <c:v>5.76</c:v>
                </c:pt>
                <c:pt idx="73">
                  <c:v>5.84</c:v>
                </c:pt>
                <c:pt idx="74">
                  <c:v>5.92</c:v>
                </c:pt>
                <c:pt idx="75">
                  <c:v>6</c:v>
                </c:pt>
                <c:pt idx="76">
                  <c:v>6.08</c:v>
                </c:pt>
                <c:pt idx="77">
                  <c:v>6.16</c:v>
                </c:pt>
                <c:pt idx="78">
                  <c:v>6.24</c:v>
                </c:pt>
                <c:pt idx="79">
                  <c:v>6.32</c:v>
                </c:pt>
                <c:pt idx="80">
                  <c:v>6.4</c:v>
                </c:pt>
                <c:pt idx="81">
                  <c:v>6.48</c:v>
                </c:pt>
                <c:pt idx="82">
                  <c:v>6.56</c:v>
                </c:pt>
                <c:pt idx="83">
                  <c:v>6.64</c:v>
                </c:pt>
                <c:pt idx="84">
                  <c:v>6.72</c:v>
                </c:pt>
                <c:pt idx="85">
                  <c:v>6.8</c:v>
                </c:pt>
                <c:pt idx="86">
                  <c:v>6.88</c:v>
                </c:pt>
                <c:pt idx="87">
                  <c:v>6.96</c:v>
                </c:pt>
                <c:pt idx="88">
                  <c:v>7.04</c:v>
                </c:pt>
                <c:pt idx="89">
                  <c:v>7.12</c:v>
                </c:pt>
                <c:pt idx="90">
                  <c:v>7.2</c:v>
                </c:pt>
                <c:pt idx="91">
                  <c:v>7.28</c:v>
                </c:pt>
                <c:pt idx="92">
                  <c:v>7.36</c:v>
                </c:pt>
                <c:pt idx="93">
                  <c:v>7.44</c:v>
                </c:pt>
                <c:pt idx="94">
                  <c:v>7.52</c:v>
                </c:pt>
                <c:pt idx="95">
                  <c:v>7.6</c:v>
                </c:pt>
                <c:pt idx="96">
                  <c:v>7.68</c:v>
                </c:pt>
                <c:pt idx="97">
                  <c:v>7.76</c:v>
                </c:pt>
                <c:pt idx="98">
                  <c:v>7.84</c:v>
                </c:pt>
                <c:pt idx="99">
                  <c:v>7.92</c:v>
                </c:pt>
                <c:pt idx="100">
                  <c:v>8</c:v>
                </c:pt>
              </c:numCache>
            </c:numRef>
          </c:cat>
          <c:val>
            <c:numRef>
              <c:f>#REF!</c:f>
              <c:numCache>
                <c:formatCode>General</c:formatCode>
                <c:ptCount val="1"/>
                <c:pt idx="0">
                  <c:v>1</c:v>
                </c:pt>
              </c:numCache>
            </c:numRef>
          </c:val>
          <c:smooth val="0"/>
          <c:extLst>
            <c:ext xmlns:c16="http://schemas.microsoft.com/office/drawing/2014/chart" uri="{C3380CC4-5D6E-409C-BE32-E72D297353CC}">
              <c16:uniqueId val="{00000003-7A01-4C6E-8131-226BA8336B2F}"/>
            </c:ext>
          </c:extLst>
        </c:ser>
        <c:dLbls>
          <c:showLegendKey val="0"/>
          <c:showVal val="0"/>
          <c:showCatName val="0"/>
          <c:showSerName val="0"/>
          <c:showPercent val="0"/>
          <c:showBubbleSize val="0"/>
        </c:dLbls>
        <c:marker val="1"/>
        <c:smooth val="0"/>
        <c:axId val="334307328"/>
        <c:axId val="334301056"/>
      </c:lineChart>
      <c:catAx>
        <c:axId val="334288768"/>
        <c:scaling>
          <c:orientation val="minMax"/>
        </c:scaling>
        <c:delete val="0"/>
        <c:axPos val="b"/>
        <c:majorGridlines>
          <c:spPr>
            <a:ln w="15875">
              <a:solidFill>
                <a:srgbClr val="969696"/>
              </a:solidFill>
              <a:prstDash val="sysDash"/>
            </a:ln>
          </c:spPr>
        </c:majorGridlines>
        <c:title>
          <c:tx>
            <c:rich>
              <a:bodyPr/>
              <a:lstStyle/>
              <a:p>
                <a:pPr>
                  <a:defRPr sz="1300" b="1" i="0" u="none" strike="noStrike" baseline="0">
                    <a:solidFill>
                      <a:srgbClr val="0000FF"/>
                    </a:solidFill>
                    <a:latin typeface="Arial" pitchFamily="34" charset="0"/>
                    <a:ea typeface="Calibri"/>
                    <a:cs typeface="Arial" pitchFamily="34" charset="0"/>
                  </a:defRPr>
                </a:pPr>
                <a:r>
                  <a:rPr lang="en-US" sz="1300">
                    <a:solidFill>
                      <a:srgbClr val="0000FF"/>
                    </a:solidFill>
                    <a:latin typeface="Arial" pitchFamily="34" charset="0"/>
                    <a:cs typeface="Arial" pitchFamily="34" charset="0"/>
                  </a:rPr>
                  <a:t>Load Current (A)</a:t>
                </a:r>
              </a:p>
            </c:rich>
          </c:tx>
          <c:layout>
            <c:manualLayout>
              <c:xMode val="edge"/>
              <c:yMode val="edge"/>
              <c:x val="0.41625343343709942"/>
              <c:y val="0.94571913573731337"/>
            </c:manualLayout>
          </c:layout>
          <c:overlay val="0"/>
          <c:spPr>
            <a:noFill/>
            <a:ln w="25400">
              <a:noFill/>
            </a:ln>
          </c:spPr>
        </c:title>
        <c:numFmt formatCode="General" sourceLinked="0"/>
        <c:majorTickMark val="in"/>
        <c:minorTickMark val="in"/>
        <c:tickLblPos val="nextTo"/>
        <c:spPr>
          <a:ln w="3175">
            <a:solidFill>
              <a:srgbClr val="000000"/>
            </a:solidFill>
            <a:prstDash val="solid"/>
          </a:ln>
        </c:spPr>
        <c:txPr>
          <a:bodyPr rot="0" vert="horz"/>
          <a:lstStyle/>
          <a:p>
            <a:pPr>
              <a:defRPr sz="1100" b="1" i="0" u="none" strike="noStrike" baseline="0">
                <a:solidFill>
                  <a:srgbClr val="0000FF"/>
                </a:solidFill>
                <a:latin typeface="Arial" pitchFamily="34" charset="0"/>
                <a:ea typeface="Calibri"/>
                <a:cs typeface="Arial" pitchFamily="34" charset="0"/>
              </a:defRPr>
            </a:pPr>
            <a:endParaRPr lang="en-US"/>
          </a:p>
        </c:txPr>
        <c:crossAx val="334299136"/>
        <c:crosses val="autoZero"/>
        <c:auto val="1"/>
        <c:lblAlgn val="ctr"/>
        <c:lblOffset val="100"/>
        <c:tickLblSkip val="20"/>
        <c:tickMarkSkip val="20"/>
        <c:noMultiLvlLbl val="1"/>
      </c:catAx>
      <c:valAx>
        <c:axId val="334299136"/>
        <c:scaling>
          <c:orientation val="minMax"/>
          <c:max val="100"/>
          <c:min val="65"/>
        </c:scaling>
        <c:delete val="0"/>
        <c:axPos val="l"/>
        <c:majorGridlines>
          <c:spPr>
            <a:ln w="15875">
              <a:solidFill>
                <a:srgbClr val="808080"/>
              </a:solidFill>
              <a:prstDash val="solid"/>
            </a:ln>
          </c:spPr>
        </c:majorGridlines>
        <c:minorGridlines/>
        <c:title>
          <c:tx>
            <c:rich>
              <a:bodyPr/>
              <a:lstStyle/>
              <a:p>
                <a:pPr>
                  <a:defRPr sz="1300" b="1" i="0" u="none" strike="noStrike" baseline="0">
                    <a:solidFill>
                      <a:srgbClr val="FF0000"/>
                    </a:solidFill>
                    <a:latin typeface="Arial" pitchFamily="34" charset="0"/>
                    <a:ea typeface="Calibri"/>
                    <a:cs typeface="Arial" pitchFamily="34" charset="0"/>
                  </a:defRPr>
                </a:pPr>
                <a:r>
                  <a:rPr lang="en-US" sz="1300" b="1">
                    <a:solidFill>
                      <a:srgbClr val="FF0000"/>
                    </a:solidFill>
                    <a:latin typeface="Arial" pitchFamily="34" charset="0"/>
                    <a:cs typeface="Arial" pitchFamily="34" charset="0"/>
                  </a:rPr>
                  <a:t>Efficiency (%)</a:t>
                </a:r>
              </a:p>
            </c:rich>
          </c:tx>
          <c:layout>
            <c:manualLayout>
              <c:xMode val="edge"/>
              <c:yMode val="edge"/>
              <c:x val="1.2871858674081443E-2"/>
              <c:y val="0.37638177915688398"/>
            </c:manualLayout>
          </c:layout>
          <c:overlay val="0"/>
          <c:spPr>
            <a:noFill/>
            <a:ln w="25400">
              <a:noFill/>
            </a:ln>
          </c:spPr>
        </c:title>
        <c:numFmt formatCode="#,##0" sourceLinked="0"/>
        <c:majorTickMark val="out"/>
        <c:minorTickMark val="out"/>
        <c:tickLblPos val="nextTo"/>
        <c:spPr>
          <a:ln w="3175">
            <a:solidFill>
              <a:srgbClr val="000000"/>
            </a:solidFill>
            <a:prstDash val="solid"/>
          </a:ln>
        </c:spPr>
        <c:txPr>
          <a:bodyPr rot="0" vert="horz"/>
          <a:lstStyle/>
          <a:p>
            <a:pPr>
              <a:defRPr sz="1100" b="1" i="0" u="none" strike="noStrike" baseline="0">
                <a:solidFill>
                  <a:srgbClr val="FF0000"/>
                </a:solidFill>
                <a:latin typeface="Arial" pitchFamily="34" charset="0"/>
                <a:ea typeface="Calibri"/>
                <a:cs typeface="Arial" pitchFamily="34" charset="0"/>
              </a:defRPr>
            </a:pPr>
            <a:endParaRPr lang="en-US"/>
          </a:p>
        </c:txPr>
        <c:crossAx val="334288768"/>
        <c:crosses val="autoZero"/>
        <c:crossBetween val="between"/>
        <c:majorUnit val="5"/>
        <c:minorUnit val="2.5"/>
      </c:valAx>
      <c:valAx>
        <c:axId val="334301056"/>
        <c:scaling>
          <c:orientation val="minMax"/>
          <c:min val="0"/>
        </c:scaling>
        <c:delete val="0"/>
        <c:axPos val="r"/>
        <c:title>
          <c:tx>
            <c:rich>
              <a:bodyPr rot="-5400000" vert="horz"/>
              <a:lstStyle/>
              <a:p>
                <a:pPr>
                  <a:defRPr sz="1400" b="1"/>
                </a:pPr>
                <a:r>
                  <a:rPr lang="en-US" sz="1400" b="1"/>
                  <a:t>Power Loss (W)</a:t>
                </a:r>
              </a:p>
            </c:rich>
          </c:tx>
          <c:layout>
            <c:manualLayout>
              <c:xMode val="edge"/>
              <c:yMode val="edge"/>
              <c:x val="0.95594291793250197"/>
              <c:y val="0.37048873366731228"/>
            </c:manualLayout>
          </c:layout>
          <c:overlay val="0"/>
        </c:title>
        <c:numFmt formatCode="General" sourceLinked="0"/>
        <c:majorTickMark val="cross"/>
        <c:minorTickMark val="none"/>
        <c:tickLblPos val="nextTo"/>
        <c:txPr>
          <a:bodyPr/>
          <a:lstStyle/>
          <a:p>
            <a:pPr>
              <a:defRPr sz="1100" b="1">
                <a:solidFill>
                  <a:sysClr val="windowText" lastClr="000000"/>
                </a:solidFill>
              </a:defRPr>
            </a:pPr>
            <a:endParaRPr lang="en-US"/>
          </a:p>
        </c:txPr>
        <c:crossAx val="334307328"/>
        <c:crosses val="max"/>
        <c:crossBetween val="between"/>
      </c:valAx>
      <c:catAx>
        <c:axId val="334307328"/>
        <c:scaling>
          <c:orientation val="minMax"/>
        </c:scaling>
        <c:delete val="1"/>
        <c:axPos val="b"/>
        <c:numFmt formatCode="0.000" sourceLinked="1"/>
        <c:majorTickMark val="out"/>
        <c:minorTickMark val="none"/>
        <c:tickLblPos val="nextTo"/>
        <c:crossAx val="334301056"/>
        <c:crosses val="autoZero"/>
        <c:auto val="1"/>
        <c:lblAlgn val="ctr"/>
        <c:lblOffset val="100"/>
        <c:noMultiLvlLbl val="0"/>
      </c:catAx>
      <c:spPr>
        <a:noFill/>
        <a:ln w="25400">
          <a:noFill/>
        </a:ln>
      </c:spPr>
    </c:plotArea>
    <c:legend>
      <c:legendPos val="t"/>
      <c:layout>
        <c:manualLayout>
          <c:xMode val="edge"/>
          <c:yMode val="edge"/>
          <c:x val="0.36120408747265326"/>
          <c:y val="1.1892626175886978E-2"/>
          <c:w val="0.55790801648035493"/>
          <c:h val="9.0576560908423698E-2"/>
        </c:manualLayout>
      </c:layout>
      <c:overlay val="0"/>
      <c:spPr>
        <a:solidFill>
          <a:srgbClr val="FFFFFF"/>
        </a:solidFill>
        <a:ln w="25400">
          <a:noFill/>
        </a:ln>
      </c:spPr>
      <c:txPr>
        <a:bodyPr/>
        <a:lstStyle/>
        <a:p>
          <a:pPr>
            <a:defRPr sz="1200" b="0" i="0" u="none" strike="noStrike" baseline="0">
              <a:solidFill>
                <a:srgbClr val="000000"/>
              </a:solidFill>
              <a:latin typeface="Arial" pitchFamily="34" charset="0"/>
              <a:ea typeface="Calibri"/>
              <a:cs typeface="Arial" pitchFamily="34" charset="0"/>
            </a:defRPr>
          </a:pPr>
          <a:endParaRPr lang="en-US"/>
        </a:p>
      </c:txPr>
    </c:legend>
    <c:plotVisOnly val="1"/>
    <c:dispBlanksAs val="gap"/>
    <c:showDLblsOverMax val="0"/>
  </c:chart>
  <c:spPr>
    <a:noFill/>
    <a:ln w="9525">
      <a:noFill/>
    </a:ln>
  </c:spPr>
  <c:txPr>
    <a:bodyPr/>
    <a:lstStyle/>
    <a:p>
      <a:pPr>
        <a:defRPr sz="850" b="0" i="0" u="none" strike="noStrike" baseline="0">
          <a:solidFill>
            <a:srgbClr val="000000"/>
          </a:solidFill>
          <a:latin typeface="Arial"/>
          <a:ea typeface="Arial"/>
          <a:cs typeface="Arial"/>
        </a:defRPr>
      </a:pPr>
      <a:endParaRPr lang="en-US"/>
    </a:p>
  </c:txPr>
  <c:printSettings>
    <c:headerFooter alignWithMargins="0"/>
    <c:pageMargins b="1" l="0.75000000000000666" r="0.75000000000000666" t="1" header="0.5" footer="0.5"/>
    <c:pageSetup paperSize="5" orientation="portrait"/>
  </c:printSettings>
</c:chartSpace>
</file>

<file path=xl/ctrlProps/ctrlProp1.xml><?xml version="1.0" encoding="utf-8"?>
<formControlPr xmlns="http://schemas.microsoft.com/office/spreadsheetml/2009/9/main" objectType="Drop" dropStyle="combo" dx="22" fmlaRange="$1:$1048576" noThreeD="1" sel="0" val="0"/>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Spin" dx="16" fmlaLink="$E$63" inc="2" max="120" min="5" page="10" val="40"/>
</file>

<file path=xl/ctrlProps/ctrlProp5.xml><?xml version="1.0" encoding="utf-8"?>
<formControlPr xmlns="http://schemas.microsoft.com/office/spreadsheetml/2009/9/main" objectType="Spin" dx="16" fmlaLink="$E$7" max="58" page="10" val="12"/>
</file>

<file path=xl/ctrlProps/ctrlProp6.xml><?xml version="1.0" encoding="utf-8"?>
<formControlPr xmlns="http://schemas.microsoft.com/office/spreadsheetml/2009/9/main" objectType="Drop" dropLines="2" dropStyle="combo" dx="16" fmlaLink="'Variable Management'!$O$10" fmlaRange="'Variable Management'!$N$8:$N$9" noThreeD="1" sel="1" val="0"/>
</file>

<file path=xl/ctrlProps/ctrlProp7.xml><?xml version="1.0" encoding="utf-8"?>
<formControlPr xmlns="http://schemas.microsoft.com/office/spreadsheetml/2009/9/main" objectType="Drop" dropLines="2" dropStyle="combo" dx="16" fmlaLink="'Variable Management'!$X$10" fmlaRange="'Variable Management'!$W$8:$W$9" noThreeD="1" sel="1" val="0"/>
</file>

<file path=xl/ctrlProps/ctrlProp8.xml><?xml version="1.0" encoding="utf-8"?>
<formControlPr xmlns="http://schemas.microsoft.com/office/spreadsheetml/2009/9/main" objectType="Drop" dropLines="2" dropStyle="combo" dx="16" fmlaLink="'Variable Management'!$X$15" fmlaRange="'Variable Management'!$W$13:$W$14" noThreeD="1" sel="1" val="0"/>
</file>

<file path=xl/ctrlProps/ctrlProp9.xml><?xml version="1.0" encoding="utf-8"?>
<formControlPr xmlns="http://schemas.microsoft.com/office/spreadsheetml/2009/9/main" objectType="Drop" dropLines="2" dropStyle="combo" dx="16" fmlaLink="'Variable Management'!$AA$21" fmlaRange="'Variable Management'!$Z$19:$Z$20" noThreeD="1" sel="2" val="0"/>
</file>

<file path=xl/ctrlProps/ctrlProp10.xml><?xml version="1.0" encoding="utf-8"?>
<formControlPr xmlns="http://schemas.microsoft.com/office/spreadsheetml/2009/9/main" objectType="Drop" dropLines="2" dropStyle="combo" dx="16" fmlaLink="'Variable Management'!$AA$27" fmlaRange="'Variable Management'!$Z$25:$Z$26" noThreeD="1" sel="1" val="0"/>
</file>

<file path=xl/ctrlProps/ctrlProp11.xml><?xml version="1.0" encoding="utf-8"?>
<formControlPr xmlns="http://schemas.microsoft.com/office/spreadsheetml/2009/9/main" objectType="Drop" dropLines="4" dropStyle="combo" dx="16" fmlaLink="'Variable Management'!$Q$29" fmlaRange="'Variable Management'!$P$25:$P$28" noThreeD="1" sel="1" val="0"/>
</file>

<file path=xl/ctrlProps/ctrlProp12.xml><?xml version="1.0" encoding="utf-8"?>
<formControlPr xmlns="http://schemas.microsoft.com/office/spreadsheetml/2009/9/main" objectType="Drop" dropLines="2" dropStyle="combo" dx="16" fmlaLink="'Variable Management'!$L$10" fmlaRange="'Variable Management'!$K$8:$K$9" noThreeD="1" sel="1" val="0"/>
</file>

<file path=xl/ctrlProps/ctrlProp13.xml><?xml version="1.0" encoding="utf-8"?>
<formControlPr xmlns="http://schemas.microsoft.com/office/spreadsheetml/2009/9/main" objectType="Drop" dropLines="5" dropStyle="combo" dx="16" fmlaLink="'Variable Management'!$U$12" fmlaRange="'Variable Management'!$T$8:$T$11" noThreeD="1" sel="1" val="0"/>
</file>

<file path=xl/ctrlProps/ctrlProp14.xml><?xml version="1.0" encoding="utf-8"?>
<formControlPr xmlns="http://schemas.microsoft.com/office/spreadsheetml/2009/9/main" objectType="Drop" dropLines="2" dropStyle="combo" dx="16" fmlaLink="'Variable Management'!$AA$10" fmlaRange="'Variable Management'!$Z$8:$Z$9" noThreeD="1" sel="1" val="0"/>
</file>

<file path=xl/ctrlProps/ctrlProp15.xml><?xml version="1.0" encoding="utf-8"?>
<formControlPr xmlns="http://schemas.microsoft.com/office/spreadsheetml/2009/9/main" objectType="Drop" dropLines="3" dropStyle="combo" dx="16" fmlaLink="'Variable Management'!$X$28" fmlaRange="'Variable Management'!$W$25:$W$26" noThreeD="1" sel="1" val="0"/>
</file>

<file path=xl/drawings/_rels/drawing1.xml.rels><?xml version="1.0" encoding="UTF-8" standalone="yes"?>
<Relationships xmlns="http://schemas.openxmlformats.org/package/2006/relationships"><Relationship Id="rId8" Type="http://schemas.openxmlformats.org/officeDocument/2006/relationships/image" Target="../media/image6.jpg"/><Relationship Id="rId3" Type="http://schemas.openxmlformats.org/officeDocument/2006/relationships/image" Target="../media/image3.emf"/><Relationship Id="rId7" Type="http://schemas.openxmlformats.org/officeDocument/2006/relationships/image" Target="../media/image5.jpg"/><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hyperlink" Target="http://www.ti.com/power" TargetMode="External"/><Relationship Id="rId5" Type="http://schemas.openxmlformats.org/officeDocument/2006/relationships/image" Target="../media/image4.png"/><Relationship Id="rId4" Type="http://schemas.openxmlformats.org/officeDocument/2006/relationships/hyperlink" Target="http://www.ti.com/product/lm5148-q1"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13.emf"/><Relationship Id="rId2" Type="http://schemas.openxmlformats.org/officeDocument/2006/relationships/image" Target="../media/image6.jpg"/><Relationship Id="rId1" Type="http://schemas.openxmlformats.org/officeDocument/2006/relationships/hyperlink" Target="http://www.ti.com/widevin"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6.jpg"/><Relationship Id="rId1" Type="http://schemas.openxmlformats.org/officeDocument/2006/relationships/hyperlink" Target="http://www.ti.com/widevin" TargetMode="External"/></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2" Type="http://schemas.openxmlformats.org/officeDocument/2006/relationships/image" Target="../media/image24.jpg"/><Relationship Id="rId1" Type="http://schemas.openxmlformats.org/officeDocument/2006/relationships/image" Target="../media/image23.png"/></Relationships>
</file>

<file path=xl/drawings/_rels/drawing7.xml.rels><?xml version="1.0" encoding="UTF-8" standalone="yes"?>
<Relationships xmlns="http://schemas.openxmlformats.org/package/2006/relationships"><Relationship Id="rId3" Type="http://schemas.openxmlformats.org/officeDocument/2006/relationships/image" Target="../media/image27.emf"/><Relationship Id="rId2" Type="http://schemas.openxmlformats.org/officeDocument/2006/relationships/image" Target="../media/image26.emf"/><Relationship Id="rId1" Type="http://schemas.openxmlformats.org/officeDocument/2006/relationships/image" Target="../media/image25.emf"/><Relationship Id="rId4" Type="http://schemas.openxmlformats.org/officeDocument/2006/relationships/image" Target="../media/image28.emf"/></Relationships>
</file>

<file path=xl/drawings/_rels/drawing8.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0.jpeg"/></Relationships>
</file>

<file path=xl/drawings/_rels/vmlDrawing3.vml.rels><?xml version="1.0" encoding="UTF-8" standalone="yes"?>
<Relationships xmlns="http://schemas.openxmlformats.org/package/2006/relationships"><Relationship Id="rId3" Type="http://schemas.openxmlformats.org/officeDocument/2006/relationships/image" Target="../media/image14.emf"/><Relationship Id="rId2" Type="http://schemas.openxmlformats.org/officeDocument/2006/relationships/image" Target="../media/image12.emf"/><Relationship Id="rId1" Type="http://schemas.openxmlformats.org/officeDocument/2006/relationships/image" Target="../media/image11.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19.emf"/><Relationship Id="rId2" Type="http://schemas.openxmlformats.org/officeDocument/2006/relationships/image" Target="../media/image18.emf"/><Relationship Id="rId1" Type="http://schemas.openxmlformats.org/officeDocument/2006/relationships/image" Target="../media/image17.emf"/><Relationship Id="rId6" Type="http://schemas.openxmlformats.org/officeDocument/2006/relationships/image" Target="../media/image22.emf"/><Relationship Id="rId5" Type="http://schemas.openxmlformats.org/officeDocument/2006/relationships/image" Target="../media/image21.emf"/><Relationship Id="rId4"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323850</xdr:colOff>
          <xdr:row>70</xdr:row>
          <xdr:rowOff>76200</xdr:rowOff>
        </xdr:from>
        <xdr:to>
          <xdr:col>2</xdr:col>
          <xdr:colOff>895350</xdr:colOff>
          <xdr:row>72</xdr:row>
          <xdr:rowOff>133350</xdr:rowOff>
        </xdr:to>
        <xdr:sp macro="" textlink="">
          <xdr:nvSpPr>
            <xdr:cNvPr id="673260" name="Button 492" hidden="1">
              <a:extLst>
                <a:ext uri="{63B3BB69-23CF-44E3-9099-C40C66FF867C}">
                  <a14:compatExt spid="_x0000_s673260"/>
                </a:ext>
                <a:ext uri="{FF2B5EF4-FFF2-40B4-BE49-F238E27FC236}">
                  <a16:creationId xmlns:a16="http://schemas.microsoft.com/office/drawing/2014/main" id="{00000000-0008-0000-0000-0000EC450A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900" b="1" i="0" u="none" strike="noStrike" baseline="0">
                  <a:solidFill>
                    <a:srgbClr val="000000"/>
                  </a:solidFill>
                  <a:latin typeface="Arial"/>
                  <a:cs typeface="Arial"/>
                </a:rPr>
                <a:t>RESET VALUES</a:t>
              </a:r>
            </a:p>
          </xdr:txBody>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xdr:from>
          <xdr:col>2</xdr:col>
          <xdr:colOff>323850</xdr:colOff>
          <xdr:row>70</xdr:row>
          <xdr:rowOff>76200</xdr:rowOff>
        </xdr:from>
        <xdr:to>
          <xdr:col>2</xdr:col>
          <xdr:colOff>895350</xdr:colOff>
          <xdr:row>72</xdr:row>
          <xdr:rowOff>133350</xdr:rowOff>
        </xdr:to>
        <xdr:sp macro="" textlink="">
          <xdr:nvSpPr>
            <xdr:cNvPr id="673288" name="Button 520" hidden="1">
              <a:extLst>
                <a:ext uri="{63B3BB69-23CF-44E3-9099-C40C66FF867C}">
                  <a14:compatExt spid="_x0000_s673288"/>
                </a:ext>
                <a:ext uri="{FF2B5EF4-FFF2-40B4-BE49-F238E27FC236}">
                  <a16:creationId xmlns:a16="http://schemas.microsoft.com/office/drawing/2014/main" id="{00000000-0008-0000-0000-000008460A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900" b="1" i="0" u="none" strike="noStrike" baseline="0">
                  <a:solidFill>
                    <a:srgbClr val="000000"/>
                  </a:solidFill>
                  <a:latin typeface="Arial"/>
                  <a:cs typeface="Arial"/>
                </a:rPr>
                <a:t>FIX</a:t>
              </a:r>
            </a:p>
            <a:p>
              <a:pPr algn="ctr" rtl="0">
                <a:defRPr sz="1000"/>
              </a:pPr>
              <a:r>
                <a:rPr lang="en-US" sz="900" b="1" i="0" u="none" strike="noStrike" baseline="0">
                  <a:solidFill>
                    <a:srgbClr val="000000"/>
                  </a:solidFill>
                  <a:latin typeface="Arial"/>
                  <a:cs typeface="Arial"/>
                </a:rPr>
                <a:t>VALUES</a:t>
              </a:r>
            </a:p>
          </xdr:txBody>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5476875</xdr:colOff>
          <xdr:row>0</xdr:row>
          <xdr:rowOff>171450</xdr:rowOff>
        </xdr:from>
        <xdr:to>
          <xdr:col>15</xdr:col>
          <xdr:colOff>5857875</xdr:colOff>
          <xdr:row>0</xdr:row>
          <xdr:rowOff>419100</xdr:rowOff>
        </xdr:to>
        <xdr:sp macro="" textlink="">
          <xdr:nvSpPr>
            <xdr:cNvPr id="809785" name="Drop Down 7993" hidden="1">
              <a:extLst>
                <a:ext uri="{63B3BB69-23CF-44E3-9099-C40C66FF867C}">
                  <a14:compatExt spid="_x0000_s809785"/>
                </a:ext>
                <a:ext uri="{FF2B5EF4-FFF2-40B4-BE49-F238E27FC236}">
                  <a16:creationId xmlns:a16="http://schemas.microsoft.com/office/drawing/2014/main" id="{00000000-0008-0000-0000-0000395B0C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7</xdr:col>
          <xdr:colOff>228877</xdr:colOff>
          <xdr:row>42</xdr:row>
          <xdr:rowOff>16188</xdr:rowOff>
        </xdr:from>
        <xdr:to>
          <xdr:col>15</xdr:col>
          <xdr:colOff>3999951</xdr:colOff>
          <xdr:row>70</xdr:row>
          <xdr:rowOff>163416</xdr:rowOff>
        </xdr:to>
        <xdr:pic>
          <xdr:nvPicPr>
            <xdr:cNvPr id="22" name="Picture 1174">
              <a:extLst>
                <a:ext uri="{FF2B5EF4-FFF2-40B4-BE49-F238E27FC236}">
                  <a16:creationId xmlns:a16="http://schemas.microsoft.com/office/drawing/2014/main" id="{00000000-0008-0000-0000-000016000000}"/>
                </a:ext>
              </a:extLst>
            </xdr:cNvPr>
            <xdr:cNvPicPr>
              <a:picLocks noChangeAspect="1" noChangeArrowheads="1"/>
              <a:extLst>
                <a:ext uri="{84589F7E-364E-4C9E-8A38-B11213B215E9}">
                  <a14:cameraTool cellRange="PICTURE3" spid="_x0000_s843575"/>
                </a:ext>
              </a:extLst>
            </xdr:cNvPicPr>
          </xdr:nvPicPr>
          <xdr:blipFill>
            <a:blip xmlns:r="http://schemas.openxmlformats.org/officeDocument/2006/relationships" r:embed="rId1"/>
            <a:srcRect/>
            <a:stretch>
              <a:fillRect/>
            </a:stretch>
          </xdr:blipFill>
          <xdr:spPr bwMode="auto">
            <a:xfrm>
              <a:off x="4938037" y="8268648"/>
              <a:ext cx="8617394" cy="539740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1587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editAs="absolute">
        <xdr:from>
          <xdr:col>9</xdr:col>
          <xdr:colOff>270920</xdr:colOff>
          <xdr:row>76</xdr:row>
          <xdr:rowOff>124506</xdr:rowOff>
        </xdr:from>
        <xdr:to>
          <xdr:col>15</xdr:col>
          <xdr:colOff>5414862</xdr:colOff>
          <xdr:row>105</xdr:row>
          <xdr:rowOff>65295</xdr:rowOff>
        </xdr:to>
        <xdr:pic>
          <xdr:nvPicPr>
            <xdr:cNvPr id="685206" name="Picture 1174">
              <a:extLst>
                <a:ext uri="{FF2B5EF4-FFF2-40B4-BE49-F238E27FC236}">
                  <a16:creationId xmlns:a16="http://schemas.microsoft.com/office/drawing/2014/main" id="{00000000-0008-0000-0000-000096740A00}"/>
                </a:ext>
              </a:extLst>
            </xdr:cNvPr>
            <xdr:cNvPicPr>
              <a:picLocks noChangeAspect="1" noChangeArrowheads="1"/>
              <a:extLst>
                <a:ext uri="{84589F7E-364E-4C9E-8A38-B11213B215E9}">
                  <a14:cameraTool cellRange="PICTURE" spid="_x0000_s843576"/>
                </a:ext>
              </a:extLst>
            </xdr:cNvPicPr>
          </xdr:nvPicPr>
          <xdr:blipFill>
            <a:blip xmlns:r="http://schemas.openxmlformats.org/officeDocument/2006/relationships" r:embed="rId2"/>
            <a:srcRect/>
            <a:stretch>
              <a:fillRect/>
            </a:stretch>
          </xdr:blipFill>
          <xdr:spPr bwMode="auto">
            <a:xfrm>
              <a:off x="5891791" y="14943165"/>
              <a:ext cx="9088412" cy="541822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15875">
                  <a:solidFill>
                    <a:srgbClr val="000000"/>
                  </a:solidFill>
                  <a:miter lim="800000"/>
                  <a:headEnd/>
                  <a:tailEnd/>
                </a14:hiddenLine>
              </a:ext>
            </a:extLst>
          </xdr:spPr>
        </xdr:pic>
        <xdr:clientData/>
      </xdr:twoCellAnchor>
    </mc:Choice>
    <mc:Fallback/>
  </mc:AlternateContent>
  <xdr:twoCellAnchor>
    <xdr:from>
      <xdr:col>9</xdr:col>
      <xdr:colOff>265485</xdr:colOff>
      <xdr:row>63</xdr:row>
      <xdr:rowOff>155416</xdr:rowOff>
    </xdr:from>
    <xdr:to>
      <xdr:col>12</xdr:col>
      <xdr:colOff>496584</xdr:colOff>
      <xdr:row>65</xdr:row>
      <xdr:rowOff>40450</xdr:rowOff>
    </xdr:to>
    <xdr:sp macro="" textlink="'Variable Management'!A424">
      <xdr:nvSpPr>
        <xdr:cNvPr id="2071" name="Text Box 23">
          <a:extLst>
            <a:ext uri="{FF2B5EF4-FFF2-40B4-BE49-F238E27FC236}">
              <a16:creationId xmlns:a16="http://schemas.microsoft.com/office/drawing/2014/main" id="{00000000-0008-0000-0000-000017080000}"/>
            </a:ext>
          </a:extLst>
        </xdr:cNvPr>
        <xdr:cNvSpPr txBox="1">
          <a:spLocks noChangeArrowheads="1" noTextEdit="1"/>
        </xdr:cNvSpPr>
      </xdr:nvSpPr>
      <xdr:spPr bwMode="auto">
        <a:xfrm>
          <a:off x="5848867" y="12472107"/>
          <a:ext cx="2226153" cy="272961"/>
        </a:xfrm>
        <a:prstGeom prst="rect">
          <a:avLst/>
        </a:prstGeom>
        <a:solidFill>
          <a:schemeClr val="bg1"/>
        </a:solidFill>
        <a:ln w="9525">
          <a:noFill/>
          <a:miter lim="800000"/>
          <a:headEnd/>
          <a:tailEnd/>
        </a:ln>
      </xdr:spPr>
      <xdr:txBody>
        <a:bodyPr vertOverflow="clip" wrap="square" lIns="27432" tIns="22860" rIns="0" bIns="22860" anchor="ctr" upright="1"/>
        <a:lstStyle/>
        <a:p>
          <a:pPr algn="l" rtl="0">
            <a:defRPr sz="1000"/>
          </a:pPr>
          <a:fld id="{10952A97-D9C5-44B7-89A3-65441574648A}" type="TxLink">
            <a:rPr lang="en-US" sz="1100" b="1" i="0" u="none" strike="noStrike" baseline="0">
              <a:solidFill>
                <a:srgbClr val="FF0000"/>
              </a:solidFill>
              <a:latin typeface="Arial"/>
              <a:cs typeface="Arial"/>
            </a:rPr>
            <a:pPr algn="l" rtl="0">
              <a:defRPr sz="1000"/>
            </a:pPr>
            <a:t>Crossover frequency = 39kHz</a:t>
          </a:fld>
          <a:endParaRPr lang="en-US" sz="1100" b="1" i="0" u="none" strike="noStrike" baseline="0">
            <a:solidFill>
              <a:srgbClr val="FF0000"/>
            </a:solidFill>
            <a:latin typeface="Arial"/>
            <a:cs typeface="Arial"/>
          </a:endParaRPr>
        </a:p>
      </xdr:txBody>
    </xdr:sp>
    <xdr:clientData/>
  </xdr:twoCellAnchor>
  <xdr:twoCellAnchor>
    <xdr:from>
      <xdr:col>9</xdr:col>
      <xdr:colOff>278598</xdr:colOff>
      <xdr:row>65</xdr:row>
      <xdr:rowOff>8066</xdr:rowOff>
    </xdr:from>
    <xdr:to>
      <xdr:col>11</xdr:col>
      <xdr:colOff>547251</xdr:colOff>
      <xdr:row>66</xdr:row>
      <xdr:rowOff>113718</xdr:rowOff>
    </xdr:to>
    <xdr:sp macro="" textlink="'Variable Management'!A425">
      <xdr:nvSpPr>
        <xdr:cNvPr id="2072" name="Text Box 24">
          <a:extLst>
            <a:ext uri="{FF2B5EF4-FFF2-40B4-BE49-F238E27FC236}">
              <a16:creationId xmlns:a16="http://schemas.microsoft.com/office/drawing/2014/main" id="{00000000-0008-0000-0000-000018080000}"/>
            </a:ext>
          </a:extLst>
        </xdr:cNvPr>
        <xdr:cNvSpPr txBox="1">
          <a:spLocks noChangeArrowheads="1" noTextEdit="1"/>
        </xdr:cNvSpPr>
      </xdr:nvSpPr>
      <xdr:spPr bwMode="auto">
        <a:xfrm>
          <a:off x="5861980" y="12712684"/>
          <a:ext cx="1640253" cy="299616"/>
        </a:xfrm>
        <a:prstGeom prst="rect">
          <a:avLst/>
        </a:prstGeom>
        <a:solidFill>
          <a:schemeClr val="bg1"/>
        </a:solidFill>
        <a:ln w="9525">
          <a:noFill/>
          <a:miter lim="800000"/>
          <a:headEnd/>
          <a:tailEnd/>
        </a:ln>
      </xdr:spPr>
      <xdr:txBody>
        <a:bodyPr vertOverflow="clip" wrap="square" lIns="27432" tIns="22860" rIns="0" bIns="22860" anchor="ctr" upright="1"/>
        <a:lstStyle/>
        <a:p>
          <a:pPr algn="l" rtl="0">
            <a:defRPr sz="1000"/>
          </a:pPr>
          <a:fld id="{95DD25AA-EC3B-4C80-B80E-8DC148525216}" type="TxLink">
            <a:rPr lang="en-US" sz="1100" b="1" i="0" u="none" strike="noStrike" baseline="0">
              <a:solidFill>
                <a:srgbClr val="002060"/>
              </a:solidFill>
              <a:latin typeface="Arial"/>
              <a:cs typeface="Arial"/>
            </a:rPr>
            <a:pPr algn="l" rtl="0">
              <a:defRPr sz="1000"/>
            </a:pPr>
            <a:t>Phase margin = 70°</a:t>
          </a:fld>
          <a:endParaRPr lang="en-US" sz="1100" b="1" i="0" u="none" strike="noStrike" baseline="0">
            <a:solidFill>
              <a:srgbClr val="00206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xdr:from>
          <xdr:col>5</xdr:col>
          <xdr:colOff>19050</xdr:colOff>
          <xdr:row>62</xdr:row>
          <xdr:rowOff>0</xdr:rowOff>
        </xdr:from>
        <xdr:to>
          <xdr:col>5</xdr:col>
          <xdr:colOff>180975</xdr:colOff>
          <xdr:row>62</xdr:row>
          <xdr:rowOff>180975</xdr:rowOff>
        </xdr:to>
        <xdr:sp macro="" textlink="">
          <xdr:nvSpPr>
            <xdr:cNvPr id="672829" name="Spinner 61" hidden="1">
              <a:extLst>
                <a:ext uri="{63B3BB69-23CF-44E3-9099-C40C66FF867C}">
                  <a14:compatExt spid="_x0000_s672829"/>
                </a:ext>
                <a:ext uri="{FF2B5EF4-FFF2-40B4-BE49-F238E27FC236}">
                  <a16:creationId xmlns:a16="http://schemas.microsoft.com/office/drawing/2014/main" id="{00000000-0008-0000-0000-00003D440A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133350</xdr:colOff>
          <xdr:row>6</xdr:row>
          <xdr:rowOff>19050</xdr:rowOff>
        </xdr:from>
        <xdr:to>
          <xdr:col>5</xdr:col>
          <xdr:colOff>304800</xdr:colOff>
          <xdr:row>7</xdr:row>
          <xdr:rowOff>19050</xdr:rowOff>
        </xdr:to>
        <xdr:sp macro="" textlink="">
          <xdr:nvSpPr>
            <xdr:cNvPr id="672895" name="Spinner 127" hidden="1">
              <a:extLst>
                <a:ext uri="{63B3BB69-23CF-44E3-9099-C40C66FF867C}">
                  <a14:compatExt spid="_x0000_s672895"/>
                </a:ext>
                <a:ext uri="{FF2B5EF4-FFF2-40B4-BE49-F238E27FC236}">
                  <a16:creationId xmlns:a16="http://schemas.microsoft.com/office/drawing/2014/main" id="{00000000-0008-0000-0000-00007F440A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142875</xdr:colOff>
          <xdr:row>50</xdr:row>
          <xdr:rowOff>57150</xdr:rowOff>
        </xdr:from>
        <xdr:to>
          <xdr:col>3</xdr:col>
          <xdr:colOff>447675</xdr:colOff>
          <xdr:row>51</xdr:row>
          <xdr:rowOff>133350</xdr:rowOff>
        </xdr:to>
        <xdr:sp macro="" textlink="">
          <xdr:nvSpPr>
            <xdr:cNvPr id="673029" name="Drop Down 261" hidden="1">
              <a:extLst>
                <a:ext uri="{63B3BB69-23CF-44E3-9099-C40C66FF867C}">
                  <a14:compatExt spid="_x0000_s673029"/>
                </a:ext>
                <a:ext uri="{FF2B5EF4-FFF2-40B4-BE49-F238E27FC236}">
                  <a16:creationId xmlns:a16="http://schemas.microsoft.com/office/drawing/2014/main" id="{00000000-0008-0000-0000-000005450A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7</xdr:col>
          <xdr:colOff>233354</xdr:colOff>
          <xdr:row>5</xdr:row>
          <xdr:rowOff>3569</xdr:rowOff>
        </xdr:from>
        <xdr:to>
          <xdr:col>15</xdr:col>
          <xdr:colOff>4080910</xdr:colOff>
          <xdr:row>30</xdr:row>
          <xdr:rowOff>80952</xdr:rowOff>
        </xdr:to>
        <xdr:pic>
          <xdr:nvPicPr>
            <xdr:cNvPr id="685207" name="Picture 1175">
              <a:extLst>
                <a:ext uri="{FF2B5EF4-FFF2-40B4-BE49-F238E27FC236}">
                  <a16:creationId xmlns:a16="http://schemas.microsoft.com/office/drawing/2014/main" id="{00000000-0008-0000-0000-000097740A00}"/>
                </a:ext>
              </a:extLst>
            </xdr:cNvPr>
            <xdr:cNvPicPr>
              <a:picLocks noChangeAspect="1" noChangeArrowheads="1"/>
              <a:extLst>
                <a:ext uri="{84589F7E-364E-4C9E-8A38-B11213B215E9}">
                  <a14:cameraTool cellRange="PICTURE2" spid="_x0000_s843577"/>
                </a:ext>
              </a:extLst>
            </xdr:cNvPicPr>
          </xdr:nvPicPr>
          <xdr:blipFill>
            <a:blip xmlns:r="http://schemas.openxmlformats.org/officeDocument/2006/relationships" r:embed="rId3"/>
            <a:srcRect/>
            <a:stretch>
              <a:fillRect/>
            </a:stretch>
          </xdr:blipFill>
          <xdr:spPr bwMode="auto">
            <a:xfrm>
              <a:off x="4823283" y="1411028"/>
              <a:ext cx="8580921" cy="4909359"/>
            </a:xfrm>
            <a:prstGeom prst="rect">
              <a:avLst/>
            </a:prstGeom>
            <a:noFill/>
            <a:ln w="15875">
              <a:noFill/>
              <a:miter lim="800000"/>
              <a:headEnd/>
              <a:tailEnd/>
            </a:ln>
            <a:extLst>
              <a:ext uri="{909E8E84-426E-40DD-AFC4-6F175D3DCCD1}">
                <a14:hiddenFill>
                  <a:solidFill>
                    <a:srgbClr val="FFFFFF" mc:Ignorable="a14" a14:legacySpreadsheetColorIndex="65"/>
                  </a:solidFill>
                </a14:hiddenFill>
              </a:ext>
            </a:extLst>
          </xdr:spPr>
        </xdr:pic>
        <xdr:clientData/>
      </xdr:twoCellAnchor>
    </mc:Choice>
    <mc:Fallback/>
  </mc:AlternateContent>
  <xdr:twoCellAnchor editAs="oneCell">
    <xdr:from>
      <xdr:col>15</xdr:col>
      <xdr:colOff>3485611</xdr:colOff>
      <xdr:row>32</xdr:row>
      <xdr:rowOff>34869</xdr:rowOff>
    </xdr:from>
    <xdr:to>
      <xdr:col>15</xdr:col>
      <xdr:colOff>5756269</xdr:colOff>
      <xdr:row>40</xdr:row>
      <xdr:rowOff>80277</xdr:rowOff>
    </xdr:to>
    <xdr:pic>
      <xdr:nvPicPr>
        <xdr:cNvPr id="3" name="Picture 2">
          <a:hlinkClick xmlns:r="http://schemas.openxmlformats.org/officeDocument/2006/relationships" r:id="rId4"/>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792897" y="6424783"/>
          <a:ext cx="2274468" cy="1466266"/>
        </a:xfrm>
        <a:prstGeom prst="rect">
          <a:avLst/>
        </a:prstGeom>
      </xdr:spPr>
    </xdr:pic>
    <xdr:clientData/>
  </xdr:twoCellAnchor>
  <xdr:twoCellAnchor editAs="oneCell">
    <xdr:from>
      <xdr:col>15</xdr:col>
      <xdr:colOff>4051935</xdr:colOff>
      <xdr:row>0</xdr:row>
      <xdr:rowOff>0</xdr:rowOff>
    </xdr:from>
    <xdr:to>
      <xdr:col>16</xdr:col>
      <xdr:colOff>1904</xdr:colOff>
      <xdr:row>4</xdr:row>
      <xdr:rowOff>34290</xdr:rowOff>
    </xdr:to>
    <xdr:pic>
      <xdr:nvPicPr>
        <xdr:cNvPr id="4" name="Picture 3">
          <a:hlinkClick xmlns:r="http://schemas.openxmlformats.org/officeDocument/2006/relationships" r:id="rId6"/>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357860" y="0"/>
          <a:ext cx="1882139" cy="1158240"/>
        </a:xfrm>
        <a:prstGeom prst="rect">
          <a:avLst/>
        </a:prstGeom>
      </xdr:spPr>
    </xdr:pic>
    <xdr:clientData/>
  </xdr:twoCellAnchor>
  <xdr:twoCellAnchor editAs="oneCell">
    <xdr:from>
      <xdr:col>0</xdr:col>
      <xdr:colOff>9525</xdr:colOff>
      <xdr:row>0</xdr:row>
      <xdr:rowOff>9525</xdr:rowOff>
    </xdr:from>
    <xdr:to>
      <xdr:col>3</xdr:col>
      <xdr:colOff>148590</xdr:colOff>
      <xdr:row>1</xdr:row>
      <xdr:rowOff>3463</xdr:rowOff>
    </xdr:to>
    <xdr:pic>
      <xdr:nvPicPr>
        <xdr:cNvPr id="6" name="Picture 5">
          <a:hlinkClick xmlns:r="http://schemas.openxmlformats.org/officeDocument/2006/relationships" r:id="rId4"/>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525" y="9525"/>
          <a:ext cx="2143125" cy="584488"/>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4</xdr:col>
          <xdr:colOff>66675</xdr:colOff>
          <xdr:row>50</xdr:row>
          <xdr:rowOff>57150</xdr:rowOff>
        </xdr:from>
        <xdr:to>
          <xdr:col>5</xdr:col>
          <xdr:colOff>333375</xdr:colOff>
          <xdr:row>51</xdr:row>
          <xdr:rowOff>133350</xdr:rowOff>
        </xdr:to>
        <xdr:sp macro="" textlink="">
          <xdr:nvSpPr>
            <xdr:cNvPr id="685442" name="Drop Down 1410" hidden="1">
              <a:extLst>
                <a:ext uri="{63B3BB69-23CF-44E3-9099-C40C66FF867C}">
                  <a14:compatExt spid="_x0000_s685442"/>
                </a:ext>
                <a:ext uri="{FF2B5EF4-FFF2-40B4-BE49-F238E27FC236}">
                  <a16:creationId xmlns:a16="http://schemas.microsoft.com/office/drawing/2014/main" id="{00000000-0008-0000-0000-000082750A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15</xdr:col>
      <xdr:colOff>3493770</xdr:colOff>
      <xdr:row>79</xdr:row>
      <xdr:rowOff>156999</xdr:rowOff>
    </xdr:from>
    <xdr:to>
      <xdr:col>15</xdr:col>
      <xdr:colOff>3915713</xdr:colOff>
      <xdr:row>81</xdr:row>
      <xdr:rowOff>29364</xdr:rowOff>
    </xdr:to>
    <xdr:sp macro="" textlink="'Variable Management'!$B$428">
      <xdr:nvSpPr>
        <xdr:cNvPr id="23" name="Text Box 24">
          <a:extLst>
            <a:ext uri="{FF2B5EF4-FFF2-40B4-BE49-F238E27FC236}">
              <a16:creationId xmlns:a16="http://schemas.microsoft.com/office/drawing/2014/main" id="{00000000-0008-0000-0000-000017000000}"/>
            </a:ext>
          </a:extLst>
        </xdr:cNvPr>
        <xdr:cNvSpPr txBox="1">
          <a:spLocks noChangeArrowheads="1" noTextEdit="1"/>
        </xdr:cNvSpPr>
      </xdr:nvSpPr>
      <xdr:spPr bwMode="auto">
        <a:xfrm>
          <a:off x="13034010" y="15137919"/>
          <a:ext cx="421943" cy="230505"/>
        </a:xfrm>
        <a:prstGeom prst="rect">
          <a:avLst/>
        </a:prstGeom>
        <a:noFill/>
        <a:ln w="9525">
          <a:noFill/>
          <a:miter lim="800000"/>
          <a:headEnd/>
          <a:tailEnd/>
        </a:ln>
      </xdr:spPr>
      <xdr:txBody>
        <a:bodyPr wrap="square" lIns="27432" tIns="22860" rIns="0" bIns="22860" anchor="b"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fld id="{1F0AFB1C-0795-4024-9821-D34D86340D40}" type="TxLink">
            <a:rPr lang="en-US" sz="1000" b="0" i="0" u="none" strike="noStrike" baseline="0">
              <a:solidFill>
                <a:srgbClr val="000000"/>
              </a:solidFill>
              <a:latin typeface="Arial"/>
              <a:cs typeface="Arial"/>
            </a:rPr>
            <a:pPr algn="l" rtl="0">
              <a:defRPr sz="1000"/>
            </a:pPr>
            <a:t>88.2%</a:t>
          </a:fld>
          <a:endParaRPr lang="en-US" sz="900" b="1" i="0" u="none" strike="noStrike" baseline="0">
            <a:solidFill>
              <a:srgbClr val="000000"/>
            </a:solidFill>
            <a:latin typeface="Arial" pitchFamily="34" charset="0"/>
            <a:cs typeface="Arial" pitchFamily="34" charset="0"/>
          </a:endParaRPr>
        </a:p>
      </xdr:txBody>
    </xdr:sp>
    <xdr:clientData/>
  </xdr:twoCellAnchor>
  <xdr:twoCellAnchor>
    <xdr:from>
      <xdr:col>15</xdr:col>
      <xdr:colOff>411480</xdr:colOff>
      <xdr:row>79</xdr:row>
      <xdr:rowOff>162714</xdr:rowOff>
    </xdr:from>
    <xdr:to>
      <xdr:col>15</xdr:col>
      <xdr:colOff>833423</xdr:colOff>
      <xdr:row>81</xdr:row>
      <xdr:rowOff>35079</xdr:rowOff>
    </xdr:to>
    <xdr:sp macro="" textlink="'Variable Management'!$B$429">
      <xdr:nvSpPr>
        <xdr:cNvPr id="24" name="Text Box 24">
          <a:extLst>
            <a:ext uri="{FF2B5EF4-FFF2-40B4-BE49-F238E27FC236}">
              <a16:creationId xmlns:a16="http://schemas.microsoft.com/office/drawing/2014/main" id="{00000000-0008-0000-0000-000018000000}"/>
            </a:ext>
          </a:extLst>
        </xdr:cNvPr>
        <xdr:cNvSpPr txBox="1">
          <a:spLocks noChangeArrowheads="1" noTextEdit="1"/>
        </xdr:cNvSpPr>
      </xdr:nvSpPr>
      <xdr:spPr bwMode="auto">
        <a:xfrm>
          <a:off x="9951720" y="15143634"/>
          <a:ext cx="421943" cy="230505"/>
        </a:xfrm>
        <a:prstGeom prst="rect">
          <a:avLst/>
        </a:prstGeom>
        <a:noFill/>
        <a:ln w="9525">
          <a:noFill/>
          <a:miter lim="800000"/>
          <a:headEnd/>
          <a:tailEnd/>
        </a:ln>
      </xdr:spPr>
      <xdr:txBody>
        <a:bodyPr wrap="square" lIns="27432" tIns="22860" rIns="0" bIns="22860" anchor="b"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fld id="{93B0AF30-6523-4122-9521-75B00DB91745}" type="TxLink">
            <a:rPr lang="en-US" sz="1000" b="0" i="0" u="none" strike="noStrike" baseline="0">
              <a:solidFill>
                <a:srgbClr val="000000"/>
              </a:solidFill>
              <a:latin typeface="Arial"/>
              <a:cs typeface="Arial"/>
            </a:rPr>
            <a:pPr algn="l" rtl="0">
              <a:defRPr sz="1000"/>
            </a:pPr>
            <a:t>86.9%</a:t>
          </a:fld>
          <a:endParaRPr lang="en-US" sz="900" b="1" i="0" u="none" strike="noStrike" baseline="0">
            <a:solidFill>
              <a:srgbClr val="000000"/>
            </a:solidFill>
            <a:latin typeface="Arial" pitchFamily="34" charset="0"/>
            <a:cs typeface="Arial"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0</xdr:col>
          <xdr:colOff>19050</xdr:colOff>
          <xdr:row>101</xdr:row>
          <xdr:rowOff>0</xdr:rowOff>
        </xdr:from>
        <xdr:to>
          <xdr:col>2</xdr:col>
          <xdr:colOff>19050</xdr:colOff>
          <xdr:row>102</xdr:row>
          <xdr:rowOff>0</xdr:rowOff>
        </xdr:to>
        <xdr:sp macro="" textlink="">
          <xdr:nvSpPr>
            <xdr:cNvPr id="685906" name="Drop Down 1874" hidden="1">
              <a:extLst>
                <a:ext uri="{63B3BB69-23CF-44E3-9099-C40C66FF867C}">
                  <a14:compatExt spid="_x0000_s685906"/>
                </a:ext>
                <a:ext uri="{FF2B5EF4-FFF2-40B4-BE49-F238E27FC236}">
                  <a16:creationId xmlns:a16="http://schemas.microsoft.com/office/drawing/2014/main" id="{00000000-0008-0000-0000-000052770A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absolute">
    <xdr:from>
      <xdr:col>10</xdr:col>
      <xdr:colOff>808966</xdr:colOff>
      <xdr:row>25</xdr:row>
      <xdr:rowOff>102425</xdr:rowOff>
    </xdr:from>
    <xdr:to>
      <xdr:col>11</xdr:col>
      <xdr:colOff>409761</xdr:colOff>
      <xdr:row>27</xdr:row>
      <xdr:rowOff>18374</xdr:rowOff>
    </xdr:to>
    <xdr:sp macro="" textlink="'Variable Management'!B409">
      <xdr:nvSpPr>
        <xdr:cNvPr id="36" name="Text Box 262">
          <a:extLst>
            <a:ext uri="{FF2B5EF4-FFF2-40B4-BE49-F238E27FC236}">
              <a16:creationId xmlns:a16="http://schemas.microsoft.com/office/drawing/2014/main" id="{00000000-0008-0000-0000-000024000000}"/>
            </a:ext>
          </a:extLst>
        </xdr:cNvPr>
        <xdr:cNvSpPr txBox="1">
          <a:spLocks noChangeArrowheads="1" noTextEdit="1"/>
        </xdr:cNvSpPr>
      </xdr:nvSpPr>
      <xdr:spPr bwMode="auto">
        <a:xfrm>
          <a:off x="6957518" y="5252494"/>
          <a:ext cx="452133" cy="252280"/>
        </a:xfrm>
        <a:prstGeom prst="rect">
          <a:avLst/>
        </a:prstGeom>
        <a:noFill/>
        <a:ln w="9525">
          <a:noFill/>
          <a:miter lim="800000"/>
          <a:headEnd/>
          <a:tailEnd/>
        </a:ln>
      </xdr:spPr>
      <xdr:txBody>
        <a:bodyPr vertOverflow="clip" wrap="square" lIns="27432" tIns="22860" rIns="0" bIns="0" anchor="ctr" upright="1"/>
        <a:lstStyle/>
        <a:p>
          <a:pPr algn="l" rtl="0">
            <a:defRPr sz="1000"/>
          </a:pPr>
          <a:fld id="{2D8520E2-C481-4B17-83BA-3FA209B7A03A}" type="TxLink">
            <a:rPr lang="en-US" sz="1000" b="0" i="0" u="none" strike="noStrike" baseline="0">
              <a:solidFill>
                <a:srgbClr val="000000"/>
              </a:solidFill>
              <a:latin typeface="Arial" pitchFamily="34" charset="0"/>
              <a:cs typeface="Arial" pitchFamily="34" charset="0"/>
            </a:rPr>
            <a:pPr algn="l" rtl="0">
              <a:defRPr sz="1000"/>
            </a:pPr>
            <a:t>N/A</a:t>
          </a:fld>
          <a:endParaRPr lang="en-US" sz="1000" b="0" i="0" u="none" strike="noStrike" baseline="0">
            <a:solidFill>
              <a:srgbClr val="000000"/>
            </a:solidFill>
            <a:latin typeface="Arial" pitchFamily="34" charset="0"/>
            <a:cs typeface="Arial" pitchFamily="34" charset="0"/>
          </a:endParaRPr>
        </a:p>
      </xdr:txBody>
    </xdr:sp>
    <xdr:clientData/>
  </xdr:twoCellAnchor>
  <xdr:twoCellAnchor editAs="absolute">
    <xdr:from>
      <xdr:col>9</xdr:col>
      <xdr:colOff>291960</xdr:colOff>
      <xdr:row>24</xdr:row>
      <xdr:rowOff>126514</xdr:rowOff>
    </xdr:from>
    <xdr:to>
      <xdr:col>10</xdr:col>
      <xdr:colOff>407471</xdr:colOff>
      <xdr:row>25</xdr:row>
      <xdr:rowOff>138242</xdr:rowOff>
    </xdr:to>
    <xdr:sp macro="" textlink="'Variable Management'!B407">
      <xdr:nvSpPr>
        <xdr:cNvPr id="37" name="Text Box 263">
          <a:extLst>
            <a:ext uri="{FF2B5EF4-FFF2-40B4-BE49-F238E27FC236}">
              <a16:creationId xmlns:a16="http://schemas.microsoft.com/office/drawing/2014/main" id="{00000000-0008-0000-0000-000025000000}"/>
            </a:ext>
          </a:extLst>
        </xdr:cNvPr>
        <xdr:cNvSpPr txBox="1">
          <a:spLocks noChangeArrowheads="1" noTextEdit="1"/>
        </xdr:cNvSpPr>
      </xdr:nvSpPr>
      <xdr:spPr bwMode="auto">
        <a:xfrm>
          <a:off x="5920250" y="5034845"/>
          <a:ext cx="635773" cy="253466"/>
        </a:xfrm>
        <a:prstGeom prst="rect">
          <a:avLst/>
        </a:prstGeom>
        <a:noFill/>
        <a:ln w="9525">
          <a:noFill/>
          <a:miter lim="800000"/>
          <a:headEnd/>
          <a:tailEnd/>
        </a:ln>
      </xdr:spPr>
      <xdr:txBody>
        <a:bodyPr vertOverflow="clip" wrap="square" lIns="27432" tIns="22860" rIns="0" bIns="0" anchor="t" upright="1"/>
        <a:lstStyle/>
        <a:p>
          <a:pPr algn="ctr" rtl="0">
            <a:defRPr sz="1000"/>
          </a:pPr>
          <a:fld id="{EDB14F34-7391-4353-9626-FAE030CE211F}" type="TxLink">
            <a:rPr lang="en-US" sz="1000" b="0" i="0" u="none" strike="noStrike" baseline="0">
              <a:solidFill>
                <a:srgbClr val="000000"/>
              </a:solidFill>
              <a:latin typeface="Arial" pitchFamily="34" charset="0"/>
              <a:cs typeface="Arial" pitchFamily="34" charset="0"/>
            </a:rPr>
            <a:pPr algn="ctr" rtl="0">
              <a:defRPr sz="1000"/>
            </a:pPr>
            <a:t>12.1kΩ</a:t>
          </a:fld>
          <a:endParaRPr lang="el-GR" sz="1000" b="0" i="0" u="none" strike="noStrike" baseline="0">
            <a:solidFill>
              <a:srgbClr val="000000"/>
            </a:solidFill>
            <a:latin typeface="Arial" pitchFamily="34" charset="0"/>
            <a:cs typeface="Arial" pitchFamily="34" charset="0"/>
          </a:endParaRPr>
        </a:p>
      </xdr:txBody>
    </xdr:sp>
    <xdr:clientData/>
  </xdr:twoCellAnchor>
  <xdr:twoCellAnchor editAs="absolute">
    <xdr:from>
      <xdr:col>15</xdr:col>
      <xdr:colOff>3133628</xdr:colOff>
      <xdr:row>15</xdr:row>
      <xdr:rowOff>59531</xdr:rowOff>
    </xdr:from>
    <xdr:to>
      <xdr:col>15</xdr:col>
      <xdr:colOff>3629712</xdr:colOff>
      <xdr:row>16</xdr:row>
      <xdr:rowOff>98231</xdr:rowOff>
    </xdr:to>
    <xdr:sp macro="" textlink="'Variable Management'!B397">
      <xdr:nvSpPr>
        <xdr:cNvPr id="39" name="Text Box 267">
          <a:extLst>
            <a:ext uri="{FF2B5EF4-FFF2-40B4-BE49-F238E27FC236}">
              <a16:creationId xmlns:a16="http://schemas.microsoft.com/office/drawing/2014/main" id="{00000000-0008-0000-0000-000027000000}"/>
            </a:ext>
          </a:extLst>
        </xdr:cNvPr>
        <xdr:cNvSpPr txBox="1">
          <a:spLocks noChangeArrowheads="1" noTextEdit="1"/>
        </xdr:cNvSpPr>
      </xdr:nvSpPr>
      <xdr:spPr bwMode="auto">
        <a:xfrm>
          <a:off x="12705520" y="3347854"/>
          <a:ext cx="496084" cy="232131"/>
        </a:xfrm>
        <a:prstGeom prst="rect">
          <a:avLst/>
        </a:prstGeom>
        <a:noFill/>
        <a:ln w="9525">
          <a:noFill/>
          <a:miter lim="800000"/>
          <a:headEnd/>
          <a:tailEnd/>
        </a:ln>
      </xdr:spPr>
      <xdr:txBody>
        <a:bodyPr vertOverflow="clip" wrap="square" lIns="27432" tIns="22860" rIns="0" bIns="0" anchor="ctr" upright="1"/>
        <a:lstStyle/>
        <a:p>
          <a:pPr algn="ctr" rtl="0">
            <a:defRPr sz="1000"/>
          </a:pPr>
          <a:fld id="{DEF62FD0-959B-4627-B7E8-61CA1688D174}" type="TxLink">
            <a:rPr lang="en-US" sz="1000" b="0" i="0" u="none" strike="noStrike" baseline="0">
              <a:solidFill>
                <a:srgbClr val="000000"/>
              </a:solidFill>
              <a:latin typeface="Arial" pitchFamily="34" charset="0"/>
              <a:cs typeface="Arial" pitchFamily="34" charset="0"/>
            </a:rPr>
            <a:pPr algn="ctr" rtl="0">
              <a:defRPr sz="1000"/>
            </a:pPr>
            <a:t>200µF</a:t>
          </a:fld>
          <a:endParaRPr lang="en-US" sz="1000" b="0" i="0" u="none" strike="noStrike" baseline="0">
            <a:solidFill>
              <a:srgbClr val="000000"/>
            </a:solidFill>
            <a:latin typeface="Arial" pitchFamily="34" charset="0"/>
            <a:cs typeface="Arial" pitchFamily="34" charset="0"/>
          </a:endParaRPr>
        </a:p>
      </xdr:txBody>
    </xdr:sp>
    <xdr:clientData/>
  </xdr:twoCellAnchor>
  <xdr:twoCellAnchor editAs="absolute">
    <xdr:from>
      <xdr:col>15</xdr:col>
      <xdr:colOff>1837592</xdr:colOff>
      <xdr:row>14</xdr:row>
      <xdr:rowOff>17964</xdr:rowOff>
    </xdr:from>
    <xdr:to>
      <xdr:col>15</xdr:col>
      <xdr:colOff>2333341</xdr:colOff>
      <xdr:row>14</xdr:row>
      <xdr:rowOff>241555</xdr:rowOff>
    </xdr:to>
    <xdr:sp macro="" textlink="'Variable Management'!B379">
      <xdr:nvSpPr>
        <xdr:cNvPr id="40" name="Text Box 275">
          <a:extLst>
            <a:ext uri="{FF2B5EF4-FFF2-40B4-BE49-F238E27FC236}">
              <a16:creationId xmlns:a16="http://schemas.microsoft.com/office/drawing/2014/main" id="{00000000-0008-0000-0000-000028000000}"/>
            </a:ext>
          </a:extLst>
        </xdr:cNvPr>
        <xdr:cNvSpPr txBox="1">
          <a:spLocks noChangeArrowheads="1" noTextEdit="1"/>
        </xdr:cNvSpPr>
      </xdr:nvSpPr>
      <xdr:spPr bwMode="auto">
        <a:xfrm>
          <a:off x="11409484" y="3054241"/>
          <a:ext cx="495749" cy="223591"/>
        </a:xfrm>
        <a:prstGeom prst="rect">
          <a:avLst/>
        </a:prstGeom>
        <a:noFill/>
        <a:ln w="9525">
          <a:noFill/>
          <a:miter lim="800000"/>
          <a:headEnd/>
          <a:tailEnd/>
        </a:ln>
      </xdr:spPr>
      <xdr:txBody>
        <a:bodyPr vertOverflow="clip" wrap="square" lIns="27432" tIns="22860" rIns="0" bIns="0" anchor="ctr" upright="1"/>
        <a:lstStyle/>
        <a:p>
          <a:pPr algn="ctr" rtl="0">
            <a:defRPr sz="1000"/>
          </a:pPr>
          <a:fld id="{08583DE7-3129-476B-98BE-2887A134E956}" type="TxLink">
            <a:rPr lang="en-US" sz="1000" b="0" i="0" u="none" strike="noStrike" baseline="0">
              <a:solidFill>
                <a:srgbClr val="000000"/>
              </a:solidFill>
              <a:latin typeface="Arial" pitchFamily="34" charset="0"/>
              <a:cs typeface="Arial" pitchFamily="34" charset="0"/>
            </a:rPr>
            <a:pPr algn="ctr" rtl="0">
              <a:defRPr sz="1000"/>
            </a:pPr>
            <a:t>2.2µH</a:t>
          </a:fld>
          <a:endParaRPr lang="en-US" sz="1000" b="0" i="0" u="none" strike="noStrike" baseline="0">
            <a:solidFill>
              <a:srgbClr val="000000"/>
            </a:solidFill>
            <a:latin typeface="Arial" pitchFamily="34" charset="0"/>
            <a:cs typeface="Arial" pitchFamily="34" charset="0"/>
          </a:endParaRPr>
        </a:p>
      </xdr:txBody>
    </xdr:sp>
    <xdr:clientData/>
  </xdr:twoCellAnchor>
  <xdr:twoCellAnchor editAs="absolute">
    <xdr:from>
      <xdr:col>15</xdr:col>
      <xdr:colOff>2067626</xdr:colOff>
      <xdr:row>8</xdr:row>
      <xdr:rowOff>50997</xdr:rowOff>
    </xdr:from>
    <xdr:to>
      <xdr:col>15</xdr:col>
      <xdr:colOff>2561649</xdr:colOff>
      <xdr:row>9</xdr:row>
      <xdr:rowOff>136349</xdr:rowOff>
    </xdr:to>
    <xdr:sp macro="" textlink="'Variable Management'!B401">
      <xdr:nvSpPr>
        <xdr:cNvPr id="41" name="Text Box 276">
          <a:extLst>
            <a:ext uri="{FF2B5EF4-FFF2-40B4-BE49-F238E27FC236}">
              <a16:creationId xmlns:a16="http://schemas.microsoft.com/office/drawing/2014/main" id="{00000000-0008-0000-0000-000029000000}"/>
            </a:ext>
          </a:extLst>
        </xdr:cNvPr>
        <xdr:cNvSpPr txBox="1">
          <a:spLocks noChangeArrowheads="1" noTextEdit="1"/>
        </xdr:cNvSpPr>
      </xdr:nvSpPr>
      <xdr:spPr bwMode="auto">
        <a:xfrm>
          <a:off x="11639518" y="1985305"/>
          <a:ext cx="494023" cy="255336"/>
        </a:xfrm>
        <a:prstGeom prst="rect">
          <a:avLst/>
        </a:prstGeom>
        <a:noFill/>
        <a:ln w="9525">
          <a:noFill/>
          <a:miter lim="800000"/>
          <a:headEnd/>
          <a:tailEnd/>
        </a:ln>
      </xdr:spPr>
      <xdr:txBody>
        <a:bodyPr vertOverflow="clip" wrap="square" lIns="27432" tIns="22860" rIns="0" bIns="0" anchor="ctr" upright="1"/>
        <a:lstStyle/>
        <a:p>
          <a:pPr algn="ctr" rtl="0">
            <a:defRPr sz="1000"/>
          </a:pPr>
          <a:fld id="{7E8F3901-1453-4951-8E28-510E65401D4C}" type="TxLink">
            <a:rPr lang="en-US" sz="1000" b="0" i="0" u="none" strike="noStrike" baseline="0">
              <a:solidFill>
                <a:srgbClr val="000000"/>
              </a:solidFill>
              <a:latin typeface="Arial" pitchFamily="34" charset="0"/>
              <a:cs typeface="Arial" pitchFamily="34" charset="0"/>
            </a:rPr>
            <a:pPr algn="ctr" rtl="0">
              <a:defRPr sz="1000"/>
            </a:pPr>
            <a:t>30µF</a:t>
          </a:fld>
          <a:endParaRPr lang="en-US" sz="1000" b="0" i="0" u="none" strike="noStrike" baseline="0">
            <a:solidFill>
              <a:srgbClr val="000000"/>
            </a:solidFill>
            <a:latin typeface="Arial" pitchFamily="34" charset="0"/>
            <a:cs typeface="Arial" pitchFamily="34" charset="0"/>
          </a:endParaRPr>
        </a:p>
      </xdr:txBody>
    </xdr:sp>
    <xdr:clientData/>
  </xdr:twoCellAnchor>
  <xdr:twoCellAnchor editAs="absolute">
    <xdr:from>
      <xdr:col>15</xdr:col>
      <xdr:colOff>3227835</xdr:colOff>
      <xdr:row>11</xdr:row>
      <xdr:rowOff>48221</xdr:rowOff>
    </xdr:from>
    <xdr:to>
      <xdr:col>15</xdr:col>
      <xdr:colOff>3838088</xdr:colOff>
      <xdr:row>12</xdr:row>
      <xdr:rowOff>153978</xdr:rowOff>
    </xdr:to>
    <xdr:sp macro="" textlink="'Variable Management'!B395">
      <xdr:nvSpPr>
        <xdr:cNvPr id="43" name="Text Box 285">
          <a:extLst>
            <a:ext uri="{FF2B5EF4-FFF2-40B4-BE49-F238E27FC236}">
              <a16:creationId xmlns:a16="http://schemas.microsoft.com/office/drawing/2014/main" id="{00000000-0008-0000-0000-00002B000000}"/>
            </a:ext>
          </a:extLst>
        </xdr:cNvPr>
        <xdr:cNvSpPr txBox="1">
          <a:spLocks noChangeArrowheads="1" noTextEdit="1"/>
        </xdr:cNvSpPr>
      </xdr:nvSpPr>
      <xdr:spPr bwMode="auto">
        <a:xfrm>
          <a:off x="12799727" y="2492483"/>
          <a:ext cx="610253" cy="275741"/>
        </a:xfrm>
        <a:prstGeom prst="rect">
          <a:avLst/>
        </a:prstGeom>
        <a:noFill/>
        <a:ln w="9525">
          <a:noFill/>
          <a:miter lim="800000"/>
          <a:headEnd/>
          <a:tailEnd/>
        </a:ln>
      </xdr:spPr>
      <xdr:txBody>
        <a:bodyPr vertOverflow="clip" wrap="square" lIns="27432" tIns="22860" rIns="0" bIns="0" anchor="ctr" upright="1"/>
        <a:lstStyle/>
        <a:p>
          <a:pPr algn="l" rtl="0">
            <a:defRPr sz="1000"/>
          </a:pPr>
          <a:fld id="{702C2B8A-7C4B-4FDB-B229-3170089D9686}" type="TxLink">
            <a:rPr lang="en-US" sz="1100" b="1" i="0" u="none" strike="noStrike" baseline="0">
              <a:solidFill>
                <a:srgbClr val="FF0000"/>
              </a:solidFill>
              <a:latin typeface="Arial" pitchFamily="34" charset="0"/>
              <a:cs typeface="Arial" pitchFamily="34" charset="0"/>
            </a:rPr>
            <a:pPr algn="l" rtl="0">
              <a:defRPr sz="1000"/>
            </a:pPr>
            <a:t>5V</a:t>
          </a:fld>
          <a:endParaRPr lang="en-US" sz="1100" b="1" i="0" u="none" strike="noStrike" baseline="0">
            <a:solidFill>
              <a:srgbClr val="FF0000"/>
            </a:solidFill>
            <a:latin typeface="Arial" pitchFamily="34" charset="0"/>
            <a:cs typeface="Arial" pitchFamily="34" charset="0"/>
          </a:endParaRPr>
        </a:p>
      </xdr:txBody>
    </xdr:sp>
    <xdr:clientData/>
  </xdr:twoCellAnchor>
  <xdr:twoCellAnchor editAs="absolute">
    <xdr:from>
      <xdr:col>15</xdr:col>
      <xdr:colOff>3225429</xdr:colOff>
      <xdr:row>12</xdr:row>
      <xdr:rowOff>124573</xdr:rowOff>
    </xdr:from>
    <xdr:to>
      <xdr:col>15</xdr:col>
      <xdr:colOff>3643985</xdr:colOff>
      <xdr:row>13</xdr:row>
      <xdr:rowOff>162140</xdr:rowOff>
    </xdr:to>
    <xdr:sp macro="" textlink="'Variable Management'!B448">
      <xdr:nvSpPr>
        <xdr:cNvPr id="44" name="Text Box 286">
          <a:extLst>
            <a:ext uri="{FF2B5EF4-FFF2-40B4-BE49-F238E27FC236}">
              <a16:creationId xmlns:a16="http://schemas.microsoft.com/office/drawing/2014/main" id="{00000000-0008-0000-0000-00002C000000}"/>
            </a:ext>
          </a:extLst>
        </xdr:cNvPr>
        <xdr:cNvSpPr txBox="1">
          <a:spLocks noChangeArrowheads="1" noTextEdit="1"/>
        </xdr:cNvSpPr>
      </xdr:nvSpPr>
      <xdr:spPr bwMode="auto">
        <a:xfrm>
          <a:off x="12797321" y="2738819"/>
          <a:ext cx="418556" cy="248583"/>
        </a:xfrm>
        <a:prstGeom prst="rect">
          <a:avLst/>
        </a:prstGeom>
        <a:noFill/>
        <a:ln w="9525">
          <a:noFill/>
          <a:miter lim="800000"/>
          <a:headEnd/>
          <a:tailEnd/>
        </a:ln>
      </xdr:spPr>
      <xdr:txBody>
        <a:bodyPr vertOverflow="clip" wrap="square" lIns="27432" tIns="22860" rIns="0" bIns="0" anchor="t" upright="1"/>
        <a:lstStyle/>
        <a:p>
          <a:pPr algn="l" rtl="0">
            <a:defRPr sz="1000"/>
          </a:pPr>
          <a:fld id="{E0FB88FA-F39E-4ACF-AB5E-DCB628763AAE}" type="TxLink">
            <a:rPr lang="en-US" sz="1100" b="1" i="0" u="none" strike="noStrike">
              <a:solidFill>
                <a:srgbClr val="FF0000"/>
              </a:solidFill>
              <a:latin typeface="Arial" pitchFamily="34" charset="0"/>
              <a:cs typeface="Arial" pitchFamily="34" charset="0"/>
            </a:rPr>
            <a:pPr algn="l" rtl="0">
              <a:defRPr sz="1000"/>
            </a:pPr>
            <a:t>8A</a:t>
          </a:fld>
          <a:endParaRPr lang="en-US" sz="1100" b="1" i="0" strike="noStrike">
            <a:solidFill>
              <a:srgbClr val="FF0000"/>
            </a:solidFill>
            <a:latin typeface="Arial" pitchFamily="34" charset="0"/>
            <a:cs typeface="Arial" pitchFamily="34" charset="0"/>
          </a:endParaRPr>
        </a:p>
      </xdr:txBody>
    </xdr:sp>
    <xdr:clientData/>
  </xdr:twoCellAnchor>
  <xdr:twoCellAnchor editAs="absolute">
    <xdr:from>
      <xdr:col>15</xdr:col>
      <xdr:colOff>2372103</xdr:colOff>
      <xdr:row>12</xdr:row>
      <xdr:rowOff>173205</xdr:rowOff>
    </xdr:from>
    <xdr:to>
      <xdr:col>15</xdr:col>
      <xdr:colOff>2828283</xdr:colOff>
      <xdr:row>13</xdr:row>
      <xdr:rowOff>204628</xdr:rowOff>
    </xdr:to>
    <xdr:sp macro="" textlink="'Variable Management'!B381">
      <xdr:nvSpPr>
        <xdr:cNvPr id="49" name="Text Box 275">
          <a:extLst>
            <a:ext uri="{FF2B5EF4-FFF2-40B4-BE49-F238E27FC236}">
              <a16:creationId xmlns:a16="http://schemas.microsoft.com/office/drawing/2014/main" id="{00000000-0008-0000-0000-000031000000}"/>
            </a:ext>
          </a:extLst>
        </xdr:cNvPr>
        <xdr:cNvSpPr txBox="1">
          <a:spLocks noChangeArrowheads="1" noTextEdit="1"/>
        </xdr:cNvSpPr>
      </xdr:nvSpPr>
      <xdr:spPr bwMode="auto">
        <a:xfrm>
          <a:off x="11943995" y="2787451"/>
          <a:ext cx="456180" cy="242439"/>
        </a:xfrm>
        <a:prstGeom prst="rect">
          <a:avLst/>
        </a:prstGeom>
        <a:noFill/>
        <a:ln w="9525">
          <a:noFill/>
          <a:miter lim="800000"/>
          <a:headEnd/>
          <a:tailEnd/>
        </a:ln>
      </xdr:spPr>
      <xdr:txBody>
        <a:bodyPr vertOverflow="clip" wrap="square" lIns="27432" tIns="22860" rIns="0" bIns="0" anchor="ctr" upright="1"/>
        <a:lstStyle/>
        <a:p>
          <a:pPr algn="ctr" rtl="0">
            <a:defRPr sz="1000"/>
          </a:pPr>
          <a:fld id="{952677B8-8C18-463F-B0C9-D2099A1EBA1B}" type="TxLink">
            <a:rPr lang="en-US" sz="1000" b="0" i="0" u="none" strike="noStrike" baseline="0">
              <a:solidFill>
                <a:srgbClr val="000000"/>
              </a:solidFill>
              <a:latin typeface="Arial" panose="020B0604020202020204" pitchFamily="34" charset="0"/>
              <a:cs typeface="Arial" panose="020B0604020202020204" pitchFamily="34" charset="0"/>
            </a:rPr>
            <a:pPr algn="ctr" rtl="0">
              <a:defRPr sz="1000"/>
            </a:pPr>
            <a:t>4.6mΩ</a:t>
          </a:fld>
          <a:endParaRPr lang="en-US" sz="10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editAs="absolute">
    <xdr:from>
      <xdr:col>9</xdr:col>
      <xdr:colOff>410523</xdr:colOff>
      <xdr:row>26</xdr:row>
      <xdr:rowOff>137173</xdr:rowOff>
    </xdr:from>
    <xdr:to>
      <xdr:col>10</xdr:col>
      <xdr:colOff>304313</xdr:colOff>
      <xdr:row>28</xdr:row>
      <xdr:rowOff>50975</xdr:rowOff>
    </xdr:to>
    <xdr:sp macro="" textlink="'Variable Management'!B408">
      <xdr:nvSpPr>
        <xdr:cNvPr id="53" name="Text Box 261">
          <a:extLst>
            <a:ext uri="{FF2B5EF4-FFF2-40B4-BE49-F238E27FC236}">
              <a16:creationId xmlns:a16="http://schemas.microsoft.com/office/drawing/2014/main" id="{00000000-0008-0000-0000-000035000000}"/>
            </a:ext>
          </a:extLst>
        </xdr:cNvPr>
        <xdr:cNvSpPr txBox="1">
          <a:spLocks noChangeArrowheads="1" noTextEdit="1"/>
        </xdr:cNvSpPr>
      </xdr:nvSpPr>
      <xdr:spPr bwMode="auto">
        <a:xfrm>
          <a:off x="6038813" y="5455407"/>
          <a:ext cx="414052" cy="250134"/>
        </a:xfrm>
        <a:prstGeom prst="rect">
          <a:avLst/>
        </a:prstGeom>
        <a:noFill/>
        <a:ln w="9525">
          <a:noFill/>
          <a:miter lim="800000"/>
          <a:headEnd/>
          <a:tailEnd/>
        </a:ln>
      </xdr:spPr>
      <xdr:txBody>
        <a:bodyPr vertOverflow="clip" wrap="square" lIns="27432" tIns="22860" rIns="0" bIns="0" anchor="t" upright="1"/>
        <a:lstStyle/>
        <a:p>
          <a:pPr algn="ctr" rtl="0">
            <a:defRPr sz="1000"/>
          </a:pPr>
          <a:fld id="{B9060F6D-CAA3-48E6-BAE7-37C16D6980D0}" type="TxLink">
            <a:rPr lang="en-US" sz="1000" b="0" i="0" u="none" strike="noStrike" baseline="0">
              <a:solidFill>
                <a:srgbClr val="000000"/>
              </a:solidFill>
              <a:latin typeface="Arial" panose="020B0604020202020204" pitchFamily="34" charset="0"/>
              <a:cs typeface="Arial" panose="020B0604020202020204" pitchFamily="34" charset="0"/>
            </a:rPr>
            <a:pPr algn="ctr" rtl="0">
              <a:defRPr sz="1000"/>
            </a:pPr>
            <a:t>3.3nF</a:t>
          </a:fld>
          <a:endParaRPr lang="en-US" sz="10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editAs="absolute">
    <xdr:from>
      <xdr:col>11</xdr:col>
      <xdr:colOff>157074</xdr:colOff>
      <xdr:row>27</xdr:row>
      <xdr:rowOff>32820</xdr:rowOff>
    </xdr:from>
    <xdr:to>
      <xdr:col>12</xdr:col>
      <xdr:colOff>118722</xdr:colOff>
      <xdr:row>28</xdr:row>
      <xdr:rowOff>104903</xdr:rowOff>
    </xdr:to>
    <xdr:sp macro="" textlink="'Variable Management'!B443">
      <xdr:nvSpPr>
        <xdr:cNvPr id="71" name="Text Box 281">
          <a:extLst>
            <a:ext uri="{FF2B5EF4-FFF2-40B4-BE49-F238E27FC236}">
              <a16:creationId xmlns:a16="http://schemas.microsoft.com/office/drawing/2014/main" id="{00000000-0008-0000-0000-000047000000}"/>
            </a:ext>
          </a:extLst>
        </xdr:cNvPr>
        <xdr:cNvSpPr txBox="1">
          <a:spLocks noChangeArrowheads="1" noTextEdit="1"/>
        </xdr:cNvSpPr>
      </xdr:nvSpPr>
      <xdr:spPr bwMode="auto">
        <a:xfrm>
          <a:off x="7155751" y="5548528"/>
          <a:ext cx="588833" cy="242067"/>
        </a:xfrm>
        <a:prstGeom prst="rect">
          <a:avLst/>
        </a:prstGeom>
        <a:noFill/>
        <a:ln w="9525">
          <a:noFill/>
          <a:miter lim="800000"/>
          <a:headEnd/>
          <a:tailEnd/>
        </a:ln>
      </xdr:spPr>
      <xdr:txBody>
        <a:bodyPr vertOverflow="clip" wrap="square" lIns="27432" tIns="22860" rIns="0" bIns="0" anchor="t" upright="1"/>
        <a:lstStyle/>
        <a:p>
          <a:pPr algn="ctr" rtl="0">
            <a:defRPr sz="1000"/>
          </a:pPr>
          <a:fld id="{040E05FC-A7F4-4D23-BCC4-309E85A2CCCA}" type="TxLink">
            <a:rPr lang="en-US" sz="1000" b="0" i="0" u="none" strike="noStrike">
              <a:solidFill>
                <a:srgbClr val="000000"/>
              </a:solidFill>
              <a:latin typeface="Arial" panose="020B0604020202020204" pitchFamily="34" charset="0"/>
              <a:cs typeface="Arial" panose="020B0604020202020204" pitchFamily="34" charset="0"/>
            </a:rPr>
            <a:pPr algn="ctr" rtl="0">
              <a:defRPr sz="1000"/>
            </a:pPr>
            <a:t>9.53kΩ</a:t>
          </a:fld>
          <a:endParaRPr lang="en-US" sz="1000" b="0" i="0" strike="noStrike">
            <a:solidFill>
              <a:srgbClr val="000000"/>
            </a:solidFill>
            <a:latin typeface="Arial" pitchFamily="34" charset="0"/>
            <a:cs typeface="Arial" pitchFamily="34" charset="0"/>
          </a:endParaRPr>
        </a:p>
      </xdr:txBody>
    </xdr:sp>
    <xdr:clientData/>
  </xdr:twoCellAnchor>
  <xdr:twoCellAnchor editAs="absolute">
    <xdr:from>
      <xdr:col>10</xdr:col>
      <xdr:colOff>96889</xdr:colOff>
      <xdr:row>17</xdr:row>
      <xdr:rowOff>142326</xdr:rowOff>
    </xdr:from>
    <xdr:to>
      <xdr:col>10</xdr:col>
      <xdr:colOff>631702</xdr:colOff>
      <xdr:row>19</xdr:row>
      <xdr:rowOff>22118</xdr:rowOff>
    </xdr:to>
    <xdr:sp macro="" textlink="'Variable Management'!B417">
      <xdr:nvSpPr>
        <xdr:cNvPr id="95" name="Text Box 263">
          <a:extLst>
            <a:ext uri="{FF2B5EF4-FFF2-40B4-BE49-F238E27FC236}">
              <a16:creationId xmlns:a16="http://schemas.microsoft.com/office/drawing/2014/main" id="{00000000-0008-0000-0000-00005F000000}"/>
            </a:ext>
          </a:extLst>
        </xdr:cNvPr>
        <xdr:cNvSpPr txBox="1">
          <a:spLocks noChangeArrowheads="1" noTextEdit="1"/>
        </xdr:cNvSpPr>
      </xdr:nvSpPr>
      <xdr:spPr bwMode="auto">
        <a:xfrm>
          <a:off x="6239781" y="3817511"/>
          <a:ext cx="534813" cy="225622"/>
        </a:xfrm>
        <a:prstGeom prst="rect">
          <a:avLst/>
        </a:prstGeom>
        <a:noFill/>
        <a:ln w="9525">
          <a:noFill/>
          <a:miter lim="800000"/>
          <a:headEnd/>
          <a:tailEnd/>
        </a:ln>
      </xdr:spPr>
      <xdr:txBody>
        <a:bodyPr vertOverflow="clip" wrap="square" lIns="27432" tIns="22860" rIns="0" bIns="0" anchor="t" upright="1"/>
        <a:lstStyle/>
        <a:p>
          <a:pPr algn="r" rtl="0">
            <a:defRPr sz="1000"/>
          </a:pPr>
          <a:fld id="{E7CFC31C-4225-4DFF-A445-15835378F2C7}" type="TxLink">
            <a:rPr lang="en-US" sz="1000" b="0" i="0" u="none" strike="noStrike" baseline="0">
              <a:solidFill>
                <a:srgbClr val="000000"/>
              </a:solidFill>
              <a:latin typeface="Arial" panose="020B0604020202020204" pitchFamily="34" charset="0"/>
              <a:cs typeface="Arial" panose="020B0604020202020204" pitchFamily="34" charset="0"/>
            </a:rPr>
            <a:pPr algn="r" rtl="0">
              <a:defRPr sz="1000"/>
            </a:pPr>
            <a:t> </a:t>
          </a:fld>
          <a:endParaRPr lang="el-GR" sz="1000" b="0" i="0" u="none" strike="noStrike" baseline="0">
            <a:solidFill>
              <a:srgbClr val="000000"/>
            </a:solidFill>
            <a:latin typeface="Arial" pitchFamily="34" charset="0"/>
            <a:cs typeface="Arial" pitchFamily="34" charset="0"/>
          </a:endParaRPr>
        </a:p>
      </xdr:txBody>
    </xdr:sp>
    <xdr:clientData/>
  </xdr:twoCellAnchor>
  <xdr:twoCellAnchor editAs="absolute">
    <xdr:from>
      <xdr:col>10</xdr:col>
      <xdr:colOff>82424</xdr:colOff>
      <xdr:row>20</xdr:row>
      <xdr:rowOff>148157</xdr:rowOff>
    </xdr:from>
    <xdr:to>
      <xdr:col>10</xdr:col>
      <xdr:colOff>653836</xdr:colOff>
      <xdr:row>22</xdr:row>
      <xdr:rowOff>33747</xdr:rowOff>
    </xdr:to>
    <xdr:sp macro="" textlink="'Variable Management'!B418">
      <xdr:nvSpPr>
        <xdr:cNvPr id="96" name="Text Box 263">
          <a:extLst>
            <a:ext uri="{FF2B5EF4-FFF2-40B4-BE49-F238E27FC236}">
              <a16:creationId xmlns:a16="http://schemas.microsoft.com/office/drawing/2014/main" id="{00000000-0008-0000-0000-000060000000}"/>
            </a:ext>
          </a:extLst>
        </xdr:cNvPr>
        <xdr:cNvSpPr txBox="1">
          <a:spLocks noChangeArrowheads="1" noTextEdit="1"/>
        </xdr:cNvSpPr>
      </xdr:nvSpPr>
      <xdr:spPr bwMode="auto">
        <a:xfrm>
          <a:off x="6225316" y="4345019"/>
          <a:ext cx="571412" cy="237282"/>
        </a:xfrm>
        <a:prstGeom prst="rect">
          <a:avLst/>
        </a:prstGeom>
        <a:noFill/>
        <a:ln w="9525">
          <a:noFill/>
          <a:miter lim="800000"/>
          <a:headEnd/>
          <a:tailEnd/>
        </a:ln>
      </xdr:spPr>
      <xdr:txBody>
        <a:bodyPr vertOverflow="clip" wrap="square" lIns="27432" tIns="22860" rIns="0" bIns="0" anchor="t" upright="1"/>
        <a:lstStyle/>
        <a:p>
          <a:pPr algn="r" rtl="0">
            <a:defRPr sz="1000"/>
          </a:pPr>
          <a:fld id="{3474E4CD-1870-4A36-820F-F9FFA24B283F}" type="TxLink">
            <a:rPr lang="en-US" sz="1000" b="0" i="0" u="none" strike="noStrike" baseline="0">
              <a:solidFill>
                <a:srgbClr val="000000"/>
              </a:solidFill>
              <a:latin typeface="Arial" panose="020B0604020202020204" pitchFamily="34" charset="0"/>
              <a:cs typeface="Arial" panose="020B0604020202020204" pitchFamily="34" charset="0"/>
            </a:rPr>
            <a:pPr algn="r" rtl="0">
              <a:defRPr sz="1000"/>
            </a:pPr>
            <a:t> </a:t>
          </a:fld>
          <a:endParaRPr lang="el-GR" sz="1000" b="0" i="0" u="none" strike="noStrike" baseline="0">
            <a:solidFill>
              <a:srgbClr val="000000"/>
            </a:solidFill>
            <a:latin typeface="Arial" pitchFamily="34" charset="0"/>
            <a:cs typeface="Arial"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3</xdr:col>
          <xdr:colOff>228600</xdr:colOff>
          <xdr:row>58</xdr:row>
          <xdr:rowOff>171450</xdr:rowOff>
        </xdr:from>
        <xdr:to>
          <xdr:col>6</xdr:col>
          <xdr:colOff>0</xdr:colOff>
          <xdr:row>59</xdr:row>
          <xdr:rowOff>238125</xdr:rowOff>
        </xdr:to>
        <xdr:sp macro="" textlink="">
          <xdr:nvSpPr>
            <xdr:cNvPr id="700305" name="Drop Down 2961" hidden="1">
              <a:extLst>
                <a:ext uri="{63B3BB69-23CF-44E3-9099-C40C66FF867C}">
                  <a14:compatExt spid="_x0000_s700305"/>
                </a:ext>
                <a:ext uri="{FF2B5EF4-FFF2-40B4-BE49-F238E27FC236}">
                  <a16:creationId xmlns:a16="http://schemas.microsoft.com/office/drawing/2014/main" id="{00000000-0008-0000-0000-000091AF0A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absolute">
    <xdr:from>
      <xdr:col>12</xdr:col>
      <xdr:colOff>164682</xdr:colOff>
      <xdr:row>27</xdr:row>
      <xdr:rowOff>28100</xdr:rowOff>
    </xdr:from>
    <xdr:to>
      <xdr:col>13</xdr:col>
      <xdr:colOff>88364</xdr:colOff>
      <xdr:row>28</xdr:row>
      <xdr:rowOff>74468</xdr:rowOff>
    </xdr:to>
    <xdr:sp macro="" textlink="'Variable Management'!B442">
      <xdr:nvSpPr>
        <xdr:cNvPr id="68" name="Text Box 263">
          <a:extLst>
            <a:ext uri="{FF2B5EF4-FFF2-40B4-BE49-F238E27FC236}">
              <a16:creationId xmlns:a16="http://schemas.microsoft.com/office/drawing/2014/main" id="{00000000-0008-0000-0000-000044000000}"/>
            </a:ext>
          </a:extLst>
        </xdr:cNvPr>
        <xdr:cNvSpPr txBox="1">
          <a:spLocks noChangeArrowheads="1" noTextEdit="1"/>
        </xdr:cNvSpPr>
      </xdr:nvSpPr>
      <xdr:spPr bwMode="auto">
        <a:xfrm>
          <a:off x="7790544" y="5543808"/>
          <a:ext cx="550866" cy="216352"/>
        </a:xfrm>
        <a:prstGeom prst="rect">
          <a:avLst/>
        </a:prstGeom>
        <a:noFill/>
        <a:ln w="9525">
          <a:noFill/>
          <a:miter lim="800000"/>
          <a:headEnd/>
          <a:tailEnd/>
        </a:ln>
      </xdr:spPr>
      <xdr:txBody>
        <a:bodyPr vertOverflow="clip" wrap="square" lIns="27432" tIns="22860" rIns="0" bIns="0" anchor="t" upright="1"/>
        <a:lstStyle/>
        <a:p>
          <a:pPr algn="r" rtl="0">
            <a:defRPr sz="1000"/>
          </a:pPr>
          <a:fld id="{EC50C5B8-F352-44A2-A40B-3E79D8C8660A}" type="TxLink">
            <a:rPr lang="en-US" sz="1000" b="0" i="0" u="none" strike="noStrike" baseline="0">
              <a:solidFill>
                <a:srgbClr val="000000"/>
              </a:solidFill>
              <a:latin typeface="Arial" panose="020B0604020202020204" pitchFamily="34" charset="0"/>
              <a:cs typeface="Arial" panose="020B0604020202020204" pitchFamily="34" charset="0"/>
            </a:rPr>
            <a:pPr algn="r" rtl="0">
              <a:defRPr sz="1000"/>
            </a:pPr>
            <a:t>41.2kΩ</a:t>
          </a:fld>
          <a:endParaRPr lang="el-GR" sz="1000" b="0" i="0" u="none" strike="noStrike" baseline="0">
            <a:solidFill>
              <a:srgbClr val="000000"/>
            </a:solidFill>
            <a:latin typeface="Arial" pitchFamily="34" charset="0"/>
            <a:cs typeface="Arial" pitchFamily="34" charset="0"/>
          </a:endParaRPr>
        </a:p>
      </xdr:txBody>
    </xdr:sp>
    <xdr:clientData/>
  </xdr:twoCellAnchor>
  <xdr:twoCellAnchor editAs="absolute">
    <xdr:from>
      <xdr:col>12</xdr:col>
      <xdr:colOff>490735</xdr:colOff>
      <xdr:row>31</xdr:row>
      <xdr:rowOff>77416</xdr:rowOff>
    </xdr:from>
    <xdr:to>
      <xdr:col>13</xdr:col>
      <xdr:colOff>338748</xdr:colOff>
      <xdr:row>32</xdr:row>
      <xdr:rowOff>71599</xdr:rowOff>
    </xdr:to>
    <xdr:sp macro="" textlink="'Variable Management'!B385">
      <xdr:nvSpPr>
        <xdr:cNvPr id="76" name="Text Box 279">
          <a:extLst>
            <a:ext uri="{FF2B5EF4-FFF2-40B4-BE49-F238E27FC236}">
              <a16:creationId xmlns:a16="http://schemas.microsoft.com/office/drawing/2014/main" id="{00000000-0008-0000-0000-00004C000000}"/>
            </a:ext>
          </a:extLst>
        </xdr:cNvPr>
        <xdr:cNvSpPr txBox="1">
          <a:spLocks noChangeArrowheads="1"/>
        </xdr:cNvSpPr>
      </xdr:nvSpPr>
      <xdr:spPr bwMode="auto">
        <a:xfrm>
          <a:off x="7894381" y="6391130"/>
          <a:ext cx="448088" cy="229315"/>
        </a:xfrm>
        <a:prstGeom prst="rect">
          <a:avLst/>
        </a:prstGeom>
        <a:noFill/>
        <a:ln w="9525">
          <a:noFill/>
          <a:miter lim="800000"/>
          <a:headEnd/>
          <a:tailEnd/>
        </a:ln>
      </xdr:spPr>
      <xdr:txBody>
        <a:bodyPr vertOverflow="clip" wrap="square" lIns="27432" tIns="27432" rIns="0" bIns="0" anchor="ctr" upright="1"/>
        <a:lstStyle/>
        <a:p>
          <a:pPr marL="0" marR="0" indent="0" algn="l" defTabSz="914400" rtl="0" eaLnBrk="1" fontAlgn="auto" latinLnBrk="0" hangingPunct="1">
            <a:lnSpc>
              <a:spcPct val="100000"/>
            </a:lnSpc>
            <a:spcBef>
              <a:spcPts val="0"/>
            </a:spcBef>
            <a:spcAft>
              <a:spcPts val="0"/>
            </a:spcAft>
            <a:buClrTx/>
            <a:buSzTx/>
            <a:buFontTx/>
            <a:buNone/>
            <a:tabLst/>
            <a:defRPr sz="1000"/>
          </a:pPr>
          <a:fld id="{6743863A-37F9-454E-8264-1AAED8F1ABE9}" type="TxLink">
            <a:rPr lang="en-US" sz="1000" b="0" i="0" u="none" strike="noStrike">
              <a:solidFill>
                <a:srgbClr val="000000"/>
              </a:solidFill>
              <a:latin typeface="Arial"/>
              <a:ea typeface="+mn-ea"/>
              <a:cs typeface="Arial"/>
            </a:rPr>
            <a:pPr marL="0" marR="0" indent="0" algn="l" defTabSz="914400" rtl="0" eaLnBrk="1" fontAlgn="auto" latinLnBrk="0" hangingPunct="1">
              <a:lnSpc>
                <a:spcPct val="100000"/>
              </a:lnSpc>
              <a:spcBef>
                <a:spcPts val="0"/>
              </a:spcBef>
              <a:spcAft>
                <a:spcPts val="0"/>
              </a:spcAft>
              <a:buClrTx/>
              <a:buSzTx/>
              <a:buFontTx/>
              <a:buNone/>
              <a:tabLst/>
              <a:defRPr sz="1000"/>
            </a:pPr>
            <a:t> </a:t>
          </a:fld>
          <a:endParaRPr lang="en-US" sz="1000">
            <a:latin typeface="Arial" pitchFamily="34" charset="0"/>
            <a:cs typeface="Arial" pitchFamily="34" charset="0"/>
          </a:endParaRPr>
        </a:p>
      </xdr:txBody>
    </xdr:sp>
    <xdr:clientData/>
  </xdr:twoCellAnchor>
  <xdr:twoCellAnchor editAs="absolute">
    <xdr:from>
      <xdr:col>9</xdr:col>
      <xdr:colOff>385274</xdr:colOff>
      <xdr:row>10</xdr:row>
      <xdr:rowOff>156195</xdr:rowOff>
    </xdr:from>
    <xdr:to>
      <xdr:col>10</xdr:col>
      <xdr:colOff>384896</xdr:colOff>
      <xdr:row>12</xdr:row>
      <xdr:rowOff>42552</xdr:rowOff>
    </xdr:to>
    <xdr:sp macro="" textlink="'Variable Management'!B385">
      <xdr:nvSpPr>
        <xdr:cNvPr id="65" name="Text Box 279">
          <a:extLst>
            <a:ext uri="{FF2B5EF4-FFF2-40B4-BE49-F238E27FC236}">
              <a16:creationId xmlns:a16="http://schemas.microsoft.com/office/drawing/2014/main" id="{00000000-0008-0000-0000-000041000000}"/>
            </a:ext>
          </a:extLst>
        </xdr:cNvPr>
        <xdr:cNvSpPr txBox="1">
          <a:spLocks noChangeArrowheads="1"/>
        </xdr:cNvSpPr>
      </xdr:nvSpPr>
      <xdr:spPr bwMode="auto">
        <a:xfrm>
          <a:off x="5870329" y="2481864"/>
          <a:ext cx="499741" cy="246850"/>
        </a:xfrm>
        <a:prstGeom prst="rect">
          <a:avLst/>
        </a:prstGeom>
        <a:noFill/>
        <a:ln w="9525">
          <a:noFill/>
          <a:miter lim="800000"/>
          <a:headEnd/>
          <a:tailEnd/>
        </a:ln>
      </xdr:spPr>
      <xdr:txBody>
        <a:bodyPr vertOverflow="clip" wrap="square" lIns="27432" tIns="27432" rIns="0" bIns="0" anchor="ctr" upright="1"/>
        <a:lstStyle/>
        <a:p>
          <a:pPr marL="0" marR="0" indent="0" algn="l" defTabSz="914400" rtl="0" eaLnBrk="1" fontAlgn="auto" latinLnBrk="0" hangingPunct="1">
            <a:lnSpc>
              <a:spcPct val="100000"/>
            </a:lnSpc>
            <a:spcBef>
              <a:spcPts val="0"/>
            </a:spcBef>
            <a:spcAft>
              <a:spcPts val="0"/>
            </a:spcAft>
            <a:buClrTx/>
            <a:buSzTx/>
            <a:buFontTx/>
            <a:buNone/>
            <a:tabLst/>
            <a:defRPr sz="1000"/>
          </a:pPr>
          <a:fld id="{BEC6ADA1-D3F0-4250-A616-4B90091890E2}" type="TxLink">
            <a:rPr lang="en-US" sz="900" b="0" i="0" u="none" strike="noStrike">
              <a:solidFill>
                <a:srgbClr val="000000"/>
              </a:solidFill>
              <a:latin typeface="Arial"/>
              <a:cs typeface="Arial"/>
            </a:rPr>
            <a:pPr marL="0" marR="0" indent="0" algn="l" defTabSz="914400" rtl="0" eaLnBrk="1" fontAlgn="auto" latinLnBrk="0" hangingPunct="1">
              <a:lnSpc>
                <a:spcPct val="100000"/>
              </a:lnSpc>
              <a:spcBef>
                <a:spcPts val="0"/>
              </a:spcBef>
              <a:spcAft>
                <a:spcPts val="0"/>
              </a:spcAft>
              <a:buClrTx/>
              <a:buSzTx/>
              <a:buFontTx/>
              <a:buNone/>
              <a:tabLst/>
              <a:defRPr sz="1000"/>
            </a:pPr>
            <a:t> </a:t>
          </a:fld>
          <a:endParaRPr lang="en-US" sz="600">
            <a:latin typeface="Arial" pitchFamily="34" charset="0"/>
            <a:cs typeface="Arial" pitchFamily="34" charset="0"/>
          </a:endParaRPr>
        </a:p>
      </xdr:txBody>
    </xdr:sp>
    <xdr:clientData/>
  </xdr:twoCellAnchor>
  <xdr:twoCellAnchor editAs="absolute">
    <xdr:from>
      <xdr:col>9</xdr:col>
      <xdr:colOff>384414</xdr:colOff>
      <xdr:row>7</xdr:row>
      <xdr:rowOff>148504</xdr:rowOff>
    </xdr:from>
    <xdr:to>
      <xdr:col>10</xdr:col>
      <xdr:colOff>384036</xdr:colOff>
      <xdr:row>9</xdr:row>
      <xdr:rowOff>34136</xdr:rowOff>
    </xdr:to>
    <xdr:sp macro="" textlink="'Variable Management'!C385">
      <xdr:nvSpPr>
        <xdr:cNvPr id="66" name="Text Box 279">
          <a:extLst>
            <a:ext uri="{FF2B5EF4-FFF2-40B4-BE49-F238E27FC236}">
              <a16:creationId xmlns:a16="http://schemas.microsoft.com/office/drawing/2014/main" id="{00000000-0008-0000-0000-000042000000}"/>
            </a:ext>
          </a:extLst>
        </xdr:cNvPr>
        <xdr:cNvSpPr txBox="1">
          <a:spLocks noChangeArrowheads="1"/>
        </xdr:cNvSpPr>
      </xdr:nvSpPr>
      <xdr:spPr bwMode="auto">
        <a:xfrm>
          <a:off x="5871374" y="1921050"/>
          <a:ext cx="499741" cy="236601"/>
        </a:xfrm>
        <a:prstGeom prst="rect">
          <a:avLst/>
        </a:prstGeom>
        <a:noFill/>
        <a:ln w="9525">
          <a:noFill/>
          <a:miter lim="800000"/>
          <a:headEnd/>
          <a:tailEnd/>
        </a:ln>
      </xdr:spPr>
      <xdr:txBody>
        <a:bodyPr vertOverflow="clip" wrap="square" lIns="27432" tIns="27432" rIns="0" bIns="0" anchor="ctr" upright="1"/>
        <a:lstStyle/>
        <a:p>
          <a:pPr marL="0" marR="0" indent="0" algn="l" defTabSz="914400" rtl="0" eaLnBrk="1" fontAlgn="auto" latinLnBrk="0" hangingPunct="1">
            <a:lnSpc>
              <a:spcPct val="100000"/>
            </a:lnSpc>
            <a:spcBef>
              <a:spcPts val="0"/>
            </a:spcBef>
            <a:spcAft>
              <a:spcPts val="0"/>
            </a:spcAft>
            <a:buClrTx/>
            <a:buSzTx/>
            <a:buFontTx/>
            <a:buNone/>
            <a:tabLst/>
            <a:defRPr sz="1000"/>
          </a:pPr>
          <a:fld id="{4E64918A-6299-4F27-9549-1AB4B3DEA3B9}" type="TxLink">
            <a:rPr lang="en-US" sz="900" b="0" i="0" u="none" strike="noStrike">
              <a:solidFill>
                <a:srgbClr val="000000"/>
              </a:solidFill>
              <a:latin typeface="Arial"/>
              <a:cs typeface="Arial"/>
            </a:rPr>
            <a:pPr marL="0" marR="0" indent="0" algn="l" defTabSz="914400" rtl="0" eaLnBrk="1" fontAlgn="auto" latinLnBrk="0" hangingPunct="1">
              <a:lnSpc>
                <a:spcPct val="100000"/>
              </a:lnSpc>
              <a:spcBef>
                <a:spcPts val="0"/>
              </a:spcBef>
              <a:spcAft>
                <a:spcPts val="0"/>
              </a:spcAft>
              <a:buClrTx/>
              <a:buSzTx/>
              <a:buFontTx/>
              <a:buNone/>
              <a:tabLst/>
              <a:defRPr sz="1000"/>
            </a:pPr>
            <a:t> </a:t>
          </a:fld>
          <a:endParaRPr lang="en-US" sz="800">
            <a:latin typeface="Arial" pitchFamily="34" charset="0"/>
            <a:cs typeface="Arial" pitchFamily="34" charset="0"/>
          </a:endParaRPr>
        </a:p>
      </xdr:txBody>
    </xdr:sp>
    <xdr:clientData/>
  </xdr:twoCellAnchor>
  <xdr:twoCellAnchor editAs="absolute">
    <xdr:from>
      <xdr:col>8</xdr:col>
      <xdr:colOff>188858</xdr:colOff>
      <xdr:row>22</xdr:row>
      <xdr:rowOff>42135</xdr:rowOff>
    </xdr:from>
    <xdr:to>
      <xdr:col>9</xdr:col>
      <xdr:colOff>270281</xdr:colOff>
      <xdr:row>23</xdr:row>
      <xdr:rowOff>80809</xdr:rowOff>
    </xdr:to>
    <xdr:sp macro="" textlink="'Variable Management'!E385">
      <xdr:nvSpPr>
        <xdr:cNvPr id="81" name="Text Box 279">
          <a:extLst>
            <a:ext uri="{FF2B5EF4-FFF2-40B4-BE49-F238E27FC236}">
              <a16:creationId xmlns:a16="http://schemas.microsoft.com/office/drawing/2014/main" id="{00000000-0008-0000-0000-000051000000}"/>
            </a:ext>
          </a:extLst>
        </xdr:cNvPr>
        <xdr:cNvSpPr txBox="1">
          <a:spLocks noChangeArrowheads="1"/>
        </xdr:cNvSpPr>
      </xdr:nvSpPr>
      <xdr:spPr bwMode="auto">
        <a:xfrm>
          <a:off x="5218058" y="4700532"/>
          <a:ext cx="537278" cy="216063"/>
        </a:xfrm>
        <a:prstGeom prst="rect">
          <a:avLst/>
        </a:prstGeom>
        <a:noFill/>
        <a:ln w="9525">
          <a:noFill/>
          <a:miter lim="800000"/>
          <a:headEnd/>
          <a:tailEnd/>
        </a:ln>
      </xdr:spPr>
      <xdr:txBody>
        <a:bodyPr vertOverflow="clip" wrap="square" lIns="27432" tIns="27432" rIns="0" bIns="0" anchor="ctr" upright="1"/>
        <a:lstStyle/>
        <a:p>
          <a:pPr marL="0" marR="0" indent="0" algn="l" defTabSz="914400" rtl="0" eaLnBrk="1" fontAlgn="auto" latinLnBrk="0" hangingPunct="1">
            <a:lnSpc>
              <a:spcPct val="100000"/>
            </a:lnSpc>
            <a:spcBef>
              <a:spcPts val="0"/>
            </a:spcBef>
            <a:spcAft>
              <a:spcPts val="0"/>
            </a:spcAft>
            <a:buClrTx/>
            <a:buSzTx/>
            <a:buFontTx/>
            <a:buNone/>
            <a:tabLst/>
            <a:defRPr sz="1000"/>
          </a:pPr>
          <a:fld id="{4E483F83-546B-48E4-817B-49519E47D65F}" type="TxLink">
            <a:rPr lang="en-US" sz="1000" b="0" i="0" u="none" strike="noStrike">
              <a:solidFill>
                <a:srgbClr val="000000"/>
              </a:solidFill>
              <a:latin typeface="Arial"/>
              <a:cs typeface="Arial"/>
            </a:rPr>
            <a:pPr marL="0" marR="0" indent="0" algn="l" defTabSz="914400" rtl="0" eaLnBrk="1" fontAlgn="auto" latinLnBrk="0" hangingPunct="1">
              <a:lnSpc>
                <a:spcPct val="100000"/>
              </a:lnSpc>
              <a:spcBef>
                <a:spcPts val="0"/>
              </a:spcBef>
              <a:spcAft>
                <a:spcPts val="0"/>
              </a:spcAft>
              <a:buClrTx/>
              <a:buSzTx/>
              <a:buFontTx/>
              <a:buNone/>
              <a:tabLst/>
              <a:defRPr sz="1000"/>
            </a:pPr>
            <a:t> </a:t>
          </a:fld>
          <a:endParaRPr lang="en-US" sz="800">
            <a:latin typeface="Arial" pitchFamily="34" charset="0"/>
            <a:cs typeface="Arial" pitchFamily="34" charset="0"/>
          </a:endParaRPr>
        </a:p>
      </xdr:txBody>
    </xdr:sp>
    <xdr:clientData/>
  </xdr:twoCellAnchor>
  <xdr:twoCellAnchor editAs="absolute">
    <xdr:from>
      <xdr:col>9</xdr:col>
      <xdr:colOff>95</xdr:colOff>
      <xdr:row>7</xdr:row>
      <xdr:rowOff>918</xdr:rowOff>
    </xdr:from>
    <xdr:to>
      <xdr:col>10</xdr:col>
      <xdr:colOff>461799</xdr:colOff>
      <xdr:row>8</xdr:row>
      <xdr:rowOff>110241</xdr:rowOff>
    </xdr:to>
    <xdr:sp macro="" textlink="'Variable Management'!B451">
      <xdr:nvSpPr>
        <xdr:cNvPr id="86" name="Text Box 283">
          <a:extLst>
            <a:ext uri="{FF2B5EF4-FFF2-40B4-BE49-F238E27FC236}">
              <a16:creationId xmlns:a16="http://schemas.microsoft.com/office/drawing/2014/main" id="{00000000-0008-0000-0000-000056000000}"/>
            </a:ext>
          </a:extLst>
        </xdr:cNvPr>
        <xdr:cNvSpPr txBox="1">
          <a:spLocks noChangeArrowheads="1" noTextEdit="1"/>
        </xdr:cNvSpPr>
      </xdr:nvSpPr>
      <xdr:spPr bwMode="auto">
        <a:xfrm>
          <a:off x="5475065" y="1772568"/>
          <a:ext cx="968434" cy="288393"/>
        </a:xfrm>
        <a:prstGeom prst="rect">
          <a:avLst/>
        </a:prstGeom>
        <a:noFill/>
        <a:ln w="9525">
          <a:noFill/>
          <a:miter lim="800000"/>
          <a:headEnd/>
          <a:tailEnd/>
        </a:ln>
      </xdr:spPr>
      <xdr:txBody>
        <a:bodyPr vertOverflow="clip" wrap="square" lIns="27432" tIns="22860" rIns="0" bIns="0" anchor="t" upright="1"/>
        <a:lstStyle/>
        <a:p>
          <a:pPr algn="l" rtl="0">
            <a:defRPr sz="1000"/>
          </a:pPr>
          <a:fld id="{C6ED40A1-EDED-4BB3-907C-40CD83565E4B}" type="TxLink">
            <a:rPr lang="en-US" sz="1100" b="1" i="0" u="none" strike="noStrike">
              <a:solidFill>
                <a:srgbClr val="FF0000"/>
              </a:solidFill>
              <a:latin typeface="Arial"/>
              <a:cs typeface="Arial"/>
            </a:rPr>
            <a:pPr algn="l" rtl="0">
              <a:defRPr sz="1000"/>
            </a:pPr>
            <a:t>10V...18V</a:t>
          </a:fld>
          <a:endParaRPr lang="en-US" sz="1400" b="1" i="0" strike="noStrike">
            <a:solidFill>
              <a:srgbClr val="FF0000"/>
            </a:solidFill>
            <a:latin typeface="Arial" pitchFamily="34" charset="0"/>
            <a:cs typeface="Arial" pitchFamily="34" charset="0"/>
          </a:endParaRPr>
        </a:p>
      </xdr:txBody>
    </xdr:sp>
    <xdr:clientData/>
  </xdr:twoCellAnchor>
  <xdr:twoCellAnchor editAs="absolute">
    <xdr:from>
      <xdr:col>10</xdr:col>
      <xdr:colOff>153374</xdr:colOff>
      <xdr:row>17</xdr:row>
      <xdr:rowOff>142496</xdr:rowOff>
    </xdr:from>
    <xdr:to>
      <xdr:col>10</xdr:col>
      <xdr:colOff>686644</xdr:colOff>
      <xdr:row>18</xdr:row>
      <xdr:rowOff>149468</xdr:rowOff>
    </xdr:to>
    <xdr:sp macro="" textlink="'Variable Management'!D419">
      <xdr:nvSpPr>
        <xdr:cNvPr id="94" name="Text Box 279">
          <a:extLst>
            <a:ext uri="{FF2B5EF4-FFF2-40B4-BE49-F238E27FC236}">
              <a16:creationId xmlns:a16="http://schemas.microsoft.com/office/drawing/2014/main" id="{00000000-0008-0000-0000-00005E000000}"/>
            </a:ext>
          </a:extLst>
        </xdr:cNvPr>
        <xdr:cNvSpPr txBox="1">
          <a:spLocks noChangeArrowheads="1"/>
        </xdr:cNvSpPr>
      </xdr:nvSpPr>
      <xdr:spPr bwMode="auto">
        <a:xfrm>
          <a:off x="6296266" y="3817681"/>
          <a:ext cx="533270" cy="182818"/>
        </a:xfrm>
        <a:prstGeom prst="rect">
          <a:avLst/>
        </a:prstGeom>
        <a:noFill/>
        <a:ln w="9525">
          <a:noFill/>
          <a:miter lim="800000"/>
          <a:headEnd/>
          <a:tailEnd/>
        </a:ln>
      </xdr:spPr>
      <xdr:txBody>
        <a:bodyPr vertOverflow="clip" wrap="square" lIns="27432" tIns="27432" rIns="0" bIns="0"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fld id="{59CF34ED-6C7D-4B7D-8CCB-720517623826}" type="TxLink">
            <a:rPr lang="en-US" sz="1000" b="0" i="0" u="none" strike="noStrike">
              <a:solidFill>
                <a:srgbClr val="000000"/>
              </a:solidFill>
              <a:latin typeface="Arial"/>
              <a:cs typeface="Arial"/>
            </a:rPr>
            <a:pPr marL="0" marR="0" indent="0" algn="ctr" defTabSz="914400" rtl="0" eaLnBrk="1" fontAlgn="auto" latinLnBrk="0" hangingPunct="1">
              <a:lnSpc>
                <a:spcPct val="100000"/>
              </a:lnSpc>
              <a:spcBef>
                <a:spcPts val="0"/>
              </a:spcBef>
              <a:spcAft>
                <a:spcPts val="0"/>
              </a:spcAft>
              <a:buClrTx/>
              <a:buSzTx/>
              <a:buFontTx/>
              <a:buNone/>
              <a:tabLst/>
              <a:defRPr sz="1000"/>
            </a:pPr>
            <a:t>24.9kΩ</a:t>
          </a:fld>
          <a:endParaRPr lang="en-US" sz="1000">
            <a:latin typeface="Arial" pitchFamily="34" charset="0"/>
            <a:cs typeface="Arial"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0</xdr:col>
          <xdr:colOff>57150</xdr:colOff>
          <xdr:row>50</xdr:row>
          <xdr:rowOff>57150</xdr:rowOff>
        </xdr:from>
        <xdr:to>
          <xdr:col>2</xdr:col>
          <xdr:colOff>28575</xdr:colOff>
          <xdr:row>51</xdr:row>
          <xdr:rowOff>133350</xdr:rowOff>
        </xdr:to>
        <xdr:sp macro="" textlink="">
          <xdr:nvSpPr>
            <xdr:cNvPr id="770900" name="Drop Down 6996" hidden="1">
              <a:extLst>
                <a:ext uri="{63B3BB69-23CF-44E3-9099-C40C66FF867C}">
                  <a14:compatExt spid="_x0000_s770900"/>
                </a:ext>
                <a:ext uri="{FF2B5EF4-FFF2-40B4-BE49-F238E27FC236}">
                  <a16:creationId xmlns:a16="http://schemas.microsoft.com/office/drawing/2014/main" id="{00000000-0008-0000-0000-000054C30B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absolute">
    <xdr:from>
      <xdr:col>9</xdr:col>
      <xdr:colOff>97109</xdr:colOff>
      <xdr:row>10</xdr:row>
      <xdr:rowOff>51297</xdr:rowOff>
    </xdr:from>
    <xdr:to>
      <xdr:col>10</xdr:col>
      <xdr:colOff>250019</xdr:colOff>
      <xdr:row>11</xdr:row>
      <xdr:rowOff>58778</xdr:rowOff>
    </xdr:to>
    <xdr:sp macro="" textlink="'Variable Management'!B421">
      <xdr:nvSpPr>
        <xdr:cNvPr id="80" name="Text Box 276">
          <a:extLst>
            <a:ext uri="{FF2B5EF4-FFF2-40B4-BE49-F238E27FC236}">
              <a16:creationId xmlns:a16="http://schemas.microsoft.com/office/drawing/2014/main" id="{00000000-0008-0000-0000-000050000000}"/>
            </a:ext>
          </a:extLst>
        </xdr:cNvPr>
        <xdr:cNvSpPr txBox="1">
          <a:spLocks noChangeArrowheads="1" noTextEdit="1"/>
        </xdr:cNvSpPr>
      </xdr:nvSpPr>
      <xdr:spPr bwMode="auto">
        <a:xfrm>
          <a:off x="5712097" y="2313485"/>
          <a:ext cx="672022" cy="174168"/>
        </a:xfrm>
        <a:prstGeom prst="rect">
          <a:avLst/>
        </a:prstGeom>
        <a:noFill/>
        <a:ln w="9525">
          <a:noFill/>
          <a:miter lim="800000"/>
          <a:headEnd/>
          <a:tailEnd/>
        </a:ln>
      </xdr:spPr>
      <xdr:txBody>
        <a:bodyPr vertOverflow="clip" wrap="square" lIns="27432" tIns="22860" rIns="0" bIns="0" anchor="ctr" upright="1"/>
        <a:lstStyle/>
        <a:p>
          <a:pPr algn="r" rtl="0">
            <a:defRPr sz="1000"/>
          </a:pPr>
          <a:fld id="{5870FC66-CAAD-4C4C-B6A3-330B5B471599}" type="TxLink">
            <a:rPr lang="en-US" sz="1000" b="0" i="0" u="none" strike="noStrike" baseline="0">
              <a:solidFill>
                <a:srgbClr val="000000"/>
              </a:solidFill>
              <a:latin typeface="Arial" panose="020B0604020202020204" pitchFamily="34" charset="0"/>
              <a:cs typeface="Arial" panose="020B0604020202020204" pitchFamily="34" charset="0"/>
            </a:rPr>
            <a:pPr algn="r" rtl="0">
              <a:defRPr sz="1000"/>
            </a:pPr>
            <a:t>200kΩ</a:t>
          </a:fld>
          <a:endParaRPr lang="en-US" sz="10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editAs="absolute">
    <xdr:from>
      <xdr:col>9</xdr:col>
      <xdr:colOff>172461</xdr:colOff>
      <xdr:row>13</xdr:row>
      <xdr:rowOff>96434</xdr:rowOff>
    </xdr:from>
    <xdr:to>
      <xdr:col>10</xdr:col>
      <xdr:colOff>250197</xdr:colOff>
      <xdr:row>14</xdr:row>
      <xdr:rowOff>126070</xdr:rowOff>
    </xdr:to>
    <xdr:sp macro="" textlink="'Variable Management'!B422">
      <xdr:nvSpPr>
        <xdr:cNvPr id="84" name="Text Box 276">
          <a:extLst>
            <a:ext uri="{FF2B5EF4-FFF2-40B4-BE49-F238E27FC236}">
              <a16:creationId xmlns:a16="http://schemas.microsoft.com/office/drawing/2014/main" id="{00000000-0008-0000-0000-000054000000}"/>
            </a:ext>
          </a:extLst>
        </xdr:cNvPr>
        <xdr:cNvSpPr txBox="1">
          <a:spLocks noChangeArrowheads="1" noTextEdit="1"/>
        </xdr:cNvSpPr>
      </xdr:nvSpPr>
      <xdr:spPr bwMode="auto">
        <a:xfrm>
          <a:off x="5787449" y="2906309"/>
          <a:ext cx="596848" cy="243949"/>
        </a:xfrm>
        <a:prstGeom prst="rect">
          <a:avLst/>
        </a:prstGeom>
        <a:noFill/>
        <a:ln w="9525">
          <a:noFill/>
          <a:miter lim="800000"/>
          <a:headEnd/>
          <a:tailEnd/>
        </a:ln>
      </xdr:spPr>
      <xdr:txBody>
        <a:bodyPr vertOverflow="clip" wrap="square" lIns="27432" tIns="22860" rIns="0" bIns="0" anchor="t" upright="1"/>
        <a:lstStyle/>
        <a:p>
          <a:pPr algn="r" rtl="0">
            <a:defRPr sz="1000"/>
          </a:pPr>
          <a:fld id="{59617F90-7F7F-43F9-AB4B-411A3D6FCFA0}" type="TxLink">
            <a:rPr lang="en-US" sz="1000" b="0" i="0" u="none" strike="noStrike" baseline="0">
              <a:solidFill>
                <a:srgbClr val="000000"/>
              </a:solidFill>
              <a:latin typeface="Arial" panose="020B0604020202020204" pitchFamily="34" charset="0"/>
              <a:cs typeface="Arial" panose="020B0604020202020204" pitchFamily="34" charset="0"/>
            </a:rPr>
            <a:pPr algn="r" rtl="0">
              <a:defRPr sz="1000"/>
            </a:pPr>
            <a:t>9.53kΩ</a:t>
          </a:fld>
          <a:endParaRPr lang="en-US" sz="10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editAs="absolute">
    <xdr:from>
      <xdr:col>10</xdr:col>
      <xdr:colOff>574616</xdr:colOff>
      <xdr:row>8</xdr:row>
      <xdr:rowOff>3470</xdr:rowOff>
    </xdr:from>
    <xdr:to>
      <xdr:col>11</xdr:col>
      <xdr:colOff>307735</xdr:colOff>
      <xdr:row>9</xdr:row>
      <xdr:rowOff>42738</xdr:rowOff>
    </xdr:to>
    <xdr:sp macro="" textlink="'Variable Management'!B405">
      <xdr:nvSpPr>
        <xdr:cNvPr id="83" name="Text Box 276">
          <a:extLst>
            <a:ext uri="{FF2B5EF4-FFF2-40B4-BE49-F238E27FC236}">
              <a16:creationId xmlns:a16="http://schemas.microsoft.com/office/drawing/2014/main" id="{00000000-0008-0000-0000-000053000000}"/>
            </a:ext>
          </a:extLst>
        </xdr:cNvPr>
        <xdr:cNvSpPr txBox="1">
          <a:spLocks noChangeArrowheads="1" noTextEdit="1"/>
        </xdr:cNvSpPr>
      </xdr:nvSpPr>
      <xdr:spPr bwMode="auto">
        <a:xfrm>
          <a:off x="6555980" y="1951276"/>
          <a:ext cx="572551" cy="237837"/>
        </a:xfrm>
        <a:prstGeom prst="rect">
          <a:avLst/>
        </a:prstGeom>
        <a:noFill/>
        <a:ln w="9525">
          <a:noFill/>
          <a:miter lim="800000"/>
          <a:headEnd/>
          <a:tailEnd/>
        </a:ln>
      </xdr:spPr>
      <xdr:txBody>
        <a:bodyPr vertOverflow="clip" wrap="square" lIns="27432" tIns="22860" rIns="0" bIns="0" anchor="ctr" upright="1"/>
        <a:lstStyle/>
        <a:p>
          <a:pPr algn="r" rtl="0">
            <a:defRPr sz="1000"/>
          </a:pPr>
          <a:fld id="{1733A4D7-3523-40B9-84DE-2D041844A89F}" type="TxLink">
            <a:rPr lang="en-US" sz="1000" b="0" i="0" u="none" strike="noStrike" baseline="0">
              <a:solidFill>
                <a:srgbClr val="000000"/>
              </a:solidFill>
              <a:latin typeface="Arial"/>
              <a:cs typeface="Arial"/>
            </a:rPr>
            <a:pPr algn="r" rtl="0">
              <a:defRPr sz="1000"/>
            </a:pPr>
            <a:t> </a:t>
          </a:fld>
          <a:endParaRPr lang="en-US" sz="1000" b="0" i="0" u="none" strike="noStrike" baseline="0">
            <a:solidFill>
              <a:srgbClr val="000000"/>
            </a:solidFill>
            <a:latin typeface="Arial" pitchFamily="34" charset="0"/>
            <a:cs typeface="Arial" pitchFamily="34" charset="0"/>
          </a:endParaRPr>
        </a:p>
      </xdr:txBody>
    </xdr:sp>
    <xdr:clientData/>
  </xdr:twoCellAnchor>
  <xdr:twoCellAnchor editAs="absolute">
    <xdr:from>
      <xdr:col>10</xdr:col>
      <xdr:colOff>688916</xdr:colOff>
      <xdr:row>10</xdr:row>
      <xdr:rowOff>80228</xdr:rowOff>
    </xdr:from>
    <xdr:to>
      <xdr:col>11</xdr:col>
      <xdr:colOff>307735</xdr:colOff>
      <xdr:row>11</xdr:row>
      <xdr:rowOff>156445</xdr:rowOff>
    </xdr:to>
    <xdr:sp macro="" textlink="'Variable Management'!B404">
      <xdr:nvSpPr>
        <xdr:cNvPr id="85" name="Text Box 276">
          <a:extLst>
            <a:ext uri="{FF2B5EF4-FFF2-40B4-BE49-F238E27FC236}">
              <a16:creationId xmlns:a16="http://schemas.microsoft.com/office/drawing/2014/main" id="{00000000-0008-0000-0000-000055000000}"/>
            </a:ext>
          </a:extLst>
        </xdr:cNvPr>
        <xdr:cNvSpPr txBox="1">
          <a:spLocks noChangeArrowheads="1" noTextEdit="1"/>
        </xdr:cNvSpPr>
      </xdr:nvSpPr>
      <xdr:spPr bwMode="auto">
        <a:xfrm>
          <a:off x="6670280" y="2407802"/>
          <a:ext cx="458251" cy="251701"/>
        </a:xfrm>
        <a:prstGeom prst="rect">
          <a:avLst/>
        </a:prstGeom>
        <a:noFill/>
        <a:ln w="9525">
          <a:noFill/>
          <a:miter lim="800000"/>
          <a:headEnd/>
          <a:tailEnd/>
        </a:ln>
      </xdr:spPr>
      <xdr:txBody>
        <a:bodyPr vertOverflow="clip" wrap="square" lIns="27432" tIns="22860" rIns="0" bIns="0" anchor="ctr" upright="1"/>
        <a:lstStyle/>
        <a:p>
          <a:pPr algn="r" rtl="0">
            <a:defRPr sz="1000"/>
          </a:pPr>
          <a:fld id="{64A40C25-B8C4-4137-A6E6-043573078923}" type="TxLink">
            <a:rPr lang="en-US" sz="1000" b="0" i="0" u="none" strike="noStrike" baseline="0">
              <a:solidFill>
                <a:srgbClr val="000000"/>
              </a:solidFill>
              <a:latin typeface="Arial"/>
              <a:cs typeface="Arial"/>
            </a:rPr>
            <a:pPr algn="r" rtl="0">
              <a:defRPr sz="1000"/>
            </a:pPr>
            <a:t> </a:t>
          </a:fld>
          <a:endParaRPr lang="en-US" sz="1000" b="0" i="0" u="none" strike="noStrike" baseline="0">
            <a:solidFill>
              <a:srgbClr val="000000"/>
            </a:solidFill>
            <a:latin typeface="Arial" pitchFamily="34" charset="0"/>
            <a:cs typeface="Arial" pitchFamily="34" charset="0"/>
          </a:endParaRPr>
        </a:p>
      </xdr:txBody>
    </xdr:sp>
    <xdr:clientData/>
  </xdr:twoCellAnchor>
  <xdr:twoCellAnchor>
    <xdr:from>
      <xdr:col>11</xdr:col>
      <xdr:colOff>335280</xdr:colOff>
      <xdr:row>14</xdr:row>
      <xdr:rowOff>244906</xdr:rowOff>
    </xdr:from>
    <xdr:to>
      <xdr:col>15</xdr:col>
      <xdr:colOff>403860</xdr:colOff>
      <xdr:row>17</xdr:row>
      <xdr:rowOff>42303</xdr:rowOff>
    </xdr:to>
    <xdr:sp macro="" textlink="'Variable Management'!P29">
      <xdr:nvSpPr>
        <xdr:cNvPr id="100" name="Text Box 255">
          <a:extLst>
            <a:ext uri="{FF2B5EF4-FFF2-40B4-BE49-F238E27FC236}">
              <a16:creationId xmlns:a16="http://schemas.microsoft.com/office/drawing/2014/main" id="{00000000-0008-0000-0000-000064000000}"/>
            </a:ext>
          </a:extLst>
        </xdr:cNvPr>
        <xdr:cNvSpPr txBox="1">
          <a:spLocks noChangeArrowheads="1"/>
        </xdr:cNvSpPr>
      </xdr:nvSpPr>
      <xdr:spPr bwMode="auto">
        <a:xfrm>
          <a:off x="7322820" y="3270046"/>
          <a:ext cx="2636520" cy="429857"/>
        </a:xfrm>
        <a:prstGeom prst="rect">
          <a:avLst/>
        </a:prstGeom>
        <a:noFill/>
        <a:ln w="9525">
          <a:noFill/>
          <a:miter lim="800000"/>
          <a:headEnd/>
          <a:tailEnd/>
        </a:ln>
      </xdr:spPr>
      <xdr:txBody>
        <a:bodyPr vertOverflow="clip" wrap="square" lIns="27432" tIns="27432" rIns="0" bIns="0" anchor="ctr" upright="1"/>
        <a:lstStyle/>
        <a:p>
          <a:pPr algn="ctr" rtl="0">
            <a:defRPr sz="1000"/>
          </a:pPr>
          <a:fld id="{3D1EE03A-7ADC-44E7-8465-7E5A0D981313}" type="TxLink">
            <a:rPr lang="en-US" sz="1400" b="1" i="0" u="none" strike="noStrike">
              <a:solidFill>
                <a:srgbClr val="FF0000"/>
              </a:solidFill>
              <a:latin typeface="Arial"/>
              <a:cs typeface="Arial"/>
            </a:rPr>
            <a:pPr algn="ctr" rtl="0">
              <a:defRPr sz="1000"/>
            </a:pPr>
            <a:t>LM5148</a:t>
          </a:fld>
          <a:endParaRPr lang="en-US" sz="4000" b="1" i="0" strike="noStrike" baseline="-25000">
            <a:solidFill>
              <a:srgbClr val="FF0000"/>
            </a:solidFill>
            <a:latin typeface="Arial" pitchFamily="34" charset="0"/>
            <a:cs typeface="Arial" pitchFamily="34" charset="0"/>
          </a:endParaRPr>
        </a:p>
      </xdr:txBody>
    </xdr:sp>
    <xdr:clientData/>
  </xdr:twoCellAnchor>
  <xdr:twoCellAnchor editAs="absolute">
    <xdr:from>
      <xdr:col>10</xdr:col>
      <xdr:colOff>92678</xdr:colOff>
      <xdr:row>22</xdr:row>
      <xdr:rowOff>118704</xdr:rowOff>
    </xdr:from>
    <xdr:to>
      <xdr:col>10</xdr:col>
      <xdr:colOff>739363</xdr:colOff>
      <xdr:row>23</xdr:row>
      <xdr:rowOff>194771</xdr:rowOff>
    </xdr:to>
    <xdr:sp macro="" textlink="'Variable Management'!E407">
      <xdr:nvSpPr>
        <xdr:cNvPr id="99" name="Text Box 263">
          <a:extLst>
            <a:ext uri="{FF2B5EF4-FFF2-40B4-BE49-F238E27FC236}">
              <a16:creationId xmlns:a16="http://schemas.microsoft.com/office/drawing/2014/main" id="{00000000-0008-0000-0000-000063000000}"/>
            </a:ext>
          </a:extLst>
        </xdr:cNvPr>
        <xdr:cNvSpPr txBox="1">
          <a:spLocks noChangeArrowheads="1" noTextEdit="1"/>
        </xdr:cNvSpPr>
      </xdr:nvSpPr>
      <xdr:spPr bwMode="auto">
        <a:xfrm>
          <a:off x="6235570" y="4667258"/>
          <a:ext cx="646685" cy="246051"/>
        </a:xfrm>
        <a:prstGeom prst="rect">
          <a:avLst/>
        </a:prstGeom>
        <a:noFill/>
        <a:ln w="9525">
          <a:noFill/>
          <a:miter lim="800000"/>
          <a:headEnd/>
          <a:tailEnd/>
        </a:ln>
      </xdr:spPr>
      <xdr:txBody>
        <a:bodyPr vertOverflow="clip" wrap="square" lIns="27432" tIns="22860" rIns="0" bIns="0" anchor="t" upright="1"/>
        <a:lstStyle/>
        <a:p>
          <a:pPr algn="ctr" rtl="0">
            <a:defRPr sz="1000"/>
          </a:pPr>
          <a:fld id="{3031C7D8-B5EB-4140-BBBF-1F7FE936F989}" type="TxLink">
            <a:rPr lang="en-US" sz="1000" b="0" i="0" u="none" strike="noStrike" baseline="0">
              <a:solidFill>
                <a:srgbClr val="000000"/>
              </a:solidFill>
              <a:latin typeface="Arial"/>
              <a:cs typeface="Arial"/>
            </a:rPr>
            <a:pPr algn="ctr" rtl="0">
              <a:defRPr sz="1000"/>
            </a:pPr>
            <a:t> </a:t>
          </a:fld>
          <a:endParaRPr lang="el-GR" sz="1000" b="0" i="0" u="none" strike="noStrike" baseline="0">
            <a:solidFill>
              <a:srgbClr val="000000"/>
            </a:solidFill>
            <a:latin typeface="Arial" pitchFamily="34" charset="0"/>
            <a:cs typeface="Arial" pitchFamily="34" charset="0"/>
          </a:endParaRPr>
        </a:p>
      </xdr:txBody>
    </xdr:sp>
    <xdr:clientData/>
  </xdr:twoCellAnchor>
  <xdr:twoCellAnchor editAs="absolute">
    <xdr:from>
      <xdr:col>9</xdr:col>
      <xdr:colOff>42394</xdr:colOff>
      <xdr:row>22</xdr:row>
      <xdr:rowOff>79883</xdr:rowOff>
    </xdr:from>
    <xdr:to>
      <xdr:col>10</xdr:col>
      <xdr:colOff>156515</xdr:colOff>
      <xdr:row>23</xdr:row>
      <xdr:rowOff>193945</xdr:rowOff>
    </xdr:to>
    <xdr:sp macro="" textlink="'Variable Management'!C407">
      <xdr:nvSpPr>
        <xdr:cNvPr id="101" name="Text Box 263">
          <a:extLst>
            <a:ext uri="{FF2B5EF4-FFF2-40B4-BE49-F238E27FC236}">
              <a16:creationId xmlns:a16="http://schemas.microsoft.com/office/drawing/2014/main" id="{00000000-0008-0000-0000-000065000000}"/>
            </a:ext>
          </a:extLst>
        </xdr:cNvPr>
        <xdr:cNvSpPr txBox="1">
          <a:spLocks noChangeArrowheads="1" noTextEdit="1"/>
        </xdr:cNvSpPr>
      </xdr:nvSpPr>
      <xdr:spPr bwMode="auto">
        <a:xfrm>
          <a:off x="5521734" y="4738280"/>
          <a:ext cx="621860" cy="291451"/>
        </a:xfrm>
        <a:prstGeom prst="rect">
          <a:avLst/>
        </a:prstGeom>
        <a:noFill/>
        <a:ln w="9525">
          <a:noFill/>
          <a:miter lim="800000"/>
          <a:headEnd/>
          <a:tailEnd/>
        </a:ln>
      </xdr:spPr>
      <xdr:txBody>
        <a:bodyPr vertOverflow="clip" wrap="square" lIns="27432" tIns="22860" rIns="0" bIns="0" anchor="t" upright="1"/>
        <a:lstStyle/>
        <a:p>
          <a:pPr algn="ctr" rtl="0">
            <a:defRPr sz="1000"/>
          </a:pPr>
          <a:fld id="{4871C2E7-D21C-4ED8-8DE5-93C2B2A18B90}" type="TxLink">
            <a:rPr lang="en-US" sz="1000" b="0" i="0" u="none" strike="noStrike" baseline="0">
              <a:solidFill>
                <a:srgbClr val="000000"/>
              </a:solidFill>
              <a:latin typeface="Arial"/>
              <a:cs typeface="Arial"/>
            </a:rPr>
            <a:pPr algn="ctr" rtl="0">
              <a:defRPr sz="1000"/>
            </a:pPr>
            <a:t> </a:t>
          </a:fld>
          <a:endParaRPr lang="el-GR" sz="1000" b="0" i="0" u="none" strike="noStrike" baseline="0">
            <a:solidFill>
              <a:srgbClr val="000000"/>
            </a:solidFill>
            <a:latin typeface="Arial" pitchFamily="34" charset="0"/>
            <a:cs typeface="Arial"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76200</xdr:colOff>
          <xdr:row>4</xdr:row>
          <xdr:rowOff>9525</xdr:rowOff>
        </xdr:from>
        <xdr:to>
          <xdr:col>7</xdr:col>
          <xdr:colOff>114300</xdr:colOff>
          <xdr:row>4</xdr:row>
          <xdr:rowOff>247650</xdr:rowOff>
        </xdr:to>
        <xdr:sp macro="" textlink="">
          <xdr:nvSpPr>
            <xdr:cNvPr id="843436" name="Drop Down 8876" hidden="1">
              <a:extLst>
                <a:ext uri="{63B3BB69-23CF-44E3-9099-C40C66FF867C}">
                  <a14:compatExt spid="_x0000_s843436"/>
                </a:ext>
                <a:ext uri="{FF2B5EF4-FFF2-40B4-BE49-F238E27FC236}">
                  <a16:creationId xmlns:a16="http://schemas.microsoft.com/office/drawing/2014/main" id="{00000000-0008-0000-0000-0000ACDE0C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xdr:twoCellAnchor editAs="absolute">
    <xdr:from>
      <xdr:col>15</xdr:col>
      <xdr:colOff>1219200</xdr:colOff>
      <xdr:row>22</xdr:row>
      <xdr:rowOff>15240</xdr:rowOff>
    </xdr:from>
    <xdr:to>
      <xdr:col>15</xdr:col>
      <xdr:colOff>2894921</xdr:colOff>
      <xdr:row>24</xdr:row>
      <xdr:rowOff>30359</xdr:rowOff>
    </xdr:to>
    <xdr:sp macro="" textlink="">
      <xdr:nvSpPr>
        <xdr:cNvPr id="50" name="Text Box 249">
          <a:extLst>
            <a:ext uri="{FF2B5EF4-FFF2-40B4-BE49-F238E27FC236}">
              <a16:creationId xmlns:a16="http://schemas.microsoft.com/office/drawing/2014/main" id="{00000000-0008-0000-0000-000032000000}"/>
            </a:ext>
          </a:extLst>
        </xdr:cNvPr>
        <xdr:cNvSpPr txBox="1">
          <a:spLocks noChangeArrowheads="1"/>
        </xdr:cNvSpPr>
      </xdr:nvSpPr>
      <xdr:spPr bwMode="auto">
        <a:xfrm>
          <a:off x="10774680" y="4541520"/>
          <a:ext cx="1675721" cy="396119"/>
        </a:xfrm>
        <a:prstGeom prst="rect">
          <a:avLst/>
        </a:prstGeom>
        <a:noFill/>
        <a:ln w="9525">
          <a:noFill/>
          <a:miter lim="800000"/>
          <a:headEnd/>
          <a:tailEnd/>
        </a:ln>
      </xdr:spPr>
      <xdr:txBody>
        <a:bodyPr vertOverflow="clip" wrap="square" lIns="27432" tIns="27432" rIns="0" bIns="0" anchor="ctr" upright="1"/>
        <a:lstStyle/>
        <a:p>
          <a:pPr algn="l" rtl="0">
            <a:defRPr sz="1000"/>
          </a:pPr>
          <a:r>
            <a:rPr lang="en-US" sz="1000" b="0" i="0" strike="noStrike">
              <a:solidFill>
                <a:srgbClr val="000000"/>
              </a:solidFill>
              <a:latin typeface="Arial" pitchFamily="34" charset="0"/>
              <a:cs typeface="Arial" pitchFamily="34" charset="0"/>
            </a:rPr>
            <a:t>Connect to 5V rail </a:t>
          </a:r>
        </a:p>
        <a:p>
          <a:pPr algn="l" rtl="0">
            <a:defRPr sz="1000"/>
          </a:pPr>
          <a:r>
            <a:rPr lang="en-US" sz="1000" b="0" i="0" strike="noStrike">
              <a:solidFill>
                <a:srgbClr val="000000"/>
              </a:solidFill>
              <a:latin typeface="Arial" pitchFamily="34" charset="0"/>
              <a:cs typeface="Arial" pitchFamily="34" charset="0"/>
            </a:rPr>
            <a:t>(or</a:t>
          </a:r>
          <a:r>
            <a:rPr lang="en-US" sz="1000" b="0" i="0" strike="noStrike" baseline="0">
              <a:solidFill>
                <a:srgbClr val="000000"/>
              </a:solidFill>
              <a:latin typeface="Arial" pitchFamily="34" charset="0"/>
              <a:cs typeface="Arial" pitchFamily="34" charset="0"/>
            </a:rPr>
            <a:t> tie to GND if not used)</a:t>
          </a:r>
          <a:endParaRPr lang="en-US" sz="1000" b="0" i="0" strike="noStrike" baseline="-25000">
            <a:solidFill>
              <a:srgbClr val="000000"/>
            </a:solidFill>
            <a:latin typeface="Arial" pitchFamily="34" charset="0"/>
            <a:cs typeface="Arial" pitchFamily="34" charset="0"/>
          </a:endParaRPr>
        </a:p>
      </xdr:txBody>
    </xdr:sp>
    <xdr:clientData/>
  </xdr:twoCellAnchor>
  <xdr:twoCellAnchor editAs="absolute">
    <xdr:from>
      <xdr:col>14</xdr:col>
      <xdr:colOff>640080</xdr:colOff>
      <xdr:row>43</xdr:row>
      <xdr:rowOff>76200</xdr:rowOff>
    </xdr:from>
    <xdr:to>
      <xdr:col>15</xdr:col>
      <xdr:colOff>3368040</xdr:colOff>
      <xdr:row>45</xdr:row>
      <xdr:rowOff>2643</xdr:rowOff>
    </xdr:to>
    <xdr:sp macro="" textlink="'Variable Management'!A426">
      <xdr:nvSpPr>
        <xdr:cNvPr id="51" name="Text Box 283">
          <a:extLst>
            <a:ext uri="{FF2B5EF4-FFF2-40B4-BE49-F238E27FC236}">
              <a16:creationId xmlns:a16="http://schemas.microsoft.com/office/drawing/2014/main" id="{00000000-0008-0000-0000-000033000000}"/>
            </a:ext>
          </a:extLst>
        </xdr:cNvPr>
        <xdr:cNvSpPr txBox="1">
          <a:spLocks noChangeArrowheads="1" noTextEdit="1"/>
        </xdr:cNvSpPr>
      </xdr:nvSpPr>
      <xdr:spPr bwMode="auto">
        <a:xfrm>
          <a:off x="9502140" y="8503920"/>
          <a:ext cx="3421380" cy="276963"/>
        </a:xfrm>
        <a:prstGeom prst="rect">
          <a:avLst/>
        </a:prstGeom>
        <a:noFill/>
        <a:ln w="9525">
          <a:noFill/>
          <a:miter lim="800000"/>
          <a:headEnd/>
          <a:tailEnd/>
        </a:ln>
      </xdr:spPr>
      <xdr:txBody>
        <a:bodyPr vertOverflow="clip" wrap="square" lIns="27432" tIns="22860" rIns="0" bIns="0" anchor="t" upright="1"/>
        <a:lstStyle/>
        <a:p>
          <a:pPr algn="l" rtl="0">
            <a:defRPr sz="1000"/>
          </a:pPr>
          <a:fld id="{6459DEAC-AF83-4910-965F-54E18763E2E4}" type="TxLink">
            <a:rPr lang="en-US" sz="1100" b="1" i="0" u="none" strike="noStrike">
              <a:solidFill>
                <a:srgbClr val="FF0000"/>
              </a:solidFill>
              <a:latin typeface="Arial"/>
              <a:cs typeface="Arial"/>
            </a:rPr>
            <a:pPr algn="l" rtl="0">
              <a:defRPr sz="1000"/>
            </a:pPr>
            <a:t> </a:t>
          </a:fld>
          <a:endParaRPr lang="en-US" sz="1800" b="1" i="0" strike="noStrike">
            <a:solidFill>
              <a:srgbClr val="FF0000"/>
            </a:solidFill>
            <a:latin typeface="Arial" pitchFamily="34" charset="0"/>
            <a:cs typeface="Arial"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9525</xdr:colOff>
      <xdr:row>0</xdr:row>
      <xdr:rowOff>9525</xdr:rowOff>
    </xdr:from>
    <xdr:ext cx="1950720" cy="508288"/>
    <xdr:pic>
      <xdr:nvPicPr>
        <xdr:cNvPr id="2" name="Picture 1">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25" y="9525"/>
          <a:ext cx="1950720" cy="508288"/>
        </a:xfrm>
        <a:prstGeom prst="rect">
          <a:avLst/>
        </a:prstGeom>
      </xdr:spPr>
    </xdr:pic>
    <xdr:clientData/>
  </xdr:oneCellAnchor>
  <mc:AlternateContent xmlns:mc="http://schemas.openxmlformats.org/markup-compatibility/2006">
    <mc:Choice xmlns:a14="http://schemas.microsoft.com/office/drawing/2010/main" Requires="a14">
      <xdr:twoCellAnchor>
        <xdr:from>
          <xdr:col>0</xdr:col>
          <xdr:colOff>533400</xdr:colOff>
          <xdr:row>18</xdr:row>
          <xdr:rowOff>38100</xdr:rowOff>
        </xdr:from>
        <xdr:to>
          <xdr:col>6</xdr:col>
          <xdr:colOff>342900</xdr:colOff>
          <xdr:row>35</xdr:row>
          <xdr:rowOff>95250</xdr:rowOff>
        </xdr:to>
        <xdr:sp macro="" textlink="">
          <xdr:nvSpPr>
            <xdr:cNvPr id="797704" name="Object 4" hidden="1">
              <a:extLst>
                <a:ext uri="{63B3BB69-23CF-44E3-9099-C40C66FF867C}">
                  <a14:compatExt spid="_x0000_s797704"/>
                </a:ext>
                <a:ext uri="{FF2B5EF4-FFF2-40B4-BE49-F238E27FC236}">
                  <a16:creationId xmlns:a16="http://schemas.microsoft.com/office/drawing/2014/main" id="{00000000-0008-0000-0100-0000082C0C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14</xdr:col>
          <xdr:colOff>102870</xdr:colOff>
          <xdr:row>12</xdr:row>
          <xdr:rowOff>125730</xdr:rowOff>
        </xdr:from>
        <xdr:to>
          <xdr:col>16</xdr:col>
          <xdr:colOff>6606540</xdr:colOff>
          <xdr:row>42</xdr:row>
          <xdr:rowOff>94273</xdr:rowOff>
        </xdr:to>
        <xdr:pic>
          <xdr:nvPicPr>
            <xdr:cNvPr id="6" name="Picture 1174">
              <a:extLst>
                <a:ext uri="{FF2B5EF4-FFF2-40B4-BE49-F238E27FC236}">
                  <a16:creationId xmlns:a16="http://schemas.microsoft.com/office/drawing/2014/main" id="{00000000-0008-0000-0100-000006000000}"/>
                </a:ext>
              </a:extLst>
            </xdr:cNvPr>
            <xdr:cNvPicPr>
              <a:picLocks noChangeAspect="1" noChangeArrowheads="1"/>
              <a:extLst>
                <a:ext uri="{84589F7E-364E-4C9E-8A38-B11213B215E9}">
                  <a14:cameraTool cellRange="BODE_PLOT_Ch2" spid="_x0000_s798371"/>
                </a:ext>
              </a:extLst>
            </xdr:cNvPicPr>
          </xdr:nvPicPr>
          <xdr:blipFill>
            <a:blip xmlns:r="http://schemas.openxmlformats.org/officeDocument/2006/relationships" r:embed="rId3"/>
            <a:srcRect/>
            <a:stretch>
              <a:fillRect/>
            </a:stretch>
          </xdr:blipFill>
          <xdr:spPr bwMode="auto">
            <a:xfrm>
              <a:off x="8181975" y="2781300"/>
              <a:ext cx="7724775" cy="488915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15875">
                  <a:solidFill>
                    <a:srgbClr val="000000"/>
                  </a:solidFill>
                  <a:miter lim="800000"/>
                  <a:headEnd/>
                  <a:tailEnd/>
                </a14:hiddenLine>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419100</xdr:colOff>
          <xdr:row>19</xdr:row>
          <xdr:rowOff>38100</xdr:rowOff>
        </xdr:from>
        <xdr:to>
          <xdr:col>14</xdr:col>
          <xdr:colOff>19050</xdr:colOff>
          <xdr:row>32</xdr:row>
          <xdr:rowOff>133350</xdr:rowOff>
        </xdr:to>
        <xdr:sp macro="" textlink="">
          <xdr:nvSpPr>
            <xdr:cNvPr id="797852" name="Object 156" hidden="1">
              <a:extLst>
                <a:ext uri="{63B3BB69-23CF-44E3-9099-C40C66FF867C}">
                  <a14:compatExt spid="_x0000_s797852"/>
                </a:ext>
                <a:ext uri="{FF2B5EF4-FFF2-40B4-BE49-F238E27FC236}">
                  <a16:creationId xmlns:a16="http://schemas.microsoft.com/office/drawing/2014/main" id="{00000000-0008-0000-0100-00009C2C0C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9525</xdr:colOff>
      <xdr:row>0</xdr:row>
      <xdr:rowOff>9525</xdr:rowOff>
    </xdr:from>
    <xdr:to>
      <xdr:col>3</xdr:col>
      <xdr:colOff>131445</xdr:colOff>
      <xdr:row>1</xdr:row>
      <xdr:rowOff>3463</xdr:rowOff>
    </xdr:to>
    <xdr:pic>
      <xdr:nvPicPr>
        <xdr:cNvPr id="8" name="Picture 7">
          <a:hlinkClick xmlns:r="http://schemas.openxmlformats.org/officeDocument/2006/relationships" r:id="rId1"/>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25" y="9525"/>
          <a:ext cx="2223770" cy="590838"/>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8</xdr:col>
          <xdr:colOff>276536</xdr:colOff>
          <xdr:row>17</xdr:row>
          <xdr:rowOff>82236</xdr:rowOff>
        </xdr:from>
        <xdr:to>
          <xdr:col>16</xdr:col>
          <xdr:colOff>3599012</xdr:colOff>
          <xdr:row>50</xdr:row>
          <xdr:rowOff>130874</xdr:rowOff>
        </xdr:to>
        <xdr:pic>
          <xdr:nvPicPr>
            <xdr:cNvPr id="3" name="Picture 1174">
              <a:extLst>
                <a:ext uri="{FF2B5EF4-FFF2-40B4-BE49-F238E27FC236}">
                  <a16:creationId xmlns:a16="http://schemas.microsoft.com/office/drawing/2014/main" id="{00000000-0008-0000-0200-000003000000}"/>
                </a:ext>
              </a:extLst>
            </xdr:cNvPr>
            <xdr:cNvPicPr>
              <a:picLocks noChangeAspect="1" noChangeArrowheads="1"/>
              <a:extLst>
                <a:ext uri="{84589F7E-364E-4C9E-8A38-B11213B215E9}">
                  <a14:cameraTool cellRange="BODE_PLOT_Ch2" spid="_x0000_s785250"/>
                </a:ext>
              </a:extLst>
            </xdr:cNvPicPr>
          </xdr:nvPicPr>
          <xdr:blipFill>
            <a:blip xmlns:r="http://schemas.openxmlformats.org/officeDocument/2006/relationships" r:embed="rId3"/>
            <a:srcRect/>
            <a:stretch>
              <a:fillRect/>
            </a:stretch>
          </xdr:blipFill>
          <xdr:spPr bwMode="auto">
            <a:xfrm>
              <a:off x="4842559" y="3358836"/>
              <a:ext cx="9002739" cy="549693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15875">
                  <a:solidFill>
                    <a:srgbClr val="000000"/>
                  </a:solidFill>
                  <a:miter lim="800000"/>
                  <a:headEnd/>
                  <a:tailEnd/>
                </a14:hiddenLine>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206189</xdr:colOff>
          <xdr:row>1</xdr:row>
          <xdr:rowOff>62754</xdr:rowOff>
        </xdr:from>
        <xdr:to>
          <xdr:col>7</xdr:col>
          <xdr:colOff>1087708</xdr:colOff>
          <xdr:row>28</xdr:row>
          <xdr:rowOff>135014</xdr:rowOff>
        </xdr:to>
        <xdr:pic>
          <xdr:nvPicPr>
            <xdr:cNvPr id="29" name="Picture 1175">
              <a:extLst>
                <a:ext uri="{FF2B5EF4-FFF2-40B4-BE49-F238E27FC236}">
                  <a16:creationId xmlns:a16="http://schemas.microsoft.com/office/drawing/2014/main" id="{00000000-0008-0000-0300-00001D000000}"/>
                </a:ext>
              </a:extLst>
            </xdr:cNvPr>
            <xdr:cNvPicPr>
              <a:picLocks noChangeAspect="1" noChangeArrowheads="1"/>
              <a:extLst>
                <a:ext uri="{84589F7E-364E-4C9E-8A38-B11213B215E9}">
                  <a14:cameraTool cellRange="PICTURE2" spid="_x0000_s830858"/>
                </a:ext>
              </a:extLst>
            </xdr:cNvPicPr>
          </xdr:nvPicPr>
          <xdr:blipFill>
            <a:blip xmlns:r="http://schemas.openxmlformats.org/officeDocument/2006/relationships" r:embed="rId1"/>
            <a:srcRect/>
            <a:stretch>
              <a:fillRect/>
            </a:stretch>
          </xdr:blipFill>
          <xdr:spPr bwMode="auto">
            <a:xfrm>
              <a:off x="206189" y="233083"/>
              <a:ext cx="8680813" cy="4671155"/>
            </a:xfrm>
            <a:prstGeom prst="rect">
              <a:avLst/>
            </a:prstGeom>
            <a:noFill/>
            <a:ln w="15875">
              <a:noFill/>
              <a:miter lim="800000"/>
              <a:headEnd/>
              <a:tailEnd/>
            </a:ln>
            <a:extLst>
              <a:ext uri="{909E8E84-426E-40DD-AFC4-6F175D3DCCD1}">
                <a14:hiddenFill>
                  <a:solidFill>
                    <a:srgbClr val="FFFFFF" mc:Ignorable="a14" a14:legacySpreadsheetColorIndex="65"/>
                  </a:solidFill>
                </a14:hiddenFill>
              </a:ext>
            </a:extLst>
          </xdr:spPr>
        </xdr:pic>
        <xdr:clientData/>
      </xdr:twoCellAnchor>
    </mc:Choice>
    <mc:Fallback/>
  </mc:AlternateContent>
  <xdr:twoCellAnchor editAs="absolute">
    <xdr:from>
      <xdr:col>2</xdr:col>
      <xdr:colOff>144402</xdr:colOff>
      <xdr:row>24</xdr:row>
      <xdr:rowOff>1543</xdr:rowOff>
    </xdr:from>
    <xdr:to>
      <xdr:col>2</xdr:col>
      <xdr:colOff>594282</xdr:colOff>
      <xdr:row>25</xdr:row>
      <xdr:rowOff>71045</xdr:rowOff>
    </xdr:to>
    <xdr:sp macro="" textlink="'Variable Management'!B409">
      <xdr:nvSpPr>
        <xdr:cNvPr id="30" name="Text Box 262">
          <a:extLst>
            <a:ext uri="{FF2B5EF4-FFF2-40B4-BE49-F238E27FC236}">
              <a16:creationId xmlns:a16="http://schemas.microsoft.com/office/drawing/2014/main" id="{00000000-0008-0000-0300-00001E000000}"/>
            </a:ext>
          </a:extLst>
        </xdr:cNvPr>
        <xdr:cNvSpPr txBox="1">
          <a:spLocks noChangeArrowheads="1" noTextEdit="1"/>
        </xdr:cNvSpPr>
      </xdr:nvSpPr>
      <xdr:spPr bwMode="auto">
        <a:xfrm>
          <a:off x="2197320" y="4086759"/>
          <a:ext cx="449880" cy="242521"/>
        </a:xfrm>
        <a:prstGeom prst="rect">
          <a:avLst/>
        </a:prstGeom>
        <a:noFill/>
        <a:ln w="9525">
          <a:noFill/>
          <a:miter lim="800000"/>
          <a:headEnd/>
          <a:tailEnd/>
        </a:ln>
      </xdr:spPr>
      <xdr:txBody>
        <a:bodyPr vertOverflow="clip" wrap="square" lIns="27432" tIns="22860" rIns="0" bIns="0" anchor="ctr" upright="1"/>
        <a:lstStyle/>
        <a:p>
          <a:pPr algn="l" rtl="0">
            <a:defRPr sz="1000"/>
          </a:pPr>
          <a:fld id="{2D8520E2-C481-4B17-83BA-3FA209B7A03A}" type="TxLink">
            <a:rPr lang="en-US" sz="1000" b="0" i="0" u="none" strike="noStrike" baseline="0">
              <a:solidFill>
                <a:srgbClr val="000000"/>
              </a:solidFill>
              <a:latin typeface="Arial" pitchFamily="34" charset="0"/>
              <a:cs typeface="Arial" pitchFamily="34" charset="0"/>
            </a:rPr>
            <a:pPr algn="l" rtl="0">
              <a:defRPr sz="1000"/>
            </a:pPr>
            <a:t>N/A</a:t>
          </a:fld>
          <a:endParaRPr lang="en-US" sz="1000" b="0" i="0" u="none" strike="noStrike" baseline="0">
            <a:solidFill>
              <a:srgbClr val="000000"/>
            </a:solidFill>
            <a:latin typeface="Arial" pitchFamily="34" charset="0"/>
            <a:cs typeface="Arial" pitchFamily="34" charset="0"/>
          </a:endParaRPr>
        </a:p>
      </xdr:txBody>
    </xdr:sp>
    <xdr:clientData/>
  </xdr:twoCellAnchor>
  <xdr:twoCellAnchor editAs="absolute">
    <xdr:from>
      <xdr:col>1</xdr:col>
      <xdr:colOff>529650</xdr:colOff>
      <xdr:row>22</xdr:row>
      <xdr:rowOff>155646</xdr:rowOff>
    </xdr:from>
    <xdr:to>
      <xdr:col>1</xdr:col>
      <xdr:colOff>1167676</xdr:colOff>
      <xdr:row>24</xdr:row>
      <xdr:rowOff>61321</xdr:rowOff>
    </xdr:to>
    <xdr:sp macro="" textlink="'Variable Management'!B407">
      <xdr:nvSpPr>
        <xdr:cNvPr id="31" name="Text Box 263">
          <a:extLst>
            <a:ext uri="{FF2B5EF4-FFF2-40B4-BE49-F238E27FC236}">
              <a16:creationId xmlns:a16="http://schemas.microsoft.com/office/drawing/2014/main" id="{00000000-0008-0000-0300-00001F000000}"/>
            </a:ext>
          </a:extLst>
        </xdr:cNvPr>
        <xdr:cNvSpPr txBox="1">
          <a:spLocks noChangeArrowheads="1" noTextEdit="1"/>
        </xdr:cNvSpPr>
      </xdr:nvSpPr>
      <xdr:spPr bwMode="auto">
        <a:xfrm>
          <a:off x="1184074" y="3902893"/>
          <a:ext cx="638026" cy="246334"/>
        </a:xfrm>
        <a:prstGeom prst="rect">
          <a:avLst/>
        </a:prstGeom>
        <a:noFill/>
        <a:ln w="9525">
          <a:noFill/>
          <a:miter lim="800000"/>
          <a:headEnd/>
          <a:tailEnd/>
        </a:ln>
      </xdr:spPr>
      <xdr:txBody>
        <a:bodyPr vertOverflow="clip" wrap="square" lIns="27432" tIns="22860" rIns="0" bIns="0" anchor="t" upright="1"/>
        <a:lstStyle/>
        <a:p>
          <a:pPr algn="ctr" rtl="0">
            <a:defRPr sz="1000"/>
          </a:pPr>
          <a:fld id="{EDB14F34-7391-4353-9626-FAE030CE211F}" type="TxLink">
            <a:rPr lang="en-US" sz="1000" b="0" i="0" u="none" strike="noStrike" baseline="0">
              <a:solidFill>
                <a:srgbClr val="000000"/>
              </a:solidFill>
              <a:latin typeface="Arial" pitchFamily="34" charset="0"/>
              <a:cs typeface="Arial" pitchFamily="34" charset="0"/>
            </a:rPr>
            <a:pPr algn="ctr" rtl="0">
              <a:defRPr sz="1000"/>
            </a:pPr>
            <a:t>12.1kΩ</a:t>
          </a:fld>
          <a:endParaRPr lang="el-GR" sz="1000" b="0" i="0" u="none" strike="noStrike" baseline="0">
            <a:solidFill>
              <a:srgbClr val="000000"/>
            </a:solidFill>
            <a:latin typeface="Arial" pitchFamily="34" charset="0"/>
            <a:cs typeface="Arial" pitchFamily="34" charset="0"/>
          </a:endParaRPr>
        </a:p>
      </xdr:txBody>
    </xdr:sp>
    <xdr:clientData/>
  </xdr:twoCellAnchor>
  <xdr:twoCellAnchor editAs="absolute">
    <xdr:from>
      <xdr:col>7</xdr:col>
      <xdr:colOff>140426</xdr:colOff>
      <xdr:row>12</xdr:row>
      <xdr:rowOff>106550</xdr:rowOff>
    </xdr:from>
    <xdr:to>
      <xdr:col>7</xdr:col>
      <xdr:colOff>636510</xdr:colOff>
      <xdr:row>14</xdr:row>
      <xdr:rowOff>533</xdr:rowOff>
    </xdr:to>
    <xdr:sp macro="" textlink="'Variable Management'!B397">
      <xdr:nvSpPr>
        <xdr:cNvPr id="32" name="Text Box 267">
          <a:extLst>
            <a:ext uri="{FF2B5EF4-FFF2-40B4-BE49-F238E27FC236}">
              <a16:creationId xmlns:a16="http://schemas.microsoft.com/office/drawing/2014/main" id="{00000000-0008-0000-0300-000020000000}"/>
            </a:ext>
          </a:extLst>
        </xdr:cNvPr>
        <xdr:cNvSpPr txBox="1">
          <a:spLocks noChangeArrowheads="1" noTextEdit="1"/>
        </xdr:cNvSpPr>
      </xdr:nvSpPr>
      <xdr:spPr bwMode="auto">
        <a:xfrm>
          <a:off x="7939720" y="2150503"/>
          <a:ext cx="496084" cy="234642"/>
        </a:xfrm>
        <a:prstGeom prst="rect">
          <a:avLst/>
        </a:prstGeom>
        <a:noFill/>
        <a:ln w="9525">
          <a:noFill/>
          <a:miter lim="800000"/>
          <a:headEnd/>
          <a:tailEnd/>
        </a:ln>
      </xdr:spPr>
      <xdr:txBody>
        <a:bodyPr vertOverflow="clip" wrap="square" lIns="27432" tIns="22860" rIns="0" bIns="0" anchor="ctr" upright="1"/>
        <a:lstStyle/>
        <a:p>
          <a:pPr algn="ctr" rtl="0">
            <a:defRPr sz="1000"/>
          </a:pPr>
          <a:fld id="{DEF62FD0-959B-4627-B7E8-61CA1688D174}" type="TxLink">
            <a:rPr lang="en-US" sz="1000" b="0" i="0" u="none" strike="noStrike" baseline="0">
              <a:solidFill>
                <a:srgbClr val="000000"/>
              </a:solidFill>
              <a:latin typeface="Arial" pitchFamily="34" charset="0"/>
              <a:cs typeface="Arial" pitchFamily="34" charset="0"/>
            </a:rPr>
            <a:pPr algn="ctr" rtl="0">
              <a:defRPr sz="1000"/>
            </a:pPr>
            <a:t>200µF</a:t>
          </a:fld>
          <a:endParaRPr lang="en-US" sz="1000" b="0" i="0" u="none" strike="noStrike" baseline="0">
            <a:solidFill>
              <a:srgbClr val="000000"/>
            </a:solidFill>
            <a:latin typeface="Arial" pitchFamily="34" charset="0"/>
            <a:cs typeface="Arial" pitchFamily="34" charset="0"/>
          </a:endParaRPr>
        </a:p>
      </xdr:txBody>
    </xdr:sp>
    <xdr:clientData/>
  </xdr:twoCellAnchor>
  <xdr:twoCellAnchor editAs="absolute">
    <xdr:from>
      <xdr:col>5</xdr:col>
      <xdr:colOff>915237</xdr:colOff>
      <xdr:row>10</xdr:row>
      <xdr:rowOff>155270</xdr:rowOff>
    </xdr:from>
    <xdr:to>
      <xdr:col>6</xdr:col>
      <xdr:colOff>3527</xdr:colOff>
      <xdr:row>12</xdr:row>
      <xdr:rowOff>38202</xdr:rowOff>
    </xdr:to>
    <xdr:sp macro="" textlink="'Variable Management'!B379">
      <xdr:nvSpPr>
        <xdr:cNvPr id="33" name="Text Box 275">
          <a:extLst>
            <a:ext uri="{FF2B5EF4-FFF2-40B4-BE49-F238E27FC236}">
              <a16:creationId xmlns:a16="http://schemas.microsoft.com/office/drawing/2014/main" id="{00000000-0008-0000-0300-000021000000}"/>
            </a:ext>
          </a:extLst>
        </xdr:cNvPr>
        <xdr:cNvSpPr txBox="1">
          <a:spLocks noChangeArrowheads="1" noTextEdit="1"/>
        </xdr:cNvSpPr>
      </xdr:nvSpPr>
      <xdr:spPr bwMode="auto">
        <a:xfrm>
          <a:off x="6643684" y="1858564"/>
          <a:ext cx="495749" cy="223591"/>
        </a:xfrm>
        <a:prstGeom prst="rect">
          <a:avLst/>
        </a:prstGeom>
        <a:noFill/>
        <a:ln w="9525">
          <a:noFill/>
          <a:miter lim="800000"/>
          <a:headEnd/>
          <a:tailEnd/>
        </a:ln>
      </xdr:spPr>
      <xdr:txBody>
        <a:bodyPr vertOverflow="clip" wrap="square" lIns="27432" tIns="22860" rIns="0" bIns="0" anchor="ctr" upright="1"/>
        <a:lstStyle/>
        <a:p>
          <a:pPr algn="ctr" rtl="0">
            <a:defRPr sz="1000"/>
          </a:pPr>
          <a:fld id="{08583DE7-3129-476B-98BE-2887A134E956}" type="TxLink">
            <a:rPr lang="en-US" sz="1000" b="0" i="0" u="none" strike="noStrike" baseline="0">
              <a:solidFill>
                <a:srgbClr val="000000"/>
              </a:solidFill>
              <a:latin typeface="Arial" pitchFamily="34" charset="0"/>
              <a:cs typeface="Arial" pitchFamily="34" charset="0"/>
            </a:rPr>
            <a:pPr algn="ctr" rtl="0">
              <a:defRPr sz="1000"/>
            </a:pPr>
            <a:t>2.2µH</a:t>
          </a:fld>
          <a:endParaRPr lang="en-US" sz="1000" b="0" i="0" u="none" strike="noStrike" baseline="0">
            <a:solidFill>
              <a:srgbClr val="000000"/>
            </a:solidFill>
            <a:latin typeface="Arial" pitchFamily="34" charset="0"/>
            <a:cs typeface="Arial" pitchFamily="34" charset="0"/>
          </a:endParaRPr>
        </a:p>
      </xdr:txBody>
    </xdr:sp>
    <xdr:clientData/>
  </xdr:twoCellAnchor>
  <xdr:twoCellAnchor editAs="absolute">
    <xdr:from>
      <xdr:col>5</xdr:col>
      <xdr:colOff>1145271</xdr:colOff>
      <xdr:row>4</xdr:row>
      <xdr:rowOff>121708</xdr:rowOff>
    </xdr:from>
    <xdr:to>
      <xdr:col>6</xdr:col>
      <xdr:colOff>231835</xdr:colOff>
      <xdr:row>6</xdr:row>
      <xdr:rowOff>29687</xdr:rowOff>
    </xdr:to>
    <xdr:sp macro="" textlink="'Variable Management'!B401">
      <xdr:nvSpPr>
        <xdr:cNvPr id="34" name="Text Box 276">
          <a:extLst>
            <a:ext uri="{FF2B5EF4-FFF2-40B4-BE49-F238E27FC236}">
              <a16:creationId xmlns:a16="http://schemas.microsoft.com/office/drawing/2014/main" id="{00000000-0008-0000-0300-000022000000}"/>
            </a:ext>
          </a:extLst>
        </xdr:cNvPr>
        <xdr:cNvSpPr txBox="1">
          <a:spLocks noChangeArrowheads="1" noTextEdit="1"/>
        </xdr:cNvSpPr>
      </xdr:nvSpPr>
      <xdr:spPr bwMode="auto">
        <a:xfrm>
          <a:off x="6873718" y="803026"/>
          <a:ext cx="494023" cy="248637"/>
        </a:xfrm>
        <a:prstGeom prst="rect">
          <a:avLst/>
        </a:prstGeom>
        <a:noFill/>
        <a:ln w="9525">
          <a:noFill/>
          <a:miter lim="800000"/>
          <a:headEnd/>
          <a:tailEnd/>
        </a:ln>
      </xdr:spPr>
      <xdr:txBody>
        <a:bodyPr vertOverflow="clip" wrap="square" lIns="27432" tIns="22860" rIns="0" bIns="0" anchor="ctr" upright="1"/>
        <a:lstStyle/>
        <a:p>
          <a:pPr algn="ctr" rtl="0">
            <a:defRPr sz="1000"/>
          </a:pPr>
          <a:fld id="{7E8F3901-1453-4951-8E28-510E65401D4C}" type="TxLink">
            <a:rPr lang="en-US" sz="1000" b="0" i="0" u="none" strike="noStrike" baseline="0">
              <a:solidFill>
                <a:srgbClr val="000000"/>
              </a:solidFill>
              <a:latin typeface="Arial" pitchFamily="34" charset="0"/>
              <a:cs typeface="Arial" pitchFamily="34" charset="0"/>
            </a:rPr>
            <a:pPr algn="ctr" rtl="0">
              <a:defRPr sz="1000"/>
            </a:pPr>
            <a:t>30µF</a:t>
          </a:fld>
          <a:endParaRPr lang="en-US" sz="1000" b="0" i="0" u="none" strike="noStrike" baseline="0">
            <a:solidFill>
              <a:srgbClr val="000000"/>
            </a:solidFill>
            <a:latin typeface="Arial" pitchFamily="34" charset="0"/>
            <a:cs typeface="Arial" pitchFamily="34" charset="0"/>
          </a:endParaRPr>
        </a:p>
      </xdr:txBody>
    </xdr:sp>
    <xdr:clientData/>
  </xdr:twoCellAnchor>
  <xdr:twoCellAnchor editAs="absolute">
    <xdr:from>
      <xdr:col>7</xdr:col>
      <xdr:colOff>234633</xdr:colOff>
      <xdr:row>7</xdr:row>
      <xdr:rowOff>97801</xdr:rowOff>
    </xdr:from>
    <xdr:to>
      <xdr:col>7</xdr:col>
      <xdr:colOff>844886</xdr:colOff>
      <xdr:row>9</xdr:row>
      <xdr:rowOff>26185</xdr:rowOff>
    </xdr:to>
    <xdr:sp macro="" textlink="'Variable Management'!B395">
      <xdr:nvSpPr>
        <xdr:cNvPr id="35" name="Text Box 285">
          <a:extLst>
            <a:ext uri="{FF2B5EF4-FFF2-40B4-BE49-F238E27FC236}">
              <a16:creationId xmlns:a16="http://schemas.microsoft.com/office/drawing/2014/main" id="{00000000-0008-0000-0300-000023000000}"/>
            </a:ext>
          </a:extLst>
        </xdr:cNvPr>
        <xdr:cNvSpPr txBox="1">
          <a:spLocks noChangeArrowheads="1" noTextEdit="1"/>
        </xdr:cNvSpPr>
      </xdr:nvSpPr>
      <xdr:spPr bwMode="auto">
        <a:xfrm>
          <a:off x="8033927" y="1290107"/>
          <a:ext cx="610253" cy="269043"/>
        </a:xfrm>
        <a:prstGeom prst="rect">
          <a:avLst/>
        </a:prstGeom>
        <a:noFill/>
        <a:ln w="9525">
          <a:noFill/>
          <a:miter lim="800000"/>
          <a:headEnd/>
          <a:tailEnd/>
        </a:ln>
      </xdr:spPr>
      <xdr:txBody>
        <a:bodyPr vertOverflow="clip" wrap="square" lIns="27432" tIns="22860" rIns="0" bIns="0" anchor="ctr" upright="1"/>
        <a:lstStyle/>
        <a:p>
          <a:pPr algn="l" rtl="0">
            <a:defRPr sz="1000"/>
          </a:pPr>
          <a:fld id="{702C2B8A-7C4B-4FDB-B229-3170089D9686}" type="TxLink">
            <a:rPr lang="en-US" sz="1100" b="1" i="0" u="none" strike="noStrike" baseline="0">
              <a:solidFill>
                <a:srgbClr val="FF0000"/>
              </a:solidFill>
              <a:latin typeface="Arial" pitchFamily="34" charset="0"/>
              <a:cs typeface="Arial" pitchFamily="34" charset="0"/>
            </a:rPr>
            <a:pPr algn="l" rtl="0">
              <a:defRPr sz="1000"/>
            </a:pPr>
            <a:t>5V</a:t>
          </a:fld>
          <a:endParaRPr lang="en-US" sz="1100" b="1" i="0" u="none" strike="noStrike" baseline="0">
            <a:solidFill>
              <a:srgbClr val="FF0000"/>
            </a:solidFill>
            <a:latin typeface="Arial" pitchFamily="34" charset="0"/>
            <a:cs typeface="Arial" pitchFamily="34" charset="0"/>
          </a:endParaRPr>
        </a:p>
      </xdr:txBody>
    </xdr:sp>
    <xdr:clientData/>
  </xdr:twoCellAnchor>
  <xdr:twoCellAnchor editAs="absolute">
    <xdr:from>
      <xdr:col>7</xdr:col>
      <xdr:colOff>232227</xdr:colOff>
      <xdr:row>8</xdr:row>
      <xdr:rowOff>167110</xdr:rowOff>
    </xdr:from>
    <xdr:to>
      <xdr:col>7</xdr:col>
      <xdr:colOff>650783</xdr:colOff>
      <xdr:row>10</xdr:row>
      <xdr:rowOff>81732</xdr:rowOff>
    </xdr:to>
    <xdr:sp macro="" textlink="'Variable Management'!B448">
      <xdr:nvSpPr>
        <xdr:cNvPr id="36" name="Text Box 286">
          <a:extLst>
            <a:ext uri="{FF2B5EF4-FFF2-40B4-BE49-F238E27FC236}">
              <a16:creationId xmlns:a16="http://schemas.microsoft.com/office/drawing/2014/main" id="{00000000-0008-0000-0300-000024000000}"/>
            </a:ext>
          </a:extLst>
        </xdr:cNvPr>
        <xdr:cNvSpPr txBox="1">
          <a:spLocks noChangeArrowheads="1" noTextEdit="1"/>
        </xdr:cNvSpPr>
      </xdr:nvSpPr>
      <xdr:spPr bwMode="auto">
        <a:xfrm>
          <a:off x="8031521" y="1529745"/>
          <a:ext cx="418556" cy="255281"/>
        </a:xfrm>
        <a:prstGeom prst="rect">
          <a:avLst/>
        </a:prstGeom>
        <a:noFill/>
        <a:ln w="9525">
          <a:noFill/>
          <a:miter lim="800000"/>
          <a:headEnd/>
          <a:tailEnd/>
        </a:ln>
      </xdr:spPr>
      <xdr:txBody>
        <a:bodyPr vertOverflow="clip" wrap="square" lIns="27432" tIns="22860" rIns="0" bIns="0" anchor="t" upright="1"/>
        <a:lstStyle/>
        <a:p>
          <a:pPr algn="l" rtl="0">
            <a:defRPr sz="1000"/>
          </a:pPr>
          <a:fld id="{E0FB88FA-F39E-4ACF-AB5E-DCB628763AAE}" type="TxLink">
            <a:rPr lang="en-US" sz="1100" b="1" i="0" u="none" strike="noStrike">
              <a:solidFill>
                <a:srgbClr val="FF0000"/>
              </a:solidFill>
              <a:latin typeface="Arial" pitchFamily="34" charset="0"/>
              <a:cs typeface="Arial" pitchFamily="34" charset="0"/>
            </a:rPr>
            <a:pPr algn="l" rtl="0">
              <a:defRPr sz="1000"/>
            </a:pPr>
            <a:t>8A</a:t>
          </a:fld>
          <a:endParaRPr lang="en-US" sz="1100" b="1" i="0" strike="noStrike">
            <a:solidFill>
              <a:srgbClr val="FF0000"/>
            </a:solidFill>
            <a:latin typeface="Arial" pitchFamily="34" charset="0"/>
            <a:cs typeface="Arial" pitchFamily="34" charset="0"/>
          </a:endParaRPr>
        </a:p>
      </xdr:txBody>
    </xdr:sp>
    <xdr:clientData/>
  </xdr:twoCellAnchor>
  <xdr:twoCellAnchor editAs="absolute">
    <xdr:from>
      <xdr:col>6</xdr:col>
      <xdr:colOff>42289</xdr:colOff>
      <xdr:row>9</xdr:row>
      <xdr:rowOff>45412</xdr:rowOff>
    </xdr:from>
    <xdr:to>
      <xdr:col>6</xdr:col>
      <xdr:colOff>498469</xdr:colOff>
      <xdr:row>10</xdr:row>
      <xdr:rowOff>124220</xdr:rowOff>
    </xdr:to>
    <xdr:sp macro="" textlink="'Variable Management'!B381">
      <xdr:nvSpPr>
        <xdr:cNvPr id="37" name="Text Box 275">
          <a:extLst>
            <a:ext uri="{FF2B5EF4-FFF2-40B4-BE49-F238E27FC236}">
              <a16:creationId xmlns:a16="http://schemas.microsoft.com/office/drawing/2014/main" id="{00000000-0008-0000-0300-000025000000}"/>
            </a:ext>
          </a:extLst>
        </xdr:cNvPr>
        <xdr:cNvSpPr txBox="1">
          <a:spLocks noChangeArrowheads="1" noTextEdit="1"/>
        </xdr:cNvSpPr>
      </xdr:nvSpPr>
      <xdr:spPr bwMode="auto">
        <a:xfrm>
          <a:off x="7178195" y="1578377"/>
          <a:ext cx="456180" cy="249137"/>
        </a:xfrm>
        <a:prstGeom prst="rect">
          <a:avLst/>
        </a:prstGeom>
        <a:noFill/>
        <a:ln w="9525">
          <a:noFill/>
          <a:miter lim="800000"/>
          <a:headEnd/>
          <a:tailEnd/>
        </a:ln>
      </xdr:spPr>
      <xdr:txBody>
        <a:bodyPr vertOverflow="clip" wrap="square" lIns="27432" tIns="22860" rIns="0" bIns="0" anchor="ctr" upright="1"/>
        <a:lstStyle/>
        <a:p>
          <a:pPr algn="ctr" rtl="0">
            <a:defRPr sz="1000"/>
          </a:pPr>
          <a:fld id="{952677B8-8C18-463F-B0C9-D2099A1EBA1B}" type="TxLink">
            <a:rPr lang="en-US" sz="1000" b="0" i="0" u="none" strike="noStrike" baseline="0">
              <a:solidFill>
                <a:srgbClr val="000000"/>
              </a:solidFill>
              <a:latin typeface="Arial" panose="020B0604020202020204" pitchFamily="34" charset="0"/>
              <a:cs typeface="Arial" panose="020B0604020202020204" pitchFamily="34" charset="0"/>
            </a:rPr>
            <a:pPr algn="ctr" rtl="0">
              <a:defRPr sz="1000"/>
            </a:pPr>
            <a:t>4.6mΩ</a:t>
          </a:fld>
          <a:endParaRPr lang="en-US" sz="10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editAs="absolute">
    <xdr:from>
      <xdr:col>1</xdr:col>
      <xdr:colOff>669234</xdr:colOff>
      <xdr:row>25</xdr:row>
      <xdr:rowOff>26559</xdr:rowOff>
    </xdr:from>
    <xdr:to>
      <xdr:col>1</xdr:col>
      <xdr:colOff>1085539</xdr:colOff>
      <xdr:row>26</xdr:row>
      <xdr:rowOff>96603</xdr:rowOff>
    </xdr:to>
    <xdr:sp macro="" textlink="'Variable Management'!B408">
      <xdr:nvSpPr>
        <xdr:cNvPr id="38" name="Text Box 261">
          <a:extLst>
            <a:ext uri="{FF2B5EF4-FFF2-40B4-BE49-F238E27FC236}">
              <a16:creationId xmlns:a16="http://schemas.microsoft.com/office/drawing/2014/main" id="{00000000-0008-0000-0300-000026000000}"/>
            </a:ext>
          </a:extLst>
        </xdr:cNvPr>
        <xdr:cNvSpPr txBox="1">
          <a:spLocks noChangeArrowheads="1" noTextEdit="1"/>
        </xdr:cNvSpPr>
      </xdr:nvSpPr>
      <xdr:spPr bwMode="auto">
        <a:xfrm>
          <a:off x="1323658" y="4284794"/>
          <a:ext cx="416305" cy="240374"/>
        </a:xfrm>
        <a:prstGeom prst="rect">
          <a:avLst/>
        </a:prstGeom>
        <a:noFill/>
        <a:ln w="9525">
          <a:noFill/>
          <a:miter lim="800000"/>
          <a:headEnd/>
          <a:tailEnd/>
        </a:ln>
      </xdr:spPr>
      <xdr:txBody>
        <a:bodyPr vertOverflow="clip" wrap="square" lIns="27432" tIns="22860" rIns="0" bIns="0" anchor="t" upright="1"/>
        <a:lstStyle/>
        <a:p>
          <a:pPr algn="ctr" rtl="0">
            <a:defRPr sz="1000"/>
          </a:pPr>
          <a:fld id="{B9060F6D-CAA3-48E6-BAE7-37C16D6980D0}" type="TxLink">
            <a:rPr lang="en-US" sz="1000" b="0" i="0" u="none" strike="noStrike" baseline="0">
              <a:solidFill>
                <a:srgbClr val="000000"/>
              </a:solidFill>
              <a:latin typeface="Arial" panose="020B0604020202020204" pitchFamily="34" charset="0"/>
              <a:cs typeface="Arial" panose="020B0604020202020204" pitchFamily="34" charset="0"/>
            </a:rPr>
            <a:pPr algn="ctr" rtl="0">
              <a:defRPr sz="1000"/>
            </a:pPr>
            <a:t>3.3nF</a:t>
          </a:fld>
          <a:endParaRPr lang="en-US" sz="10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editAs="absolute">
    <xdr:from>
      <xdr:col>2</xdr:col>
      <xdr:colOff>352105</xdr:colOff>
      <xdr:row>25</xdr:row>
      <xdr:rowOff>64471</xdr:rowOff>
    </xdr:from>
    <xdr:to>
      <xdr:col>2</xdr:col>
      <xdr:colOff>934239</xdr:colOff>
      <xdr:row>26</xdr:row>
      <xdr:rowOff>129510</xdr:rowOff>
    </xdr:to>
    <xdr:sp macro="" textlink="'Variable Management'!B443">
      <xdr:nvSpPr>
        <xdr:cNvPr id="39" name="Text Box 281">
          <a:extLst>
            <a:ext uri="{FF2B5EF4-FFF2-40B4-BE49-F238E27FC236}">
              <a16:creationId xmlns:a16="http://schemas.microsoft.com/office/drawing/2014/main" id="{00000000-0008-0000-0300-000027000000}"/>
            </a:ext>
          </a:extLst>
        </xdr:cNvPr>
        <xdr:cNvSpPr txBox="1">
          <a:spLocks noChangeArrowheads="1" noTextEdit="1"/>
        </xdr:cNvSpPr>
      </xdr:nvSpPr>
      <xdr:spPr bwMode="auto">
        <a:xfrm>
          <a:off x="2405023" y="4322706"/>
          <a:ext cx="582134" cy="235369"/>
        </a:xfrm>
        <a:prstGeom prst="rect">
          <a:avLst/>
        </a:prstGeom>
        <a:noFill/>
        <a:ln w="9525">
          <a:noFill/>
          <a:miter lim="800000"/>
          <a:headEnd/>
          <a:tailEnd/>
        </a:ln>
      </xdr:spPr>
      <xdr:txBody>
        <a:bodyPr vertOverflow="clip" wrap="square" lIns="27432" tIns="22860" rIns="0" bIns="0" anchor="t" upright="1"/>
        <a:lstStyle/>
        <a:p>
          <a:pPr algn="ctr" rtl="0">
            <a:defRPr sz="1000"/>
          </a:pPr>
          <a:fld id="{040E05FC-A7F4-4D23-BCC4-309E85A2CCCA}" type="TxLink">
            <a:rPr lang="en-US" sz="1000" b="0" i="0" u="none" strike="noStrike">
              <a:solidFill>
                <a:srgbClr val="000000"/>
              </a:solidFill>
              <a:latin typeface="Arial" panose="020B0604020202020204" pitchFamily="34" charset="0"/>
              <a:cs typeface="Arial" panose="020B0604020202020204" pitchFamily="34" charset="0"/>
            </a:rPr>
            <a:pPr algn="ctr" rtl="0">
              <a:defRPr sz="1000"/>
            </a:pPr>
            <a:t>9.53kΩ</a:t>
          </a:fld>
          <a:endParaRPr lang="en-US" sz="1000" b="0" i="0" strike="noStrike">
            <a:solidFill>
              <a:srgbClr val="000000"/>
            </a:solidFill>
            <a:latin typeface="Arial" pitchFamily="34" charset="0"/>
            <a:cs typeface="Arial" pitchFamily="34" charset="0"/>
          </a:endParaRPr>
        </a:p>
      </xdr:txBody>
    </xdr:sp>
    <xdr:clientData/>
  </xdr:twoCellAnchor>
  <xdr:twoCellAnchor editAs="absolute">
    <xdr:from>
      <xdr:col>1</xdr:col>
      <xdr:colOff>841329</xdr:colOff>
      <xdr:row>15</xdr:row>
      <xdr:rowOff>70242</xdr:rowOff>
    </xdr:from>
    <xdr:to>
      <xdr:col>1</xdr:col>
      <xdr:colOff>1376142</xdr:colOff>
      <xdr:row>16</xdr:row>
      <xdr:rowOff>117161</xdr:rowOff>
    </xdr:to>
    <xdr:sp macro="" textlink="'Variable Management'!B417">
      <xdr:nvSpPr>
        <xdr:cNvPr id="40" name="Text Box 263">
          <a:extLst>
            <a:ext uri="{FF2B5EF4-FFF2-40B4-BE49-F238E27FC236}">
              <a16:creationId xmlns:a16="http://schemas.microsoft.com/office/drawing/2014/main" id="{00000000-0008-0000-0300-000028000000}"/>
            </a:ext>
          </a:extLst>
        </xdr:cNvPr>
        <xdr:cNvSpPr txBox="1">
          <a:spLocks noChangeArrowheads="1" noTextEdit="1"/>
        </xdr:cNvSpPr>
      </xdr:nvSpPr>
      <xdr:spPr bwMode="auto">
        <a:xfrm>
          <a:off x="1495753" y="2625183"/>
          <a:ext cx="534813" cy="217249"/>
        </a:xfrm>
        <a:prstGeom prst="rect">
          <a:avLst/>
        </a:prstGeom>
        <a:noFill/>
        <a:ln w="9525">
          <a:noFill/>
          <a:miter lim="800000"/>
          <a:headEnd/>
          <a:tailEnd/>
        </a:ln>
      </xdr:spPr>
      <xdr:txBody>
        <a:bodyPr vertOverflow="clip" wrap="square" lIns="27432" tIns="22860" rIns="0" bIns="0" anchor="t" upright="1"/>
        <a:lstStyle/>
        <a:p>
          <a:pPr algn="r" rtl="0">
            <a:defRPr sz="1000"/>
          </a:pPr>
          <a:fld id="{E7CFC31C-4225-4DFF-A445-15835378F2C7}" type="TxLink">
            <a:rPr lang="en-US" sz="1000" b="0" i="0" u="none" strike="noStrike" baseline="0">
              <a:solidFill>
                <a:srgbClr val="000000"/>
              </a:solidFill>
              <a:latin typeface="Arial" panose="020B0604020202020204" pitchFamily="34" charset="0"/>
              <a:cs typeface="Arial" panose="020B0604020202020204" pitchFamily="34" charset="0"/>
            </a:rPr>
            <a:pPr algn="r" rtl="0">
              <a:defRPr sz="1000"/>
            </a:pPr>
            <a:t> </a:t>
          </a:fld>
          <a:endParaRPr lang="el-GR" sz="1000" b="0" i="0" u="none" strike="noStrike" baseline="0">
            <a:solidFill>
              <a:srgbClr val="000000"/>
            </a:solidFill>
            <a:latin typeface="Arial" pitchFamily="34" charset="0"/>
            <a:cs typeface="Arial" pitchFamily="34" charset="0"/>
          </a:endParaRPr>
        </a:p>
      </xdr:txBody>
    </xdr:sp>
    <xdr:clientData/>
  </xdr:twoCellAnchor>
  <xdr:twoCellAnchor editAs="absolute">
    <xdr:from>
      <xdr:col>1</xdr:col>
      <xdr:colOff>826864</xdr:colOff>
      <xdr:row>18</xdr:row>
      <xdr:rowOff>76714</xdr:rowOff>
    </xdr:from>
    <xdr:to>
      <xdr:col>1</xdr:col>
      <xdr:colOff>1390656</xdr:colOff>
      <xdr:row>19</xdr:row>
      <xdr:rowOff>140317</xdr:rowOff>
    </xdr:to>
    <xdr:sp macro="" textlink="'Variable Management'!B418">
      <xdr:nvSpPr>
        <xdr:cNvPr id="41" name="Text Box 263">
          <a:extLst>
            <a:ext uri="{FF2B5EF4-FFF2-40B4-BE49-F238E27FC236}">
              <a16:creationId xmlns:a16="http://schemas.microsoft.com/office/drawing/2014/main" id="{00000000-0008-0000-0300-000029000000}"/>
            </a:ext>
          </a:extLst>
        </xdr:cNvPr>
        <xdr:cNvSpPr txBox="1">
          <a:spLocks noChangeArrowheads="1" noTextEdit="1"/>
        </xdr:cNvSpPr>
      </xdr:nvSpPr>
      <xdr:spPr bwMode="auto">
        <a:xfrm>
          <a:off x="1481288" y="3142643"/>
          <a:ext cx="571412" cy="233933"/>
        </a:xfrm>
        <a:prstGeom prst="rect">
          <a:avLst/>
        </a:prstGeom>
        <a:noFill/>
        <a:ln w="9525">
          <a:noFill/>
          <a:miter lim="800000"/>
          <a:headEnd/>
          <a:tailEnd/>
        </a:ln>
      </xdr:spPr>
      <xdr:txBody>
        <a:bodyPr vertOverflow="clip" wrap="square" lIns="27432" tIns="22860" rIns="0" bIns="0" anchor="t" upright="1"/>
        <a:lstStyle/>
        <a:p>
          <a:pPr algn="r" rtl="0">
            <a:defRPr sz="1000"/>
          </a:pPr>
          <a:fld id="{3474E4CD-1870-4A36-820F-F9FFA24B283F}" type="TxLink">
            <a:rPr lang="en-US" sz="1000" b="0" i="0" u="none" strike="noStrike" baseline="0">
              <a:solidFill>
                <a:srgbClr val="000000"/>
              </a:solidFill>
              <a:latin typeface="Arial" panose="020B0604020202020204" pitchFamily="34" charset="0"/>
              <a:cs typeface="Arial" panose="020B0604020202020204" pitchFamily="34" charset="0"/>
            </a:rPr>
            <a:pPr algn="r" rtl="0">
              <a:defRPr sz="1000"/>
            </a:pPr>
            <a:t> </a:t>
          </a:fld>
          <a:endParaRPr lang="el-GR" sz="1000" b="0" i="0" u="none" strike="noStrike" baseline="0">
            <a:solidFill>
              <a:srgbClr val="000000"/>
            </a:solidFill>
            <a:latin typeface="Arial" pitchFamily="34" charset="0"/>
            <a:cs typeface="Arial" pitchFamily="34" charset="0"/>
          </a:endParaRPr>
        </a:p>
      </xdr:txBody>
    </xdr:sp>
    <xdr:clientData/>
  </xdr:twoCellAnchor>
  <xdr:twoCellAnchor editAs="absolute">
    <xdr:from>
      <xdr:col>2</xdr:col>
      <xdr:colOff>980199</xdr:colOff>
      <xdr:row>25</xdr:row>
      <xdr:rowOff>59751</xdr:rowOff>
    </xdr:from>
    <xdr:to>
      <xdr:col>3</xdr:col>
      <xdr:colOff>421709</xdr:colOff>
      <xdr:row>26</xdr:row>
      <xdr:rowOff>99075</xdr:rowOff>
    </xdr:to>
    <xdr:sp macro="" textlink="'Variable Management'!B442">
      <xdr:nvSpPr>
        <xdr:cNvPr id="42" name="Text Box 263">
          <a:extLst>
            <a:ext uri="{FF2B5EF4-FFF2-40B4-BE49-F238E27FC236}">
              <a16:creationId xmlns:a16="http://schemas.microsoft.com/office/drawing/2014/main" id="{00000000-0008-0000-0300-00002A000000}"/>
            </a:ext>
          </a:extLst>
        </xdr:cNvPr>
        <xdr:cNvSpPr txBox="1">
          <a:spLocks noChangeArrowheads="1" noTextEdit="1"/>
        </xdr:cNvSpPr>
      </xdr:nvSpPr>
      <xdr:spPr bwMode="auto">
        <a:xfrm>
          <a:off x="3033117" y="4317986"/>
          <a:ext cx="544168" cy="209654"/>
        </a:xfrm>
        <a:prstGeom prst="rect">
          <a:avLst/>
        </a:prstGeom>
        <a:noFill/>
        <a:ln w="9525">
          <a:noFill/>
          <a:miter lim="800000"/>
          <a:headEnd/>
          <a:tailEnd/>
        </a:ln>
      </xdr:spPr>
      <xdr:txBody>
        <a:bodyPr vertOverflow="clip" wrap="square" lIns="27432" tIns="22860" rIns="0" bIns="0" anchor="t" upright="1"/>
        <a:lstStyle/>
        <a:p>
          <a:pPr algn="r" rtl="0">
            <a:defRPr sz="1000"/>
          </a:pPr>
          <a:fld id="{EC50C5B8-F352-44A2-A40B-3E79D8C8660A}" type="TxLink">
            <a:rPr lang="en-US" sz="1000" b="0" i="0" u="none" strike="noStrike" baseline="0">
              <a:solidFill>
                <a:srgbClr val="000000"/>
              </a:solidFill>
              <a:latin typeface="Arial" panose="020B0604020202020204" pitchFamily="34" charset="0"/>
              <a:cs typeface="Arial" panose="020B0604020202020204" pitchFamily="34" charset="0"/>
            </a:rPr>
            <a:pPr algn="r" rtl="0">
              <a:defRPr sz="1000"/>
            </a:pPr>
            <a:t>41.2kΩ</a:t>
          </a:fld>
          <a:endParaRPr lang="el-GR" sz="1000" b="0" i="0" u="none" strike="noStrike" baseline="0">
            <a:solidFill>
              <a:srgbClr val="000000"/>
            </a:solidFill>
            <a:latin typeface="Arial" pitchFamily="34" charset="0"/>
            <a:cs typeface="Arial" pitchFamily="34" charset="0"/>
          </a:endParaRPr>
        </a:p>
      </xdr:txBody>
    </xdr:sp>
    <xdr:clientData/>
  </xdr:twoCellAnchor>
  <xdr:twoCellAnchor editAs="absolute">
    <xdr:from>
      <xdr:col>1</xdr:col>
      <xdr:colOff>607199</xdr:colOff>
      <xdr:row>7</xdr:row>
      <xdr:rowOff>42489</xdr:rowOff>
    </xdr:from>
    <xdr:to>
      <xdr:col>1</xdr:col>
      <xdr:colOff>1129336</xdr:colOff>
      <xdr:row>8</xdr:row>
      <xdr:rowOff>85089</xdr:rowOff>
    </xdr:to>
    <xdr:sp macro="" textlink="'Variable Management'!B385">
      <xdr:nvSpPr>
        <xdr:cNvPr id="43" name="Text Box 279">
          <a:extLst>
            <a:ext uri="{FF2B5EF4-FFF2-40B4-BE49-F238E27FC236}">
              <a16:creationId xmlns:a16="http://schemas.microsoft.com/office/drawing/2014/main" id="{00000000-0008-0000-0300-00002B000000}"/>
            </a:ext>
          </a:extLst>
        </xdr:cNvPr>
        <xdr:cNvSpPr txBox="1">
          <a:spLocks noChangeArrowheads="1"/>
        </xdr:cNvSpPr>
      </xdr:nvSpPr>
      <xdr:spPr bwMode="auto">
        <a:xfrm>
          <a:off x="1261623" y="1234795"/>
          <a:ext cx="522137" cy="212929"/>
        </a:xfrm>
        <a:prstGeom prst="rect">
          <a:avLst/>
        </a:prstGeom>
        <a:noFill/>
        <a:ln w="9525">
          <a:noFill/>
          <a:miter lim="800000"/>
          <a:headEnd/>
          <a:tailEnd/>
        </a:ln>
      </xdr:spPr>
      <xdr:txBody>
        <a:bodyPr vertOverflow="clip" wrap="square" lIns="27432" tIns="27432" rIns="0" bIns="0" anchor="ctr" upright="1"/>
        <a:lstStyle/>
        <a:p>
          <a:pPr marL="0" marR="0" indent="0" algn="l" defTabSz="914400" rtl="0" eaLnBrk="1" fontAlgn="auto" latinLnBrk="0" hangingPunct="1">
            <a:lnSpc>
              <a:spcPct val="100000"/>
            </a:lnSpc>
            <a:spcBef>
              <a:spcPts val="0"/>
            </a:spcBef>
            <a:spcAft>
              <a:spcPts val="0"/>
            </a:spcAft>
            <a:buClrTx/>
            <a:buSzTx/>
            <a:buFontTx/>
            <a:buNone/>
            <a:tabLst/>
            <a:defRPr sz="1000"/>
          </a:pPr>
          <a:fld id="{BEC6ADA1-D3F0-4250-A616-4B90091890E2}" type="TxLink">
            <a:rPr lang="en-US" sz="900" b="0" i="0" u="none" strike="noStrike">
              <a:solidFill>
                <a:srgbClr val="000000"/>
              </a:solidFill>
              <a:latin typeface="Arial"/>
              <a:cs typeface="Arial"/>
            </a:rPr>
            <a:pPr marL="0" marR="0" indent="0" algn="l" defTabSz="914400" rtl="0" eaLnBrk="1" fontAlgn="auto" latinLnBrk="0" hangingPunct="1">
              <a:lnSpc>
                <a:spcPct val="100000"/>
              </a:lnSpc>
              <a:spcBef>
                <a:spcPts val="0"/>
              </a:spcBef>
              <a:spcAft>
                <a:spcPts val="0"/>
              </a:spcAft>
              <a:buClrTx/>
              <a:buSzTx/>
              <a:buFontTx/>
              <a:buNone/>
              <a:tabLst/>
              <a:defRPr sz="1000"/>
            </a:pPr>
            <a:t> </a:t>
          </a:fld>
          <a:endParaRPr lang="en-US" sz="600">
            <a:latin typeface="Arial" pitchFamily="34" charset="0"/>
            <a:cs typeface="Arial" pitchFamily="34" charset="0"/>
          </a:endParaRPr>
        </a:p>
      </xdr:txBody>
    </xdr:sp>
    <xdr:clientData/>
  </xdr:twoCellAnchor>
  <xdr:twoCellAnchor editAs="absolute">
    <xdr:from>
      <xdr:col>1</xdr:col>
      <xdr:colOff>606339</xdr:colOff>
      <xdr:row>4</xdr:row>
      <xdr:rowOff>55929</xdr:rowOff>
    </xdr:from>
    <xdr:to>
      <xdr:col>1</xdr:col>
      <xdr:colOff>1128476</xdr:colOff>
      <xdr:row>5</xdr:row>
      <xdr:rowOff>97803</xdr:rowOff>
    </xdr:to>
    <xdr:sp macro="" textlink="'Variable Management'!C385">
      <xdr:nvSpPr>
        <xdr:cNvPr id="61" name="Text Box 279">
          <a:extLst>
            <a:ext uri="{FF2B5EF4-FFF2-40B4-BE49-F238E27FC236}">
              <a16:creationId xmlns:a16="http://schemas.microsoft.com/office/drawing/2014/main" id="{00000000-0008-0000-0300-00003D000000}"/>
            </a:ext>
          </a:extLst>
        </xdr:cNvPr>
        <xdr:cNvSpPr txBox="1">
          <a:spLocks noChangeArrowheads="1"/>
        </xdr:cNvSpPr>
      </xdr:nvSpPr>
      <xdr:spPr bwMode="auto">
        <a:xfrm>
          <a:off x="1260763" y="737247"/>
          <a:ext cx="522137" cy="212203"/>
        </a:xfrm>
        <a:prstGeom prst="rect">
          <a:avLst/>
        </a:prstGeom>
        <a:noFill/>
        <a:ln w="9525">
          <a:noFill/>
          <a:miter lim="800000"/>
          <a:headEnd/>
          <a:tailEnd/>
        </a:ln>
      </xdr:spPr>
      <xdr:txBody>
        <a:bodyPr vertOverflow="clip" wrap="square" lIns="27432" tIns="27432" rIns="0" bIns="0" anchor="ctr" upright="1"/>
        <a:lstStyle/>
        <a:p>
          <a:pPr marL="0" marR="0" indent="0" algn="l" defTabSz="914400" rtl="0" eaLnBrk="1" fontAlgn="auto" latinLnBrk="0" hangingPunct="1">
            <a:lnSpc>
              <a:spcPct val="100000"/>
            </a:lnSpc>
            <a:spcBef>
              <a:spcPts val="0"/>
            </a:spcBef>
            <a:spcAft>
              <a:spcPts val="0"/>
            </a:spcAft>
            <a:buClrTx/>
            <a:buSzTx/>
            <a:buFontTx/>
            <a:buNone/>
            <a:tabLst/>
            <a:defRPr sz="1000"/>
          </a:pPr>
          <a:fld id="{4E64918A-6299-4F27-9549-1AB4B3DEA3B9}" type="TxLink">
            <a:rPr lang="en-US" sz="900" b="0" i="0" u="none" strike="noStrike">
              <a:solidFill>
                <a:srgbClr val="000000"/>
              </a:solidFill>
              <a:latin typeface="Arial"/>
              <a:cs typeface="Arial"/>
            </a:rPr>
            <a:pPr marL="0" marR="0" indent="0" algn="l" defTabSz="914400" rtl="0" eaLnBrk="1" fontAlgn="auto" latinLnBrk="0" hangingPunct="1">
              <a:lnSpc>
                <a:spcPct val="100000"/>
              </a:lnSpc>
              <a:spcBef>
                <a:spcPts val="0"/>
              </a:spcBef>
              <a:spcAft>
                <a:spcPts val="0"/>
              </a:spcAft>
              <a:buClrTx/>
              <a:buSzTx/>
              <a:buFontTx/>
              <a:buNone/>
              <a:tabLst/>
              <a:defRPr sz="1000"/>
            </a:pPr>
            <a:t> </a:t>
          </a:fld>
          <a:endParaRPr lang="en-US" sz="800">
            <a:latin typeface="Arial" pitchFamily="34" charset="0"/>
            <a:cs typeface="Arial" pitchFamily="34" charset="0"/>
          </a:endParaRPr>
        </a:p>
      </xdr:txBody>
    </xdr:sp>
    <xdr:clientData/>
  </xdr:twoCellAnchor>
  <xdr:twoCellAnchor editAs="absolute">
    <xdr:from>
      <xdr:col>0</xdr:col>
      <xdr:colOff>608007</xdr:colOff>
      <xdr:row>19</xdr:row>
      <xdr:rowOff>148705</xdr:rowOff>
    </xdr:from>
    <xdr:to>
      <xdr:col>1</xdr:col>
      <xdr:colOff>492206</xdr:colOff>
      <xdr:row>21</xdr:row>
      <xdr:rowOff>10005</xdr:rowOff>
    </xdr:to>
    <xdr:sp macro="" textlink="'Variable Management'!E385">
      <xdr:nvSpPr>
        <xdr:cNvPr id="62" name="Text Box 279">
          <a:extLst>
            <a:ext uri="{FF2B5EF4-FFF2-40B4-BE49-F238E27FC236}">
              <a16:creationId xmlns:a16="http://schemas.microsoft.com/office/drawing/2014/main" id="{00000000-0008-0000-0300-00003E000000}"/>
            </a:ext>
          </a:extLst>
        </xdr:cNvPr>
        <xdr:cNvSpPr txBox="1">
          <a:spLocks noChangeArrowheads="1"/>
        </xdr:cNvSpPr>
      </xdr:nvSpPr>
      <xdr:spPr bwMode="auto">
        <a:xfrm>
          <a:off x="608007" y="3384964"/>
          <a:ext cx="538623" cy="201959"/>
        </a:xfrm>
        <a:prstGeom prst="rect">
          <a:avLst/>
        </a:prstGeom>
        <a:noFill/>
        <a:ln w="9525">
          <a:noFill/>
          <a:miter lim="800000"/>
          <a:headEnd/>
          <a:tailEnd/>
        </a:ln>
      </xdr:spPr>
      <xdr:txBody>
        <a:bodyPr vertOverflow="clip" wrap="square" lIns="27432" tIns="27432" rIns="0" bIns="0" anchor="ctr" upright="1"/>
        <a:lstStyle/>
        <a:p>
          <a:pPr marL="0" marR="0" indent="0" algn="l" defTabSz="914400" rtl="0" eaLnBrk="1" fontAlgn="auto" latinLnBrk="0" hangingPunct="1">
            <a:lnSpc>
              <a:spcPct val="100000"/>
            </a:lnSpc>
            <a:spcBef>
              <a:spcPts val="0"/>
            </a:spcBef>
            <a:spcAft>
              <a:spcPts val="0"/>
            </a:spcAft>
            <a:buClrTx/>
            <a:buSzTx/>
            <a:buFontTx/>
            <a:buNone/>
            <a:tabLst/>
            <a:defRPr sz="1000"/>
          </a:pPr>
          <a:fld id="{4E483F83-546B-48E4-817B-49519E47D65F}" type="TxLink">
            <a:rPr lang="en-US" sz="1000" b="0" i="0" u="none" strike="noStrike">
              <a:solidFill>
                <a:srgbClr val="000000"/>
              </a:solidFill>
              <a:latin typeface="Arial"/>
              <a:cs typeface="Arial"/>
            </a:rPr>
            <a:pPr marL="0" marR="0" indent="0" algn="l" defTabSz="914400" rtl="0" eaLnBrk="1" fontAlgn="auto" latinLnBrk="0" hangingPunct="1">
              <a:lnSpc>
                <a:spcPct val="100000"/>
              </a:lnSpc>
              <a:spcBef>
                <a:spcPts val="0"/>
              </a:spcBef>
              <a:spcAft>
                <a:spcPts val="0"/>
              </a:spcAft>
              <a:buClrTx/>
              <a:buSzTx/>
              <a:buFontTx/>
              <a:buNone/>
              <a:tabLst/>
              <a:defRPr sz="1000"/>
            </a:pPr>
            <a:t> </a:t>
          </a:fld>
          <a:endParaRPr lang="en-US" sz="800">
            <a:latin typeface="Arial" pitchFamily="34" charset="0"/>
            <a:cs typeface="Arial" pitchFamily="34" charset="0"/>
          </a:endParaRPr>
        </a:p>
      </xdr:txBody>
    </xdr:sp>
    <xdr:clientData/>
  </xdr:twoCellAnchor>
  <xdr:twoCellAnchor editAs="absolute">
    <xdr:from>
      <xdr:col>1</xdr:col>
      <xdr:colOff>222020</xdr:colOff>
      <xdr:row>3</xdr:row>
      <xdr:rowOff>78673</xdr:rowOff>
    </xdr:from>
    <xdr:to>
      <xdr:col>1</xdr:col>
      <xdr:colOff>1206239</xdr:colOff>
      <xdr:row>5</xdr:row>
      <xdr:rowOff>10623</xdr:rowOff>
    </xdr:to>
    <xdr:sp macro="" textlink="'Variable Management'!B451">
      <xdr:nvSpPr>
        <xdr:cNvPr id="63" name="Text Box 283">
          <a:extLst>
            <a:ext uri="{FF2B5EF4-FFF2-40B4-BE49-F238E27FC236}">
              <a16:creationId xmlns:a16="http://schemas.microsoft.com/office/drawing/2014/main" id="{00000000-0008-0000-0300-00003F000000}"/>
            </a:ext>
          </a:extLst>
        </xdr:cNvPr>
        <xdr:cNvSpPr txBox="1">
          <a:spLocks noChangeArrowheads="1" noTextEdit="1"/>
        </xdr:cNvSpPr>
      </xdr:nvSpPr>
      <xdr:spPr bwMode="auto">
        <a:xfrm>
          <a:off x="876444" y="589661"/>
          <a:ext cx="984219" cy="272609"/>
        </a:xfrm>
        <a:prstGeom prst="rect">
          <a:avLst/>
        </a:prstGeom>
        <a:noFill/>
        <a:ln w="9525">
          <a:noFill/>
          <a:miter lim="800000"/>
          <a:headEnd/>
          <a:tailEnd/>
        </a:ln>
      </xdr:spPr>
      <xdr:txBody>
        <a:bodyPr vertOverflow="clip" wrap="square" lIns="27432" tIns="22860" rIns="0" bIns="0" anchor="t" upright="1"/>
        <a:lstStyle/>
        <a:p>
          <a:pPr algn="l" rtl="0">
            <a:defRPr sz="1000"/>
          </a:pPr>
          <a:fld id="{C6ED40A1-EDED-4BB3-907C-40CD83565E4B}" type="TxLink">
            <a:rPr lang="en-US" sz="1100" b="1" i="0" u="none" strike="noStrike">
              <a:solidFill>
                <a:srgbClr val="FF0000"/>
              </a:solidFill>
              <a:latin typeface="Arial"/>
              <a:cs typeface="Arial"/>
            </a:rPr>
            <a:pPr algn="l" rtl="0">
              <a:defRPr sz="1000"/>
            </a:pPr>
            <a:t>10V...18V</a:t>
          </a:fld>
          <a:endParaRPr lang="en-US" sz="1400" b="1" i="0" strike="noStrike">
            <a:solidFill>
              <a:srgbClr val="FF0000"/>
            </a:solidFill>
            <a:latin typeface="Arial" pitchFamily="34" charset="0"/>
            <a:cs typeface="Arial" pitchFamily="34" charset="0"/>
          </a:endParaRPr>
        </a:p>
      </xdr:txBody>
    </xdr:sp>
    <xdr:clientData/>
  </xdr:twoCellAnchor>
  <xdr:twoCellAnchor editAs="absolute">
    <xdr:from>
      <xdr:col>1</xdr:col>
      <xdr:colOff>897814</xdr:colOff>
      <xdr:row>15</xdr:row>
      <xdr:rowOff>70412</xdr:rowOff>
    </xdr:from>
    <xdr:to>
      <xdr:col>2</xdr:col>
      <xdr:colOff>32590</xdr:colOff>
      <xdr:row>16</xdr:row>
      <xdr:rowOff>81226</xdr:rowOff>
    </xdr:to>
    <xdr:sp macro="" textlink="'Variable Management'!D419">
      <xdr:nvSpPr>
        <xdr:cNvPr id="64" name="Text Box 279">
          <a:extLst>
            <a:ext uri="{FF2B5EF4-FFF2-40B4-BE49-F238E27FC236}">
              <a16:creationId xmlns:a16="http://schemas.microsoft.com/office/drawing/2014/main" id="{00000000-0008-0000-0300-000040000000}"/>
            </a:ext>
          </a:extLst>
        </xdr:cNvPr>
        <xdr:cNvSpPr txBox="1">
          <a:spLocks noChangeArrowheads="1"/>
        </xdr:cNvSpPr>
      </xdr:nvSpPr>
      <xdr:spPr bwMode="auto">
        <a:xfrm>
          <a:off x="1552238" y="2625353"/>
          <a:ext cx="533270" cy="181144"/>
        </a:xfrm>
        <a:prstGeom prst="rect">
          <a:avLst/>
        </a:prstGeom>
        <a:noFill/>
        <a:ln w="9525">
          <a:noFill/>
          <a:miter lim="800000"/>
          <a:headEnd/>
          <a:tailEnd/>
        </a:ln>
      </xdr:spPr>
      <xdr:txBody>
        <a:bodyPr vertOverflow="clip" wrap="square" lIns="27432" tIns="27432" rIns="0" bIns="0"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fld id="{59CF34ED-6C7D-4B7D-8CCB-720517623826}" type="TxLink">
            <a:rPr lang="en-US" sz="1000" b="0" i="0" u="none" strike="noStrike">
              <a:solidFill>
                <a:srgbClr val="000000"/>
              </a:solidFill>
              <a:latin typeface="Arial"/>
              <a:cs typeface="Arial"/>
            </a:rPr>
            <a:pPr marL="0" marR="0" indent="0" algn="ctr" defTabSz="914400" rtl="0" eaLnBrk="1" fontAlgn="auto" latinLnBrk="0" hangingPunct="1">
              <a:lnSpc>
                <a:spcPct val="100000"/>
              </a:lnSpc>
              <a:spcBef>
                <a:spcPts val="0"/>
              </a:spcBef>
              <a:spcAft>
                <a:spcPts val="0"/>
              </a:spcAft>
              <a:buClrTx/>
              <a:buSzTx/>
              <a:buFontTx/>
              <a:buNone/>
              <a:tabLst/>
              <a:defRPr sz="1000"/>
            </a:pPr>
            <a:t>24.9kΩ</a:t>
          </a:fld>
          <a:endParaRPr lang="en-US" sz="1000">
            <a:latin typeface="Arial" pitchFamily="34" charset="0"/>
            <a:cs typeface="Arial" pitchFamily="34" charset="0"/>
          </a:endParaRPr>
        </a:p>
      </xdr:txBody>
    </xdr:sp>
    <xdr:clientData/>
  </xdr:twoCellAnchor>
  <xdr:twoCellAnchor editAs="absolute">
    <xdr:from>
      <xdr:col>1</xdr:col>
      <xdr:colOff>328560</xdr:colOff>
      <xdr:row>6</xdr:row>
      <xdr:rowOff>103158</xdr:rowOff>
    </xdr:from>
    <xdr:to>
      <xdr:col>1</xdr:col>
      <xdr:colOff>1003985</xdr:colOff>
      <xdr:row>7</xdr:row>
      <xdr:rowOff>103595</xdr:rowOff>
    </xdr:to>
    <xdr:sp macro="" textlink="'Variable Management'!B421">
      <xdr:nvSpPr>
        <xdr:cNvPr id="65" name="Text Box 276">
          <a:extLst>
            <a:ext uri="{FF2B5EF4-FFF2-40B4-BE49-F238E27FC236}">
              <a16:creationId xmlns:a16="http://schemas.microsoft.com/office/drawing/2014/main" id="{00000000-0008-0000-0300-000041000000}"/>
            </a:ext>
          </a:extLst>
        </xdr:cNvPr>
        <xdr:cNvSpPr txBox="1">
          <a:spLocks noChangeArrowheads="1" noTextEdit="1"/>
        </xdr:cNvSpPr>
      </xdr:nvSpPr>
      <xdr:spPr bwMode="auto">
        <a:xfrm>
          <a:off x="982984" y="1125134"/>
          <a:ext cx="675425" cy="170767"/>
        </a:xfrm>
        <a:prstGeom prst="rect">
          <a:avLst/>
        </a:prstGeom>
        <a:noFill/>
        <a:ln w="9525">
          <a:noFill/>
          <a:miter lim="800000"/>
          <a:headEnd/>
          <a:tailEnd/>
        </a:ln>
      </xdr:spPr>
      <xdr:txBody>
        <a:bodyPr vertOverflow="clip" wrap="square" lIns="27432" tIns="22860" rIns="0" bIns="0" anchor="ctr" upright="1"/>
        <a:lstStyle/>
        <a:p>
          <a:pPr algn="r" rtl="0">
            <a:defRPr sz="1000"/>
          </a:pPr>
          <a:fld id="{5870FC66-CAAD-4C4C-B6A3-330B5B471599}" type="TxLink">
            <a:rPr lang="en-US" sz="1000" b="0" i="0" u="none" strike="noStrike" baseline="0">
              <a:solidFill>
                <a:srgbClr val="000000"/>
              </a:solidFill>
              <a:latin typeface="Arial" panose="020B0604020202020204" pitchFamily="34" charset="0"/>
              <a:cs typeface="Arial" panose="020B0604020202020204" pitchFamily="34" charset="0"/>
            </a:rPr>
            <a:pPr algn="r" rtl="0">
              <a:defRPr sz="1000"/>
            </a:pPr>
            <a:t>200kΩ</a:t>
          </a:fld>
          <a:endParaRPr lang="en-US" sz="10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editAs="absolute">
    <xdr:from>
      <xdr:col>1</xdr:col>
      <xdr:colOff>403912</xdr:colOff>
      <xdr:row>10</xdr:row>
      <xdr:rowOff>11263</xdr:rowOff>
    </xdr:from>
    <xdr:to>
      <xdr:col>1</xdr:col>
      <xdr:colOff>1004163</xdr:colOff>
      <xdr:row>11</xdr:row>
      <xdr:rowOff>88283</xdr:rowOff>
    </xdr:to>
    <xdr:sp macro="" textlink="'Variable Management'!B422">
      <xdr:nvSpPr>
        <xdr:cNvPr id="66" name="Text Box 276">
          <a:extLst>
            <a:ext uri="{FF2B5EF4-FFF2-40B4-BE49-F238E27FC236}">
              <a16:creationId xmlns:a16="http://schemas.microsoft.com/office/drawing/2014/main" id="{00000000-0008-0000-0300-000042000000}"/>
            </a:ext>
          </a:extLst>
        </xdr:cNvPr>
        <xdr:cNvSpPr txBox="1">
          <a:spLocks noChangeArrowheads="1" noTextEdit="1"/>
        </xdr:cNvSpPr>
      </xdr:nvSpPr>
      <xdr:spPr bwMode="auto">
        <a:xfrm>
          <a:off x="1058336" y="1714557"/>
          <a:ext cx="600251" cy="247350"/>
        </a:xfrm>
        <a:prstGeom prst="rect">
          <a:avLst/>
        </a:prstGeom>
        <a:noFill/>
        <a:ln w="9525">
          <a:noFill/>
          <a:miter lim="800000"/>
          <a:headEnd/>
          <a:tailEnd/>
        </a:ln>
      </xdr:spPr>
      <xdr:txBody>
        <a:bodyPr vertOverflow="clip" wrap="square" lIns="27432" tIns="22860" rIns="0" bIns="0" anchor="t" upright="1"/>
        <a:lstStyle/>
        <a:p>
          <a:pPr algn="r" rtl="0">
            <a:defRPr sz="1000"/>
          </a:pPr>
          <a:fld id="{59617F90-7F7F-43F9-AB4B-411A3D6FCFA0}" type="TxLink">
            <a:rPr lang="en-US" sz="1000" b="0" i="0" u="none" strike="noStrike" baseline="0">
              <a:solidFill>
                <a:srgbClr val="000000"/>
              </a:solidFill>
              <a:latin typeface="Arial" panose="020B0604020202020204" pitchFamily="34" charset="0"/>
              <a:cs typeface="Arial" panose="020B0604020202020204" pitchFamily="34" charset="0"/>
            </a:rPr>
            <a:pPr algn="r" rtl="0">
              <a:defRPr sz="1000"/>
            </a:pPr>
            <a:t>9.53kΩ</a:t>
          </a:fld>
          <a:endParaRPr lang="en-US" sz="10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editAs="absolute">
    <xdr:from>
      <xdr:col>1</xdr:col>
      <xdr:colOff>1319056</xdr:colOff>
      <xdr:row>4</xdr:row>
      <xdr:rowOff>74181</xdr:rowOff>
    </xdr:from>
    <xdr:to>
      <xdr:col>2</xdr:col>
      <xdr:colOff>502766</xdr:colOff>
      <xdr:row>5</xdr:row>
      <xdr:rowOff>106405</xdr:rowOff>
    </xdr:to>
    <xdr:sp macro="" textlink="'Variable Management'!B405">
      <xdr:nvSpPr>
        <xdr:cNvPr id="67" name="Text Box 276">
          <a:extLst>
            <a:ext uri="{FF2B5EF4-FFF2-40B4-BE49-F238E27FC236}">
              <a16:creationId xmlns:a16="http://schemas.microsoft.com/office/drawing/2014/main" id="{00000000-0008-0000-0300-000043000000}"/>
            </a:ext>
          </a:extLst>
        </xdr:cNvPr>
        <xdr:cNvSpPr txBox="1">
          <a:spLocks noChangeArrowheads="1" noTextEdit="1"/>
        </xdr:cNvSpPr>
      </xdr:nvSpPr>
      <xdr:spPr bwMode="auto">
        <a:xfrm>
          <a:off x="1973480" y="755499"/>
          <a:ext cx="582204" cy="202553"/>
        </a:xfrm>
        <a:prstGeom prst="rect">
          <a:avLst/>
        </a:prstGeom>
        <a:noFill/>
        <a:ln w="9525">
          <a:noFill/>
          <a:miter lim="800000"/>
          <a:headEnd/>
          <a:tailEnd/>
        </a:ln>
      </xdr:spPr>
      <xdr:txBody>
        <a:bodyPr vertOverflow="clip" wrap="square" lIns="27432" tIns="22860" rIns="0" bIns="0" anchor="ctr" upright="1"/>
        <a:lstStyle/>
        <a:p>
          <a:pPr algn="r" rtl="0">
            <a:defRPr sz="1000"/>
          </a:pPr>
          <a:fld id="{1733A4D7-3523-40B9-84DE-2D041844A89F}" type="TxLink">
            <a:rPr lang="en-US" sz="1000" b="0" i="0" u="none" strike="noStrike" baseline="0">
              <a:solidFill>
                <a:srgbClr val="000000"/>
              </a:solidFill>
              <a:latin typeface="Arial"/>
              <a:cs typeface="Arial"/>
            </a:rPr>
            <a:pPr algn="r" rtl="0">
              <a:defRPr sz="1000"/>
            </a:pPr>
            <a:t> </a:t>
          </a:fld>
          <a:endParaRPr lang="en-US" sz="1000" b="0" i="0" u="none" strike="noStrike" baseline="0">
            <a:solidFill>
              <a:srgbClr val="000000"/>
            </a:solidFill>
            <a:latin typeface="Arial" pitchFamily="34" charset="0"/>
            <a:cs typeface="Arial" pitchFamily="34" charset="0"/>
          </a:endParaRPr>
        </a:p>
      </xdr:txBody>
    </xdr:sp>
    <xdr:clientData/>
  </xdr:twoCellAnchor>
  <xdr:twoCellAnchor editAs="absolute">
    <xdr:from>
      <xdr:col>2</xdr:col>
      <xdr:colOff>34862</xdr:colOff>
      <xdr:row>6</xdr:row>
      <xdr:rowOff>136852</xdr:rowOff>
    </xdr:from>
    <xdr:to>
      <xdr:col>2</xdr:col>
      <xdr:colOff>502766</xdr:colOff>
      <xdr:row>8</xdr:row>
      <xdr:rowOff>35696</xdr:rowOff>
    </xdr:to>
    <xdr:sp macro="" textlink="'Variable Management'!B404">
      <xdr:nvSpPr>
        <xdr:cNvPr id="68" name="Text Box 276">
          <a:extLst>
            <a:ext uri="{FF2B5EF4-FFF2-40B4-BE49-F238E27FC236}">
              <a16:creationId xmlns:a16="http://schemas.microsoft.com/office/drawing/2014/main" id="{00000000-0008-0000-0300-000044000000}"/>
            </a:ext>
          </a:extLst>
        </xdr:cNvPr>
        <xdr:cNvSpPr txBox="1">
          <a:spLocks noChangeArrowheads="1" noTextEdit="1"/>
        </xdr:cNvSpPr>
      </xdr:nvSpPr>
      <xdr:spPr bwMode="auto">
        <a:xfrm>
          <a:off x="2087780" y="1158828"/>
          <a:ext cx="467904" cy="239503"/>
        </a:xfrm>
        <a:prstGeom prst="rect">
          <a:avLst/>
        </a:prstGeom>
        <a:noFill/>
        <a:ln w="9525">
          <a:noFill/>
          <a:miter lim="800000"/>
          <a:headEnd/>
          <a:tailEnd/>
        </a:ln>
      </xdr:spPr>
      <xdr:txBody>
        <a:bodyPr vertOverflow="clip" wrap="square" lIns="27432" tIns="22860" rIns="0" bIns="0" anchor="ctr" upright="1"/>
        <a:lstStyle/>
        <a:p>
          <a:pPr algn="r" rtl="0">
            <a:defRPr sz="1000"/>
          </a:pPr>
          <a:fld id="{64A40C25-B8C4-4137-A6E6-043573078923}" type="TxLink">
            <a:rPr lang="en-US" sz="1000" b="0" i="0" u="none" strike="noStrike" baseline="0">
              <a:solidFill>
                <a:srgbClr val="000000"/>
              </a:solidFill>
              <a:latin typeface="Arial"/>
              <a:cs typeface="Arial"/>
            </a:rPr>
            <a:pPr algn="r" rtl="0">
              <a:defRPr sz="1000"/>
            </a:pPr>
            <a:t> </a:t>
          </a:fld>
          <a:endParaRPr lang="en-US" sz="1000" b="0" i="0" u="none" strike="noStrike" baseline="0">
            <a:solidFill>
              <a:srgbClr val="000000"/>
            </a:solidFill>
            <a:latin typeface="Arial" pitchFamily="34" charset="0"/>
            <a:cs typeface="Arial" pitchFamily="34" charset="0"/>
          </a:endParaRPr>
        </a:p>
      </xdr:txBody>
    </xdr:sp>
    <xdr:clientData/>
  </xdr:twoCellAnchor>
  <xdr:twoCellAnchor>
    <xdr:from>
      <xdr:col>2</xdr:col>
      <xdr:colOff>612187</xdr:colOff>
      <xdr:row>13</xdr:row>
      <xdr:rowOff>7296</xdr:rowOff>
    </xdr:from>
    <xdr:to>
      <xdr:col>4</xdr:col>
      <xdr:colOff>529928</xdr:colOff>
      <xdr:row>15</xdr:row>
      <xdr:rowOff>106291</xdr:rowOff>
    </xdr:to>
    <xdr:sp macro="" textlink="'Variable Management'!P29">
      <xdr:nvSpPr>
        <xdr:cNvPr id="69" name="Text Box 255">
          <a:extLst>
            <a:ext uri="{FF2B5EF4-FFF2-40B4-BE49-F238E27FC236}">
              <a16:creationId xmlns:a16="http://schemas.microsoft.com/office/drawing/2014/main" id="{00000000-0008-0000-0300-000045000000}"/>
            </a:ext>
          </a:extLst>
        </xdr:cNvPr>
        <xdr:cNvSpPr txBox="1">
          <a:spLocks noChangeArrowheads="1"/>
        </xdr:cNvSpPr>
      </xdr:nvSpPr>
      <xdr:spPr bwMode="auto">
        <a:xfrm>
          <a:off x="2665105" y="2221578"/>
          <a:ext cx="2400964" cy="439654"/>
        </a:xfrm>
        <a:prstGeom prst="rect">
          <a:avLst/>
        </a:prstGeom>
        <a:noFill/>
        <a:ln w="9525">
          <a:noFill/>
          <a:miter lim="800000"/>
          <a:headEnd/>
          <a:tailEnd/>
        </a:ln>
      </xdr:spPr>
      <xdr:txBody>
        <a:bodyPr vertOverflow="clip" wrap="square" lIns="27432" tIns="27432" rIns="0" bIns="0" anchor="ctr" upright="1"/>
        <a:lstStyle/>
        <a:p>
          <a:pPr algn="ctr" rtl="0">
            <a:defRPr sz="1000"/>
          </a:pPr>
          <a:fld id="{3D1EE03A-7ADC-44E7-8465-7E5A0D981313}" type="TxLink">
            <a:rPr lang="en-US" sz="1400" b="1" i="0" u="none" strike="noStrike">
              <a:solidFill>
                <a:srgbClr val="FF0000"/>
              </a:solidFill>
              <a:latin typeface="Arial"/>
              <a:cs typeface="Arial"/>
            </a:rPr>
            <a:pPr algn="ctr" rtl="0">
              <a:defRPr sz="1000"/>
            </a:pPr>
            <a:t>LM5148</a:t>
          </a:fld>
          <a:endParaRPr lang="en-US" sz="4000" b="1" i="0" strike="noStrike" baseline="-25000">
            <a:solidFill>
              <a:srgbClr val="FF0000"/>
            </a:solidFill>
            <a:latin typeface="Arial" pitchFamily="34" charset="0"/>
            <a:cs typeface="Arial" pitchFamily="34" charset="0"/>
          </a:endParaRPr>
        </a:p>
      </xdr:txBody>
    </xdr:sp>
    <xdr:clientData/>
  </xdr:twoCellAnchor>
  <xdr:twoCellAnchor editAs="absolute">
    <xdr:from>
      <xdr:col>1</xdr:col>
      <xdr:colOff>837118</xdr:colOff>
      <xdr:row>20</xdr:row>
      <xdr:rowOff>54945</xdr:rowOff>
    </xdr:from>
    <xdr:to>
      <xdr:col>2</xdr:col>
      <xdr:colOff>85309</xdr:colOff>
      <xdr:row>21</xdr:row>
      <xdr:rowOff>123967</xdr:rowOff>
    </xdr:to>
    <xdr:sp macro="" textlink="'Variable Management'!E407">
      <xdr:nvSpPr>
        <xdr:cNvPr id="70" name="Text Box 263">
          <a:extLst>
            <a:ext uri="{FF2B5EF4-FFF2-40B4-BE49-F238E27FC236}">
              <a16:creationId xmlns:a16="http://schemas.microsoft.com/office/drawing/2014/main" id="{00000000-0008-0000-0300-000046000000}"/>
            </a:ext>
          </a:extLst>
        </xdr:cNvPr>
        <xdr:cNvSpPr txBox="1">
          <a:spLocks noChangeArrowheads="1" noTextEdit="1"/>
        </xdr:cNvSpPr>
      </xdr:nvSpPr>
      <xdr:spPr bwMode="auto">
        <a:xfrm>
          <a:off x="1491542" y="3461533"/>
          <a:ext cx="646685" cy="239352"/>
        </a:xfrm>
        <a:prstGeom prst="rect">
          <a:avLst/>
        </a:prstGeom>
        <a:noFill/>
        <a:ln w="9525">
          <a:noFill/>
          <a:miter lim="800000"/>
          <a:headEnd/>
          <a:tailEnd/>
        </a:ln>
      </xdr:spPr>
      <xdr:txBody>
        <a:bodyPr vertOverflow="clip" wrap="square" lIns="27432" tIns="22860" rIns="0" bIns="0" anchor="t" upright="1"/>
        <a:lstStyle/>
        <a:p>
          <a:pPr algn="ctr" rtl="0">
            <a:defRPr sz="1000"/>
          </a:pPr>
          <a:fld id="{3031C7D8-B5EB-4140-BBBF-1F7FE936F989}" type="TxLink">
            <a:rPr lang="en-US" sz="1000" b="0" i="0" u="none" strike="noStrike" baseline="0">
              <a:solidFill>
                <a:srgbClr val="000000"/>
              </a:solidFill>
              <a:latin typeface="Arial"/>
              <a:cs typeface="Arial"/>
            </a:rPr>
            <a:pPr algn="ctr" rtl="0">
              <a:defRPr sz="1000"/>
            </a:pPr>
            <a:t> </a:t>
          </a:fld>
          <a:endParaRPr lang="el-GR" sz="1000" b="0" i="0" u="none" strike="noStrike" baseline="0">
            <a:solidFill>
              <a:srgbClr val="000000"/>
            </a:solidFill>
            <a:latin typeface="Arial" pitchFamily="34" charset="0"/>
            <a:cs typeface="Arial" pitchFamily="34" charset="0"/>
          </a:endParaRPr>
        </a:p>
      </xdr:txBody>
    </xdr:sp>
    <xdr:clientData/>
  </xdr:twoCellAnchor>
  <xdr:twoCellAnchor editAs="absolute">
    <xdr:from>
      <xdr:col>1</xdr:col>
      <xdr:colOff>264319</xdr:colOff>
      <xdr:row>20</xdr:row>
      <xdr:rowOff>16124</xdr:rowOff>
    </xdr:from>
    <xdr:to>
      <xdr:col>1</xdr:col>
      <xdr:colOff>900955</xdr:colOff>
      <xdr:row>21</xdr:row>
      <xdr:rowOff>123141</xdr:rowOff>
    </xdr:to>
    <xdr:sp macro="" textlink="'Variable Management'!C407">
      <xdr:nvSpPr>
        <xdr:cNvPr id="71" name="Text Box 263">
          <a:extLst>
            <a:ext uri="{FF2B5EF4-FFF2-40B4-BE49-F238E27FC236}">
              <a16:creationId xmlns:a16="http://schemas.microsoft.com/office/drawing/2014/main" id="{00000000-0008-0000-0300-000047000000}"/>
            </a:ext>
          </a:extLst>
        </xdr:cNvPr>
        <xdr:cNvSpPr txBox="1">
          <a:spLocks noChangeArrowheads="1" noTextEdit="1"/>
        </xdr:cNvSpPr>
      </xdr:nvSpPr>
      <xdr:spPr bwMode="auto">
        <a:xfrm>
          <a:off x="918743" y="3422712"/>
          <a:ext cx="636636" cy="277347"/>
        </a:xfrm>
        <a:prstGeom prst="rect">
          <a:avLst/>
        </a:prstGeom>
        <a:noFill/>
        <a:ln w="9525">
          <a:noFill/>
          <a:miter lim="800000"/>
          <a:headEnd/>
          <a:tailEnd/>
        </a:ln>
      </xdr:spPr>
      <xdr:txBody>
        <a:bodyPr vertOverflow="clip" wrap="square" lIns="27432" tIns="22860" rIns="0" bIns="0" anchor="t" upright="1"/>
        <a:lstStyle/>
        <a:p>
          <a:pPr algn="ctr" rtl="0">
            <a:defRPr sz="1000"/>
          </a:pPr>
          <a:fld id="{4871C2E7-D21C-4ED8-8DE5-93C2B2A18B90}" type="TxLink">
            <a:rPr lang="en-US" sz="1000" b="0" i="0" u="none" strike="noStrike" baseline="0">
              <a:solidFill>
                <a:srgbClr val="000000"/>
              </a:solidFill>
              <a:latin typeface="Arial"/>
              <a:cs typeface="Arial"/>
            </a:rPr>
            <a:pPr algn="ctr" rtl="0">
              <a:defRPr sz="1000"/>
            </a:pPr>
            <a:t> </a:t>
          </a:fld>
          <a:endParaRPr lang="el-GR" sz="1000" b="0" i="0" u="none" strike="noStrike" baseline="0">
            <a:solidFill>
              <a:srgbClr val="000000"/>
            </a:solidFill>
            <a:latin typeface="Arial" pitchFamily="34" charset="0"/>
            <a:cs typeface="Arial" pitchFamily="34" charset="0"/>
          </a:endParaRPr>
        </a:p>
      </xdr:txBody>
    </xdr:sp>
    <xdr:clientData/>
  </xdr:twoCellAnchor>
  <xdr:twoCellAnchor editAs="absolute">
    <xdr:from>
      <xdr:col>5</xdr:col>
      <xdr:colOff>296845</xdr:colOff>
      <xdr:row>19</xdr:row>
      <xdr:rowOff>121810</xdr:rowOff>
    </xdr:from>
    <xdr:to>
      <xdr:col>6</xdr:col>
      <xdr:colOff>565107</xdr:colOff>
      <xdr:row>22</xdr:row>
      <xdr:rowOff>6941</xdr:rowOff>
    </xdr:to>
    <xdr:sp macro="" textlink="">
      <xdr:nvSpPr>
        <xdr:cNvPr id="72" name="Text Box 249">
          <a:extLst>
            <a:ext uri="{FF2B5EF4-FFF2-40B4-BE49-F238E27FC236}">
              <a16:creationId xmlns:a16="http://schemas.microsoft.com/office/drawing/2014/main" id="{00000000-0008-0000-0300-000048000000}"/>
            </a:ext>
          </a:extLst>
        </xdr:cNvPr>
        <xdr:cNvSpPr txBox="1">
          <a:spLocks noChangeArrowheads="1"/>
        </xdr:cNvSpPr>
      </xdr:nvSpPr>
      <xdr:spPr bwMode="auto">
        <a:xfrm>
          <a:off x="6025292" y="3358069"/>
          <a:ext cx="1675721" cy="396119"/>
        </a:xfrm>
        <a:prstGeom prst="rect">
          <a:avLst/>
        </a:prstGeom>
        <a:noFill/>
        <a:ln w="9525">
          <a:noFill/>
          <a:miter lim="800000"/>
          <a:headEnd/>
          <a:tailEnd/>
        </a:ln>
      </xdr:spPr>
      <xdr:txBody>
        <a:bodyPr vertOverflow="clip" wrap="square" lIns="27432" tIns="27432" rIns="0" bIns="0" anchor="ctr" upright="1"/>
        <a:lstStyle/>
        <a:p>
          <a:pPr algn="l" rtl="0">
            <a:defRPr sz="1000"/>
          </a:pPr>
          <a:r>
            <a:rPr lang="en-US" sz="1000" b="0" i="0" strike="noStrike">
              <a:solidFill>
                <a:srgbClr val="000000"/>
              </a:solidFill>
              <a:latin typeface="Arial" pitchFamily="34" charset="0"/>
              <a:cs typeface="Arial" pitchFamily="34" charset="0"/>
            </a:rPr>
            <a:t>Connect to 5V rail </a:t>
          </a:r>
        </a:p>
        <a:p>
          <a:pPr algn="l" rtl="0">
            <a:defRPr sz="1000"/>
          </a:pPr>
          <a:r>
            <a:rPr lang="en-US" sz="1000" b="0" i="0" strike="noStrike">
              <a:solidFill>
                <a:srgbClr val="000000"/>
              </a:solidFill>
              <a:latin typeface="Arial" pitchFamily="34" charset="0"/>
              <a:cs typeface="Arial" pitchFamily="34" charset="0"/>
            </a:rPr>
            <a:t>(or</a:t>
          </a:r>
          <a:r>
            <a:rPr lang="en-US" sz="1000" b="0" i="0" strike="noStrike" baseline="0">
              <a:solidFill>
                <a:srgbClr val="000000"/>
              </a:solidFill>
              <a:latin typeface="Arial" pitchFamily="34" charset="0"/>
              <a:cs typeface="Arial" pitchFamily="34" charset="0"/>
            </a:rPr>
            <a:t> tie to GND if not used)</a:t>
          </a:r>
          <a:endParaRPr lang="en-US" sz="1000" b="0" i="0" strike="noStrike" baseline="-25000">
            <a:solidFill>
              <a:srgbClr val="000000"/>
            </a:solidFill>
            <a:latin typeface="Arial" pitchFamily="34" charset="0"/>
            <a:cs typeface="Arial"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13</xdr:col>
          <xdr:colOff>95250</xdr:colOff>
          <xdr:row>9</xdr:row>
          <xdr:rowOff>76200</xdr:rowOff>
        </xdr:from>
        <xdr:to>
          <xdr:col>24</xdr:col>
          <xdr:colOff>228600</xdr:colOff>
          <xdr:row>36</xdr:row>
          <xdr:rowOff>76200</xdr:rowOff>
        </xdr:to>
        <xdr:sp macro="" textlink="">
          <xdr:nvSpPr>
            <xdr:cNvPr id="819203" name="Object 3" hidden="1">
              <a:extLst>
                <a:ext uri="{63B3BB69-23CF-44E3-9099-C40C66FF867C}">
                  <a14:compatExt spid="_x0000_s819203"/>
                </a:ext>
                <a:ext uri="{FF2B5EF4-FFF2-40B4-BE49-F238E27FC236}">
                  <a16:creationId xmlns:a16="http://schemas.microsoft.com/office/drawing/2014/main" id="{00000000-0008-0000-0400-000003800C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133350</xdr:colOff>
          <xdr:row>69</xdr:row>
          <xdr:rowOff>95250</xdr:rowOff>
        </xdr:from>
        <xdr:to>
          <xdr:col>24</xdr:col>
          <xdr:colOff>133350</xdr:colOff>
          <xdr:row>96</xdr:row>
          <xdr:rowOff>66675</xdr:rowOff>
        </xdr:to>
        <xdr:sp macro="" textlink="">
          <xdr:nvSpPr>
            <xdr:cNvPr id="819207" name="Object 7" hidden="1">
              <a:extLst>
                <a:ext uri="{63B3BB69-23CF-44E3-9099-C40C66FF867C}">
                  <a14:compatExt spid="_x0000_s819207"/>
                </a:ext>
                <a:ext uri="{FF2B5EF4-FFF2-40B4-BE49-F238E27FC236}">
                  <a16:creationId xmlns:a16="http://schemas.microsoft.com/office/drawing/2014/main" id="{00000000-0008-0000-0400-000007800C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95250</xdr:colOff>
          <xdr:row>40</xdr:row>
          <xdr:rowOff>57150</xdr:rowOff>
        </xdr:from>
        <xdr:to>
          <xdr:col>24</xdr:col>
          <xdr:colOff>104775</xdr:colOff>
          <xdr:row>67</xdr:row>
          <xdr:rowOff>19050</xdr:rowOff>
        </xdr:to>
        <xdr:sp macro="" textlink="">
          <xdr:nvSpPr>
            <xdr:cNvPr id="819208" name="Object 8" hidden="1">
              <a:extLst>
                <a:ext uri="{63B3BB69-23CF-44E3-9099-C40C66FF867C}">
                  <a14:compatExt spid="_x0000_s819208"/>
                </a:ext>
                <a:ext uri="{FF2B5EF4-FFF2-40B4-BE49-F238E27FC236}">
                  <a16:creationId xmlns:a16="http://schemas.microsoft.com/office/drawing/2014/main" id="{00000000-0008-0000-0400-000008800C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333375</xdr:colOff>
          <xdr:row>40</xdr:row>
          <xdr:rowOff>57150</xdr:rowOff>
        </xdr:from>
        <xdr:to>
          <xdr:col>12</xdr:col>
          <xdr:colOff>438150</xdr:colOff>
          <xdr:row>67</xdr:row>
          <xdr:rowOff>57150</xdr:rowOff>
        </xdr:to>
        <xdr:sp macro="" textlink="">
          <xdr:nvSpPr>
            <xdr:cNvPr id="819209" name="Object 9" hidden="1">
              <a:extLst>
                <a:ext uri="{63B3BB69-23CF-44E3-9099-C40C66FF867C}">
                  <a14:compatExt spid="_x0000_s819209"/>
                </a:ext>
                <a:ext uri="{FF2B5EF4-FFF2-40B4-BE49-F238E27FC236}">
                  <a16:creationId xmlns:a16="http://schemas.microsoft.com/office/drawing/2014/main" id="{00000000-0008-0000-0400-000009800C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342900</xdr:colOff>
          <xdr:row>69</xdr:row>
          <xdr:rowOff>114300</xdr:rowOff>
        </xdr:from>
        <xdr:to>
          <xdr:col>12</xdr:col>
          <xdr:colOff>381000</xdr:colOff>
          <xdr:row>96</xdr:row>
          <xdr:rowOff>57150</xdr:rowOff>
        </xdr:to>
        <xdr:sp macro="" textlink="">
          <xdr:nvSpPr>
            <xdr:cNvPr id="819210" name="Object 10" hidden="1">
              <a:extLst>
                <a:ext uri="{63B3BB69-23CF-44E3-9099-C40C66FF867C}">
                  <a14:compatExt spid="_x0000_s819210"/>
                </a:ext>
                <a:ext uri="{FF2B5EF4-FFF2-40B4-BE49-F238E27FC236}">
                  <a16:creationId xmlns:a16="http://schemas.microsoft.com/office/drawing/2014/main" id="{00000000-0008-0000-0400-00000A800C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400050</xdr:colOff>
          <xdr:row>9</xdr:row>
          <xdr:rowOff>76200</xdr:rowOff>
        </xdr:from>
        <xdr:to>
          <xdr:col>12</xdr:col>
          <xdr:colOff>438150</xdr:colOff>
          <xdr:row>36</xdr:row>
          <xdr:rowOff>28575</xdr:rowOff>
        </xdr:to>
        <xdr:sp macro="" textlink="">
          <xdr:nvSpPr>
            <xdr:cNvPr id="819211" name="Object 11" hidden="1">
              <a:extLst>
                <a:ext uri="{63B3BB69-23CF-44E3-9099-C40C66FF867C}">
                  <a14:compatExt spid="_x0000_s819211"/>
                </a:ext>
                <a:ext uri="{FF2B5EF4-FFF2-40B4-BE49-F238E27FC236}">
                  <a16:creationId xmlns:a16="http://schemas.microsoft.com/office/drawing/2014/main" id="{00000000-0008-0000-0400-00000B800C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11</xdr:col>
      <xdr:colOff>552450</xdr:colOff>
      <xdr:row>36</xdr:row>
      <xdr:rowOff>95250</xdr:rowOff>
    </xdr:from>
    <xdr:to>
      <xdr:col>21</xdr:col>
      <xdr:colOff>552450</xdr:colOff>
      <xdr:row>68</xdr:row>
      <xdr:rowOff>38100</xdr:rowOff>
    </xdr:to>
    <xdr:grpSp>
      <xdr:nvGrpSpPr>
        <xdr:cNvPr id="2" name="Group 14">
          <a:extLst>
            <a:ext uri="{FF2B5EF4-FFF2-40B4-BE49-F238E27FC236}">
              <a16:creationId xmlns:a16="http://schemas.microsoft.com/office/drawing/2014/main" id="{00000000-0008-0000-0500-000002000000}"/>
            </a:ext>
          </a:extLst>
        </xdr:cNvPr>
        <xdr:cNvGrpSpPr>
          <a:grpSpLocks/>
        </xdr:cNvGrpSpPr>
      </xdr:nvGrpSpPr>
      <xdr:grpSpPr bwMode="auto">
        <a:xfrm>
          <a:off x="13249689" y="6307207"/>
          <a:ext cx="6733761" cy="5276850"/>
          <a:chOff x="3209925" y="19650076"/>
          <a:chExt cx="5619750" cy="5910101"/>
        </a:xfrm>
      </xdr:grpSpPr>
      <xdr:pic>
        <xdr:nvPicPr>
          <xdr:cNvPr id="3" name="Picture 11" descr="Error amp - no ref des.tif">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rcRect/>
          <a:stretch>
            <a:fillRect/>
          </a:stretch>
        </xdr:blipFill>
        <xdr:spPr bwMode="auto">
          <a:xfrm>
            <a:off x="3209925" y="19659867"/>
            <a:ext cx="5619750" cy="5900310"/>
          </a:xfrm>
          <a:prstGeom prst="rect">
            <a:avLst/>
          </a:prstGeom>
          <a:noFill/>
          <a:ln w="9525">
            <a:noFill/>
            <a:miter lim="800000"/>
            <a:headEnd/>
            <a:tailEnd/>
          </a:ln>
        </xdr:spPr>
      </xdr:pic>
      <xdr:sp macro="" textlink="$A$408">
        <xdr:nvSpPr>
          <xdr:cNvPr id="4" name="Text Box 5">
            <a:extLst>
              <a:ext uri="{FF2B5EF4-FFF2-40B4-BE49-F238E27FC236}">
                <a16:creationId xmlns:a16="http://schemas.microsoft.com/office/drawing/2014/main" id="{00000000-0008-0000-0500-000004000000}"/>
              </a:ext>
            </a:extLst>
          </xdr:cNvPr>
          <xdr:cNvSpPr txBox="1">
            <a:spLocks noChangeArrowheads="1" noTextEdit="1"/>
          </xdr:cNvSpPr>
        </xdr:nvSpPr>
        <xdr:spPr bwMode="auto">
          <a:xfrm>
            <a:off x="5400675" y="23797353"/>
            <a:ext cx="961159" cy="287619"/>
          </a:xfrm>
          <a:prstGeom prst="rect">
            <a:avLst/>
          </a:prstGeom>
          <a:noFill/>
          <a:ln w="9525">
            <a:noFill/>
            <a:miter lim="800000"/>
            <a:headEnd/>
            <a:tailEnd/>
          </a:ln>
        </xdr:spPr>
        <xdr:txBody>
          <a:bodyPr vertOverflow="clip" wrap="square" lIns="27432" tIns="22860" rIns="0" bIns="0" anchor="t" upright="1"/>
          <a:lstStyle/>
          <a:p>
            <a:pPr algn="l" rtl="0">
              <a:defRPr sz="1000"/>
            </a:pPr>
            <a:fld id="{646744A9-B6E0-4B97-A665-5D50832E7F13}" type="TxLink">
              <a:rPr lang="en-US" sz="1000" b="1" i="0" u="none" strike="noStrike" baseline="0">
                <a:solidFill>
                  <a:srgbClr val="000000"/>
                </a:solidFill>
                <a:latin typeface="Arialri"/>
                <a:cs typeface="Arial"/>
              </a:rPr>
              <a:pPr algn="l" rtl="0">
                <a:defRPr sz="1000"/>
              </a:pPr>
              <a:t>CC1 = 3.3nF</a:t>
            </a:fld>
            <a:endParaRPr lang="en-US" sz="1000" b="1" i="0" u="none" strike="noStrike" baseline="0">
              <a:solidFill>
                <a:srgbClr val="000000"/>
              </a:solidFill>
              <a:latin typeface="Arial"/>
              <a:cs typeface="Arial"/>
            </a:endParaRPr>
          </a:p>
        </xdr:txBody>
      </xdr:sp>
      <xdr:sp macro="" textlink="#REF!">
        <xdr:nvSpPr>
          <xdr:cNvPr id="5" name="Text Box 6">
            <a:extLst>
              <a:ext uri="{FF2B5EF4-FFF2-40B4-BE49-F238E27FC236}">
                <a16:creationId xmlns:a16="http://schemas.microsoft.com/office/drawing/2014/main" id="{00000000-0008-0000-0500-000005000000}"/>
              </a:ext>
            </a:extLst>
          </xdr:cNvPr>
          <xdr:cNvSpPr txBox="1">
            <a:spLocks noChangeArrowheads="1" noTextEdit="1"/>
          </xdr:cNvSpPr>
        </xdr:nvSpPr>
        <xdr:spPr bwMode="auto">
          <a:xfrm>
            <a:off x="3322493" y="23862299"/>
            <a:ext cx="805295" cy="556681"/>
          </a:xfrm>
          <a:prstGeom prst="rect">
            <a:avLst/>
          </a:prstGeom>
          <a:noFill/>
          <a:ln w="9525">
            <a:noFill/>
            <a:miter lim="800000"/>
            <a:headEnd/>
            <a:tailEnd/>
          </a:ln>
        </xdr:spPr>
        <xdr:txBody>
          <a:bodyPr vertOverflow="clip" wrap="square" lIns="27432" tIns="22860" rIns="0" bIns="0" anchor="t" upright="1"/>
          <a:lstStyle/>
          <a:p>
            <a:pPr algn="r" rtl="0">
              <a:defRPr sz="1000"/>
            </a:pPr>
            <a:fld id="{872494E3-3BCB-4B8A-8556-319E6FBD4F6C}" type="TxLink">
              <a:rPr lang="en-US" sz="1000" b="1" i="0" u="none" strike="noStrike" baseline="0">
                <a:solidFill>
                  <a:srgbClr val="000000"/>
                </a:solidFill>
                <a:latin typeface="Arialri"/>
                <a:cs typeface="Arial"/>
              </a:rPr>
              <a:pPr algn="r" rtl="0">
                <a:defRPr sz="1000"/>
              </a:pPr>
              <a:t> </a:t>
            </a:fld>
            <a:endParaRPr lang="en-US" sz="1000" b="1" i="0" u="none" strike="noStrike" baseline="0">
              <a:solidFill>
                <a:srgbClr val="000000"/>
              </a:solidFill>
              <a:latin typeface="Arial"/>
              <a:cs typeface="Arial"/>
            </a:endParaRPr>
          </a:p>
        </xdr:txBody>
      </xdr:sp>
      <xdr:sp macro="" textlink="$A$417">
        <xdr:nvSpPr>
          <xdr:cNvPr id="6" name="Text Box 9">
            <a:extLst>
              <a:ext uri="{FF2B5EF4-FFF2-40B4-BE49-F238E27FC236}">
                <a16:creationId xmlns:a16="http://schemas.microsoft.com/office/drawing/2014/main" id="{00000000-0008-0000-0500-000006000000}"/>
              </a:ext>
            </a:extLst>
          </xdr:cNvPr>
          <xdr:cNvSpPr txBox="1">
            <a:spLocks noChangeArrowheads="1" noTextEdit="1"/>
          </xdr:cNvSpPr>
        </xdr:nvSpPr>
        <xdr:spPr bwMode="auto">
          <a:xfrm>
            <a:off x="7539470" y="20865497"/>
            <a:ext cx="909205" cy="528847"/>
          </a:xfrm>
          <a:prstGeom prst="rect">
            <a:avLst/>
          </a:prstGeom>
          <a:noFill/>
          <a:ln w="9525">
            <a:noFill/>
            <a:miter lim="800000"/>
            <a:headEnd/>
            <a:tailEnd/>
          </a:ln>
        </xdr:spPr>
        <xdr:txBody>
          <a:bodyPr vertOverflow="clip" wrap="square" lIns="27432" tIns="22860" rIns="0" bIns="0" anchor="t" upright="1"/>
          <a:lstStyle/>
          <a:p>
            <a:pPr algn="r" rtl="0">
              <a:defRPr sz="1000"/>
            </a:pPr>
            <a:fld id="{52D31661-C732-4DB5-B625-AC6B80EEA28C}" type="TxLink">
              <a:rPr lang="en-US" sz="1000" b="1" i="0" u="none" strike="noStrike" baseline="0">
                <a:solidFill>
                  <a:srgbClr val="000000"/>
                </a:solidFill>
                <a:latin typeface="Arialri"/>
                <a:cs typeface="Arial"/>
              </a:rPr>
              <a:pPr algn="r" rtl="0">
                <a:defRPr sz="1000"/>
              </a:pPr>
              <a:t>RFB1 = 78.7kΩ</a:t>
            </a:fld>
            <a:endParaRPr lang="el-GR" sz="1000" b="1" i="0" u="none" strike="noStrike" baseline="0">
              <a:solidFill>
                <a:srgbClr val="000000"/>
              </a:solidFill>
              <a:latin typeface="Arial"/>
              <a:cs typeface="Arial"/>
            </a:endParaRPr>
          </a:p>
        </xdr:txBody>
      </xdr:sp>
      <xdr:sp macro="" textlink="$A$418">
        <xdr:nvSpPr>
          <xdr:cNvPr id="7" name="Text Box 10">
            <a:extLst>
              <a:ext uri="{FF2B5EF4-FFF2-40B4-BE49-F238E27FC236}">
                <a16:creationId xmlns:a16="http://schemas.microsoft.com/office/drawing/2014/main" id="{00000000-0008-0000-0500-000007000000}"/>
              </a:ext>
            </a:extLst>
          </xdr:cNvPr>
          <xdr:cNvSpPr txBox="1">
            <a:spLocks noChangeArrowheads="1" noTextEdit="1"/>
          </xdr:cNvSpPr>
        </xdr:nvSpPr>
        <xdr:spPr bwMode="auto">
          <a:xfrm>
            <a:off x="7565449" y="22257201"/>
            <a:ext cx="917864" cy="324731"/>
          </a:xfrm>
          <a:prstGeom prst="rect">
            <a:avLst/>
          </a:prstGeom>
          <a:noFill/>
          <a:ln w="9525">
            <a:noFill/>
            <a:miter lim="800000"/>
            <a:headEnd/>
            <a:tailEnd/>
          </a:ln>
        </xdr:spPr>
        <xdr:txBody>
          <a:bodyPr vertOverflow="clip" wrap="square" lIns="27432" tIns="22860" rIns="0" bIns="0" anchor="t" upright="1"/>
          <a:lstStyle/>
          <a:p>
            <a:pPr algn="r" rtl="0">
              <a:defRPr sz="1000"/>
            </a:pPr>
            <a:fld id="{49F0D989-1BAE-4B3F-9979-B5F5B92776AD}" type="TxLink">
              <a:rPr lang="en-US" sz="1000" b="1" i="0" u="none" strike="noStrike" baseline="0">
                <a:solidFill>
                  <a:srgbClr val="000000"/>
                </a:solidFill>
                <a:latin typeface="Arialri"/>
                <a:cs typeface="Arial"/>
              </a:rPr>
              <a:pPr algn="r" rtl="0">
                <a:defRPr sz="1000"/>
              </a:pPr>
              <a:t>RFB2 = 471kΩ</a:t>
            </a:fld>
            <a:endParaRPr lang="el-GR" sz="1000" b="1" i="0" u="none" strike="noStrike" baseline="0">
              <a:solidFill>
                <a:srgbClr val="000000"/>
              </a:solidFill>
              <a:latin typeface="Arial"/>
              <a:cs typeface="Arial"/>
            </a:endParaRPr>
          </a:p>
        </xdr:txBody>
      </xdr:sp>
      <xdr:sp macro="" textlink="$A$407">
        <xdr:nvSpPr>
          <xdr:cNvPr id="8" name="Text Box 4">
            <a:extLst>
              <a:ext uri="{FF2B5EF4-FFF2-40B4-BE49-F238E27FC236}">
                <a16:creationId xmlns:a16="http://schemas.microsoft.com/office/drawing/2014/main" id="{00000000-0008-0000-0500-000008000000}"/>
              </a:ext>
            </a:extLst>
          </xdr:cNvPr>
          <xdr:cNvSpPr txBox="1">
            <a:spLocks noChangeArrowheads="1" noTextEdit="1"/>
          </xdr:cNvSpPr>
        </xdr:nvSpPr>
        <xdr:spPr bwMode="auto">
          <a:xfrm>
            <a:off x="5314083" y="22860271"/>
            <a:ext cx="874568" cy="417511"/>
          </a:xfrm>
          <a:prstGeom prst="rect">
            <a:avLst/>
          </a:prstGeom>
          <a:noFill/>
          <a:ln w="9525">
            <a:noFill/>
            <a:miter lim="800000"/>
            <a:headEnd/>
            <a:tailEnd/>
          </a:ln>
        </xdr:spPr>
        <xdr:txBody>
          <a:bodyPr vertOverflow="clip" wrap="square" lIns="27432" tIns="22860" rIns="0" bIns="0" anchor="t" upright="1"/>
          <a:lstStyle/>
          <a:p>
            <a:pPr algn="l" rtl="0">
              <a:defRPr sz="1000"/>
            </a:pPr>
            <a:fld id="{899FBA2F-0000-4A1A-AACB-0C4C45759FAE}" type="TxLink">
              <a:rPr lang="en-US" sz="1000" b="1" i="0" u="none" strike="noStrike" baseline="0">
                <a:solidFill>
                  <a:srgbClr val="000000"/>
                </a:solidFill>
                <a:latin typeface="Arialri"/>
                <a:cs typeface="Arial"/>
              </a:rPr>
              <a:pPr algn="l" rtl="0">
                <a:defRPr sz="1000"/>
              </a:pPr>
              <a:t>RC1 = 12.1kΩ</a:t>
            </a:fld>
            <a:endParaRPr lang="el-GR" sz="1000" b="1" i="0" u="none" strike="noStrike" baseline="0">
              <a:solidFill>
                <a:srgbClr val="000000"/>
              </a:solidFill>
              <a:latin typeface="Arial"/>
              <a:cs typeface="Arial"/>
            </a:endParaRPr>
          </a:p>
        </xdr:txBody>
      </xdr:sp>
      <xdr:sp macro="" textlink="$A$395">
        <xdr:nvSpPr>
          <xdr:cNvPr id="9" name="Text Box 9">
            <a:extLst>
              <a:ext uri="{FF2B5EF4-FFF2-40B4-BE49-F238E27FC236}">
                <a16:creationId xmlns:a16="http://schemas.microsoft.com/office/drawing/2014/main" id="{00000000-0008-0000-0500-000009000000}"/>
              </a:ext>
            </a:extLst>
          </xdr:cNvPr>
          <xdr:cNvSpPr txBox="1">
            <a:spLocks noChangeArrowheads="1" noTextEdit="1"/>
          </xdr:cNvSpPr>
        </xdr:nvSpPr>
        <xdr:spPr bwMode="auto">
          <a:xfrm>
            <a:off x="7452880" y="19650076"/>
            <a:ext cx="1082386" cy="315453"/>
          </a:xfrm>
          <a:prstGeom prst="rect">
            <a:avLst/>
          </a:prstGeom>
          <a:noFill/>
          <a:ln w="9525">
            <a:noFill/>
            <a:miter lim="800000"/>
            <a:headEnd/>
            <a:tailEnd/>
          </a:ln>
        </xdr:spPr>
        <xdr:txBody>
          <a:bodyPr vertOverflow="clip" wrap="square" lIns="27432" tIns="22860" rIns="0" bIns="0" anchor="t" upright="1"/>
          <a:lstStyle/>
          <a:p>
            <a:pPr algn="r" rtl="0">
              <a:defRPr sz="1000"/>
            </a:pPr>
            <a:fld id="{97BF0309-416E-405E-B585-4983CCA02D3E}" type="TxLink">
              <a:rPr lang="en-US" sz="1000" b="1" i="0" u="none" strike="noStrike" baseline="0">
                <a:solidFill>
                  <a:srgbClr val="000000"/>
                </a:solidFill>
                <a:latin typeface="Arialri"/>
                <a:cs typeface="Arial"/>
              </a:rPr>
              <a:pPr algn="r" rtl="0">
                <a:defRPr sz="1000"/>
              </a:pPr>
              <a:t>VOUT = 5V</a:t>
            </a:fld>
            <a:endParaRPr lang="el-GR" sz="1000" b="1" i="0" u="none" strike="noStrike" baseline="0">
              <a:solidFill>
                <a:srgbClr val="000000"/>
              </a:solidFill>
              <a:latin typeface="Arial"/>
              <a:cs typeface="Arial"/>
            </a:endParaRPr>
          </a:p>
        </xdr:txBody>
      </xdr:sp>
    </xdr:grpSp>
    <xdr:clientData/>
  </xdr:twoCellAnchor>
  <xdr:twoCellAnchor>
    <xdr:from>
      <xdr:col>15</xdr:col>
      <xdr:colOff>209550</xdr:colOff>
      <xdr:row>18</xdr:row>
      <xdr:rowOff>76201</xdr:rowOff>
    </xdr:from>
    <xdr:to>
      <xdr:col>17</xdr:col>
      <xdr:colOff>9525</xdr:colOff>
      <xdr:row>21</xdr:row>
      <xdr:rowOff>19051</xdr:rowOff>
    </xdr:to>
    <xdr:sp macro="" textlink="$A$411">
      <xdr:nvSpPr>
        <xdr:cNvPr id="10" name="Text Box 4">
          <a:extLst>
            <a:ext uri="{FF2B5EF4-FFF2-40B4-BE49-F238E27FC236}">
              <a16:creationId xmlns:a16="http://schemas.microsoft.com/office/drawing/2014/main" id="{00000000-0008-0000-0500-00000A000000}"/>
            </a:ext>
          </a:extLst>
        </xdr:cNvPr>
        <xdr:cNvSpPr txBox="1">
          <a:spLocks noChangeArrowheads="1" noTextEdit="1"/>
        </xdr:cNvSpPr>
      </xdr:nvSpPr>
      <xdr:spPr bwMode="auto">
        <a:xfrm>
          <a:off x="15259050" y="3219451"/>
          <a:ext cx="962025" cy="428625"/>
        </a:xfrm>
        <a:prstGeom prst="rect">
          <a:avLst/>
        </a:prstGeom>
        <a:noFill/>
        <a:ln w="9525">
          <a:noFill/>
          <a:miter lim="800000"/>
          <a:headEnd/>
          <a:tailEnd/>
        </a:ln>
      </xdr:spPr>
      <xdr:txBody>
        <a:bodyPr vertOverflow="clip" wrap="square" lIns="27432" tIns="22860" rIns="0" bIns="0" anchor="t" upright="1"/>
        <a:lstStyle/>
        <a:p>
          <a:pPr algn="r" rtl="0">
            <a:defRPr sz="1000"/>
          </a:pPr>
          <a:fld id="{DCFBE156-977E-4C45-9B24-0A2E6E91FFAB}" type="TxLink">
            <a:rPr lang="en-US" sz="1000" b="1" i="0" u="none" strike="noStrike" baseline="0">
              <a:solidFill>
                <a:srgbClr val="000000"/>
              </a:solidFill>
              <a:latin typeface="Arialri"/>
              <a:cs typeface="Arial"/>
            </a:rPr>
            <a:pPr algn="r" rtl="0">
              <a:defRPr sz="1000"/>
            </a:pPr>
            <a:t>gm = 1.2mS</a:t>
          </a:fld>
          <a:endParaRPr lang="el-GR" sz="1000" b="1" i="0" u="none" strike="noStrike" baseline="0">
            <a:solidFill>
              <a:srgbClr val="000000"/>
            </a:solidFill>
            <a:latin typeface="Arial"/>
            <a:cs typeface="Arial"/>
          </a:endParaRPr>
        </a:p>
      </xdr:txBody>
    </xdr:sp>
    <xdr:clientData/>
  </xdr:twoCellAnchor>
  <xdr:twoCellAnchor>
    <xdr:from>
      <xdr:col>13</xdr:col>
      <xdr:colOff>266700</xdr:colOff>
      <xdr:row>20</xdr:row>
      <xdr:rowOff>0</xdr:rowOff>
    </xdr:from>
    <xdr:to>
      <xdr:col>15</xdr:col>
      <xdr:colOff>38100</xdr:colOff>
      <xdr:row>22</xdr:row>
      <xdr:rowOff>104775</xdr:rowOff>
    </xdr:to>
    <xdr:sp macro="" textlink="$A$412">
      <xdr:nvSpPr>
        <xdr:cNvPr id="11" name="Text Box 4">
          <a:extLst>
            <a:ext uri="{FF2B5EF4-FFF2-40B4-BE49-F238E27FC236}">
              <a16:creationId xmlns:a16="http://schemas.microsoft.com/office/drawing/2014/main" id="{00000000-0008-0000-0500-00000B000000}"/>
            </a:ext>
          </a:extLst>
        </xdr:cNvPr>
        <xdr:cNvSpPr txBox="1">
          <a:spLocks noChangeArrowheads="1" noTextEdit="1"/>
        </xdr:cNvSpPr>
      </xdr:nvSpPr>
      <xdr:spPr bwMode="auto">
        <a:xfrm>
          <a:off x="14125575" y="3467100"/>
          <a:ext cx="962025" cy="428625"/>
        </a:xfrm>
        <a:prstGeom prst="rect">
          <a:avLst/>
        </a:prstGeom>
        <a:noFill/>
        <a:ln w="9525">
          <a:noFill/>
          <a:miter lim="800000"/>
          <a:headEnd/>
          <a:tailEnd/>
        </a:ln>
      </xdr:spPr>
      <xdr:txBody>
        <a:bodyPr vertOverflow="clip" wrap="square" lIns="27432" tIns="22860" rIns="0" bIns="0" anchor="t" upright="1"/>
        <a:lstStyle/>
        <a:p>
          <a:pPr algn="r" rtl="0">
            <a:defRPr sz="1000"/>
          </a:pPr>
          <a:fld id="{4772262A-5BC4-4AF8-A8E2-DF3959B443C1}" type="TxLink">
            <a:rPr lang="en-US" sz="1000" b="1" i="0" u="none" strike="noStrike" baseline="0">
              <a:solidFill>
                <a:srgbClr val="000000"/>
              </a:solidFill>
              <a:latin typeface="Arialri"/>
              <a:cs typeface="Arial"/>
            </a:rPr>
            <a:pPr algn="r" rtl="0">
              <a:defRPr sz="1000"/>
            </a:pPr>
            <a:t>RoEA = 64MΩ</a:t>
          </a:fld>
          <a:endParaRPr lang="el-GR" sz="1000" b="1" i="0" u="none" strike="noStrike" baseline="0">
            <a:solidFill>
              <a:srgbClr val="000000"/>
            </a:solidFill>
            <a:latin typeface="Arial"/>
            <a:cs typeface="Arial"/>
          </a:endParaRPr>
        </a:p>
      </xdr:txBody>
    </xdr:sp>
    <xdr:clientData/>
  </xdr:twoCellAnchor>
  <xdr:twoCellAnchor>
    <xdr:from>
      <xdr:col>13</xdr:col>
      <xdr:colOff>238125</xdr:colOff>
      <xdr:row>18</xdr:row>
      <xdr:rowOff>95250</xdr:rowOff>
    </xdr:from>
    <xdr:to>
      <xdr:col>15</xdr:col>
      <xdr:colOff>9525</xdr:colOff>
      <xdr:row>20</xdr:row>
      <xdr:rowOff>38100</xdr:rowOff>
    </xdr:to>
    <xdr:sp macro="" textlink="$A$413">
      <xdr:nvSpPr>
        <xdr:cNvPr id="12" name="Text Box 4">
          <a:extLst>
            <a:ext uri="{FF2B5EF4-FFF2-40B4-BE49-F238E27FC236}">
              <a16:creationId xmlns:a16="http://schemas.microsoft.com/office/drawing/2014/main" id="{00000000-0008-0000-0500-00000C000000}"/>
            </a:ext>
          </a:extLst>
        </xdr:cNvPr>
        <xdr:cNvSpPr txBox="1">
          <a:spLocks noChangeArrowheads="1" noTextEdit="1"/>
        </xdr:cNvSpPr>
      </xdr:nvSpPr>
      <xdr:spPr bwMode="auto">
        <a:xfrm>
          <a:off x="14097000" y="3238500"/>
          <a:ext cx="962025" cy="266700"/>
        </a:xfrm>
        <a:prstGeom prst="rect">
          <a:avLst/>
        </a:prstGeom>
        <a:noFill/>
        <a:ln w="9525">
          <a:noFill/>
          <a:miter lim="800000"/>
          <a:headEnd/>
          <a:tailEnd/>
        </a:ln>
      </xdr:spPr>
      <xdr:txBody>
        <a:bodyPr vertOverflow="clip" wrap="square" lIns="27432" tIns="22860" rIns="0" bIns="0" anchor="t" upright="1"/>
        <a:lstStyle/>
        <a:p>
          <a:pPr algn="r" rtl="0">
            <a:defRPr sz="1000"/>
          </a:pPr>
          <a:fld id="{6540ECFD-AAA0-44C8-8BEA-3C65071BF767}" type="TxLink">
            <a:rPr lang="en-US" sz="1000" b="1" i="0" u="none" strike="noStrike" baseline="0">
              <a:solidFill>
                <a:srgbClr val="000000"/>
              </a:solidFill>
              <a:latin typeface="Arialri"/>
              <a:cs typeface="Arial"/>
            </a:rPr>
            <a:pPr algn="r" rtl="0">
              <a:defRPr sz="1000"/>
            </a:pPr>
            <a:t>GBW = 6MHz</a:t>
          </a:fld>
          <a:endParaRPr lang="el-GR" sz="1000" b="1" i="0" u="none" strike="noStrike" baseline="0">
            <a:solidFill>
              <a:srgbClr val="000000"/>
            </a:solidFill>
            <a:latin typeface="Arial"/>
            <a:cs typeface="Arial"/>
          </a:endParaRPr>
        </a:p>
      </xdr:txBody>
    </xdr:sp>
    <xdr:clientData/>
  </xdr:twoCellAnchor>
  <xdr:twoCellAnchor editAs="oneCell">
    <xdr:from>
      <xdr:col>10</xdr:col>
      <xdr:colOff>476250</xdr:colOff>
      <xdr:row>0</xdr:row>
      <xdr:rowOff>104775</xdr:rowOff>
    </xdr:from>
    <xdr:to>
      <xdr:col>15</xdr:col>
      <xdr:colOff>796539</xdr:colOff>
      <xdr:row>3</xdr:row>
      <xdr:rowOff>3049</xdr:rowOff>
    </xdr:to>
    <xdr:pic>
      <xdr:nvPicPr>
        <xdr:cNvPr id="18" name="Picture 17">
          <a:extLst>
            <a:ext uri="{FF2B5EF4-FFF2-40B4-BE49-F238E27FC236}">
              <a16:creationId xmlns:a16="http://schemas.microsoft.com/office/drawing/2014/main" id="{00000000-0008-0000-0500-00001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30050" y="104775"/>
          <a:ext cx="4152900" cy="577270"/>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9</xdr:col>
          <xdr:colOff>361950</xdr:colOff>
          <xdr:row>18</xdr:row>
          <xdr:rowOff>57150</xdr:rowOff>
        </xdr:from>
        <xdr:to>
          <xdr:col>11</xdr:col>
          <xdr:colOff>0</xdr:colOff>
          <xdr:row>19</xdr:row>
          <xdr:rowOff>133350</xdr:rowOff>
        </xdr:to>
        <xdr:sp macro="" textlink="">
          <xdr:nvSpPr>
            <xdr:cNvPr id="702465" name="Drop Down 1" hidden="1">
              <a:extLst>
                <a:ext uri="{63B3BB69-23CF-44E3-9099-C40C66FF867C}">
                  <a14:compatExt spid="_x0000_s702465"/>
                </a:ext>
                <a:ext uri="{FF2B5EF4-FFF2-40B4-BE49-F238E27FC236}">
                  <a16:creationId xmlns:a16="http://schemas.microsoft.com/office/drawing/2014/main" id="{00000000-0008-0000-0500-000001B80A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361950</xdr:colOff>
          <xdr:row>15</xdr:row>
          <xdr:rowOff>133350</xdr:rowOff>
        </xdr:from>
        <xdr:to>
          <xdr:col>20</xdr:col>
          <xdr:colOff>28575</xdr:colOff>
          <xdr:row>17</xdr:row>
          <xdr:rowOff>0</xdr:rowOff>
        </xdr:to>
        <xdr:sp macro="" textlink="">
          <xdr:nvSpPr>
            <xdr:cNvPr id="702468" name="Drop Down 4" hidden="1">
              <a:extLst>
                <a:ext uri="{63B3BB69-23CF-44E3-9099-C40C66FF867C}">
                  <a14:compatExt spid="_x0000_s702468"/>
                </a:ext>
                <a:ext uri="{FF2B5EF4-FFF2-40B4-BE49-F238E27FC236}">
                  <a16:creationId xmlns:a16="http://schemas.microsoft.com/office/drawing/2014/main" id="{00000000-0008-0000-0500-000004B80A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409575</xdr:colOff>
          <xdr:row>31</xdr:row>
          <xdr:rowOff>38100</xdr:rowOff>
        </xdr:from>
        <xdr:to>
          <xdr:col>25</xdr:col>
          <xdr:colOff>66675</xdr:colOff>
          <xdr:row>32</xdr:row>
          <xdr:rowOff>171450</xdr:rowOff>
        </xdr:to>
        <xdr:sp macro="" textlink="">
          <xdr:nvSpPr>
            <xdr:cNvPr id="702470" name="Drop Down 6" hidden="1">
              <a:extLst>
                <a:ext uri="{63B3BB69-23CF-44E3-9099-C40C66FF867C}">
                  <a14:compatExt spid="_x0000_s702470"/>
                </a:ext>
                <a:ext uri="{FF2B5EF4-FFF2-40B4-BE49-F238E27FC236}">
                  <a16:creationId xmlns:a16="http://schemas.microsoft.com/office/drawing/2014/main" id="{00000000-0008-0000-0500-000006B80A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228600</xdr:colOff>
          <xdr:row>51</xdr:row>
          <xdr:rowOff>38100</xdr:rowOff>
        </xdr:from>
        <xdr:to>
          <xdr:col>10</xdr:col>
          <xdr:colOff>523875</xdr:colOff>
          <xdr:row>52</xdr:row>
          <xdr:rowOff>114300</xdr:rowOff>
        </xdr:to>
        <xdr:sp macro="" textlink="">
          <xdr:nvSpPr>
            <xdr:cNvPr id="702471" name="Drop Down 7" hidden="1">
              <a:extLst>
                <a:ext uri="{63B3BB69-23CF-44E3-9099-C40C66FF867C}">
                  <a14:compatExt spid="_x0000_s702471"/>
                </a:ext>
                <a:ext uri="{FF2B5EF4-FFF2-40B4-BE49-F238E27FC236}">
                  <a16:creationId xmlns:a16="http://schemas.microsoft.com/office/drawing/2014/main" id="{00000000-0008-0000-0500-000007B80A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absolute">
    <xdr:from>
      <xdr:col>1</xdr:col>
      <xdr:colOff>1859410</xdr:colOff>
      <xdr:row>7</xdr:row>
      <xdr:rowOff>1222954</xdr:rowOff>
    </xdr:from>
    <xdr:to>
      <xdr:col>1</xdr:col>
      <xdr:colOff>2204210</xdr:colOff>
      <xdr:row>7</xdr:row>
      <xdr:rowOff>1483106</xdr:rowOff>
    </xdr:to>
    <xdr:sp macro="" textlink="">
      <xdr:nvSpPr>
        <xdr:cNvPr id="21" name="Text Box 225">
          <a:extLst>
            <a:ext uri="{FF2B5EF4-FFF2-40B4-BE49-F238E27FC236}">
              <a16:creationId xmlns:a16="http://schemas.microsoft.com/office/drawing/2014/main" id="{00000000-0008-0000-0600-000015000000}"/>
            </a:ext>
          </a:extLst>
        </xdr:cNvPr>
        <xdr:cNvSpPr txBox="1">
          <a:spLocks noChangeArrowheads="1"/>
        </xdr:cNvSpPr>
      </xdr:nvSpPr>
      <xdr:spPr bwMode="auto">
        <a:xfrm>
          <a:off x="2563171" y="6492006"/>
          <a:ext cx="344800" cy="25824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FB</a:t>
          </a:r>
        </a:p>
      </xdr:txBody>
    </xdr:sp>
    <xdr:clientData/>
  </xdr:twoCellAnchor>
  <xdr:twoCellAnchor editAs="absolute">
    <xdr:from>
      <xdr:col>1</xdr:col>
      <xdr:colOff>1375139</xdr:colOff>
      <xdr:row>7</xdr:row>
      <xdr:rowOff>913217</xdr:rowOff>
    </xdr:from>
    <xdr:to>
      <xdr:col>1</xdr:col>
      <xdr:colOff>1780062</xdr:colOff>
      <xdr:row>7</xdr:row>
      <xdr:rowOff>1110284</xdr:rowOff>
    </xdr:to>
    <xdr:sp macro="" textlink="">
      <xdr:nvSpPr>
        <xdr:cNvPr id="22" name="Text Box 255">
          <a:extLst>
            <a:ext uri="{FF2B5EF4-FFF2-40B4-BE49-F238E27FC236}">
              <a16:creationId xmlns:a16="http://schemas.microsoft.com/office/drawing/2014/main" id="{00000000-0008-0000-0600-000016000000}"/>
            </a:ext>
          </a:extLst>
        </xdr:cNvPr>
        <xdr:cNvSpPr txBox="1">
          <a:spLocks noChangeArrowheads="1"/>
        </xdr:cNvSpPr>
      </xdr:nvSpPr>
      <xdr:spPr bwMode="auto">
        <a:xfrm>
          <a:off x="2084615" y="6180364"/>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VDDA</a:t>
          </a:r>
          <a:endParaRPr lang="en-US" sz="700" b="0" i="0" strike="noStrike" baseline="-25000">
            <a:solidFill>
              <a:srgbClr val="000000"/>
            </a:solidFill>
            <a:latin typeface="Arial" pitchFamily="34" charset="0"/>
            <a:cs typeface="Arial" pitchFamily="34" charset="0"/>
          </a:endParaRPr>
        </a:p>
      </xdr:txBody>
    </xdr:sp>
    <xdr:clientData/>
  </xdr:twoCellAnchor>
  <xdr:twoCellAnchor editAs="absolute">
    <xdr:from>
      <xdr:col>1</xdr:col>
      <xdr:colOff>1364525</xdr:colOff>
      <xdr:row>7</xdr:row>
      <xdr:rowOff>2736721</xdr:rowOff>
    </xdr:from>
    <xdr:to>
      <xdr:col>1</xdr:col>
      <xdr:colOff>1748519</xdr:colOff>
      <xdr:row>7</xdr:row>
      <xdr:rowOff>2933788</xdr:rowOff>
    </xdr:to>
    <xdr:sp macro="" textlink="">
      <xdr:nvSpPr>
        <xdr:cNvPr id="23" name="Text Box 255">
          <a:extLst>
            <a:ext uri="{FF2B5EF4-FFF2-40B4-BE49-F238E27FC236}">
              <a16:creationId xmlns:a16="http://schemas.microsoft.com/office/drawing/2014/main" id="{00000000-0008-0000-0600-000017000000}"/>
            </a:ext>
          </a:extLst>
        </xdr:cNvPr>
        <xdr:cNvSpPr txBox="1">
          <a:spLocks noChangeArrowheads="1"/>
        </xdr:cNvSpPr>
      </xdr:nvSpPr>
      <xdr:spPr bwMode="auto">
        <a:xfrm>
          <a:off x="2068286" y="8000058"/>
          <a:ext cx="387804"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VCC</a:t>
          </a:r>
          <a:endParaRPr lang="en-US" sz="700" b="0" i="0" strike="noStrike" baseline="-25000">
            <a:solidFill>
              <a:srgbClr val="000000"/>
            </a:solidFill>
            <a:latin typeface="Arial" pitchFamily="34" charset="0"/>
            <a:cs typeface="Arial" pitchFamily="34" charset="0"/>
          </a:endParaRPr>
        </a:p>
      </xdr:txBody>
    </xdr:sp>
    <xdr:clientData/>
  </xdr:twoCellAnchor>
  <xdr:twoCellAnchor editAs="absolute">
    <xdr:from>
      <xdr:col>1</xdr:col>
      <xdr:colOff>1108229</xdr:colOff>
      <xdr:row>7</xdr:row>
      <xdr:rowOff>219733</xdr:rowOff>
    </xdr:from>
    <xdr:to>
      <xdr:col>1</xdr:col>
      <xdr:colOff>1513152</xdr:colOff>
      <xdr:row>7</xdr:row>
      <xdr:rowOff>414895</xdr:rowOff>
    </xdr:to>
    <xdr:sp macro="" textlink="">
      <xdr:nvSpPr>
        <xdr:cNvPr id="31" name="Text Box 255">
          <a:extLst>
            <a:ext uri="{FF2B5EF4-FFF2-40B4-BE49-F238E27FC236}">
              <a16:creationId xmlns:a16="http://schemas.microsoft.com/office/drawing/2014/main" id="{00000000-0008-0000-0600-00001F000000}"/>
            </a:ext>
          </a:extLst>
        </xdr:cNvPr>
        <xdr:cNvSpPr txBox="1">
          <a:spLocks noChangeArrowheads="1"/>
        </xdr:cNvSpPr>
      </xdr:nvSpPr>
      <xdr:spPr bwMode="auto">
        <a:xfrm>
          <a:off x="1813519" y="5476979"/>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INJ</a:t>
          </a:r>
        </a:p>
      </xdr:txBody>
    </xdr:sp>
    <xdr:clientData/>
  </xdr:twoCellAnchor>
  <xdr:twoCellAnchor editAs="absolute">
    <xdr:from>
      <xdr:col>1</xdr:col>
      <xdr:colOff>1093868</xdr:colOff>
      <xdr:row>7</xdr:row>
      <xdr:rowOff>606156</xdr:rowOff>
    </xdr:from>
    <xdr:to>
      <xdr:col>1</xdr:col>
      <xdr:colOff>1485456</xdr:colOff>
      <xdr:row>7</xdr:row>
      <xdr:rowOff>803223</xdr:rowOff>
    </xdr:to>
    <xdr:sp macro="" textlink="">
      <xdr:nvSpPr>
        <xdr:cNvPr id="32" name="Text Box 255">
          <a:extLst>
            <a:ext uri="{FF2B5EF4-FFF2-40B4-BE49-F238E27FC236}">
              <a16:creationId xmlns:a16="http://schemas.microsoft.com/office/drawing/2014/main" id="{00000000-0008-0000-0600-000020000000}"/>
            </a:ext>
          </a:extLst>
        </xdr:cNvPr>
        <xdr:cNvSpPr txBox="1">
          <a:spLocks noChangeArrowheads="1"/>
        </xdr:cNvSpPr>
      </xdr:nvSpPr>
      <xdr:spPr bwMode="auto">
        <a:xfrm>
          <a:off x="1791538" y="5865307"/>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DAMP</a:t>
          </a:r>
        </a:p>
      </xdr:txBody>
    </xdr:sp>
    <xdr:clientData/>
  </xdr:twoCellAnchor>
  <xdr:twoCellAnchor editAs="absolute">
    <xdr:from>
      <xdr:col>1</xdr:col>
      <xdr:colOff>453056</xdr:colOff>
      <xdr:row>7</xdr:row>
      <xdr:rowOff>223689</xdr:rowOff>
    </xdr:from>
    <xdr:to>
      <xdr:col>1</xdr:col>
      <xdr:colOff>842739</xdr:colOff>
      <xdr:row>7</xdr:row>
      <xdr:rowOff>420756</xdr:rowOff>
    </xdr:to>
    <xdr:sp macro="" textlink="">
      <xdr:nvSpPr>
        <xdr:cNvPr id="33" name="Text Box 255">
          <a:extLst>
            <a:ext uri="{FF2B5EF4-FFF2-40B4-BE49-F238E27FC236}">
              <a16:creationId xmlns:a16="http://schemas.microsoft.com/office/drawing/2014/main" id="{00000000-0008-0000-0600-000021000000}"/>
            </a:ext>
          </a:extLst>
        </xdr:cNvPr>
        <xdr:cNvSpPr txBox="1">
          <a:spLocks noChangeArrowheads="1"/>
        </xdr:cNvSpPr>
      </xdr:nvSpPr>
      <xdr:spPr bwMode="auto">
        <a:xfrm>
          <a:off x="1152631" y="5482840"/>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SEN</a:t>
          </a:r>
        </a:p>
      </xdr:txBody>
    </xdr:sp>
    <xdr:clientData/>
  </xdr:twoCellAnchor>
  <xdr:twoCellAnchor editAs="absolute">
    <xdr:from>
      <xdr:col>1</xdr:col>
      <xdr:colOff>450752</xdr:colOff>
      <xdr:row>7</xdr:row>
      <xdr:rowOff>602388</xdr:rowOff>
    </xdr:from>
    <xdr:to>
      <xdr:col>1</xdr:col>
      <xdr:colOff>842340</xdr:colOff>
      <xdr:row>7</xdr:row>
      <xdr:rowOff>799455</xdr:rowOff>
    </xdr:to>
    <xdr:sp macro="" textlink="">
      <xdr:nvSpPr>
        <xdr:cNvPr id="34" name="Text Box 255">
          <a:extLst>
            <a:ext uri="{FF2B5EF4-FFF2-40B4-BE49-F238E27FC236}">
              <a16:creationId xmlns:a16="http://schemas.microsoft.com/office/drawing/2014/main" id="{00000000-0008-0000-0600-000022000000}"/>
            </a:ext>
          </a:extLst>
        </xdr:cNvPr>
        <xdr:cNvSpPr txBox="1">
          <a:spLocks noChangeArrowheads="1"/>
        </xdr:cNvSpPr>
      </xdr:nvSpPr>
      <xdr:spPr bwMode="auto">
        <a:xfrm>
          <a:off x="1150327" y="5861539"/>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DAMP</a:t>
          </a:r>
        </a:p>
      </xdr:txBody>
    </xdr:sp>
    <xdr:clientData/>
  </xdr:twoCellAnchor>
  <xdr:twoCellAnchor editAs="absolute">
    <xdr:from>
      <xdr:col>1</xdr:col>
      <xdr:colOff>428477</xdr:colOff>
      <xdr:row>7</xdr:row>
      <xdr:rowOff>1089775</xdr:rowOff>
    </xdr:from>
    <xdr:to>
      <xdr:col>1</xdr:col>
      <xdr:colOff>833400</xdr:colOff>
      <xdr:row>7</xdr:row>
      <xdr:rowOff>1286842</xdr:rowOff>
    </xdr:to>
    <xdr:sp macro="" textlink="">
      <xdr:nvSpPr>
        <xdr:cNvPr id="35" name="Text Box 255">
          <a:extLst>
            <a:ext uri="{FF2B5EF4-FFF2-40B4-BE49-F238E27FC236}">
              <a16:creationId xmlns:a16="http://schemas.microsoft.com/office/drawing/2014/main" id="{00000000-0008-0000-0600-000023000000}"/>
            </a:ext>
          </a:extLst>
        </xdr:cNvPr>
        <xdr:cNvSpPr txBox="1">
          <a:spLocks noChangeArrowheads="1"/>
        </xdr:cNvSpPr>
      </xdr:nvSpPr>
      <xdr:spPr bwMode="auto">
        <a:xfrm>
          <a:off x="1135672" y="6345116"/>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AEFC</a:t>
          </a:r>
        </a:p>
      </xdr:txBody>
    </xdr:sp>
    <xdr:clientData/>
  </xdr:twoCellAnchor>
  <xdr:twoCellAnchor editAs="absolute">
    <xdr:from>
      <xdr:col>1</xdr:col>
      <xdr:colOff>719942</xdr:colOff>
      <xdr:row>7</xdr:row>
      <xdr:rowOff>1089775</xdr:rowOff>
    </xdr:from>
    <xdr:to>
      <xdr:col>1</xdr:col>
      <xdr:colOff>1111530</xdr:colOff>
      <xdr:row>7</xdr:row>
      <xdr:rowOff>1286842</xdr:rowOff>
    </xdr:to>
    <xdr:sp macro="" textlink="">
      <xdr:nvSpPr>
        <xdr:cNvPr id="36" name="Text Box 255">
          <a:extLst>
            <a:ext uri="{FF2B5EF4-FFF2-40B4-BE49-F238E27FC236}">
              <a16:creationId xmlns:a16="http://schemas.microsoft.com/office/drawing/2014/main" id="{00000000-0008-0000-0600-000024000000}"/>
            </a:ext>
          </a:extLst>
        </xdr:cNvPr>
        <xdr:cNvSpPr txBox="1">
          <a:spLocks noChangeArrowheads="1"/>
        </xdr:cNvSpPr>
      </xdr:nvSpPr>
      <xdr:spPr bwMode="auto">
        <a:xfrm>
          <a:off x="1421422" y="6345116"/>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AEFC</a:t>
          </a:r>
        </a:p>
      </xdr:txBody>
    </xdr:sp>
    <xdr:clientData/>
  </xdr:twoCellAnchor>
  <xdr:twoCellAnchor editAs="absolute">
    <xdr:from>
      <xdr:col>1</xdr:col>
      <xdr:colOff>599195</xdr:colOff>
      <xdr:row>7</xdr:row>
      <xdr:rowOff>1551370</xdr:rowOff>
    </xdr:from>
    <xdr:to>
      <xdr:col>1</xdr:col>
      <xdr:colOff>990783</xdr:colOff>
      <xdr:row>7</xdr:row>
      <xdr:rowOff>1748437</xdr:rowOff>
    </xdr:to>
    <xdr:sp macro="" textlink="">
      <xdr:nvSpPr>
        <xdr:cNvPr id="37" name="Text Box 255">
          <a:extLst>
            <a:ext uri="{FF2B5EF4-FFF2-40B4-BE49-F238E27FC236}">
              <a16:creationId xmlns:a16="http://schemas.microsoft.com/office/drawing/2014/main" id="{00000000-0008-0000-0600-000025000000}"/>
            </a:ext>
          </a:extLst>
        </xdr:cNvPr>
        <xdr:cNvSpPr txBox="1">
          <a:spLocks noChangeArrowheads="1"/>
        </xdr:cNvSpPr>
      </xdr:nvSpPr>
      <xdr:spPr bwMode="auto">
        <a:xfrm>
          <a:off x="1296865" y="6806711"/>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AEFDC</a:t>
          </a:r>
        </a:p>
      </xdr:txBody>
    </xdr:sp>
    <xdr:clientData/>
  </xdr:twoCellAnchor>
  <xdr:twoCellAnchor editAs="absolute">
    <xdr:from>
      <xdr:col>1</xdr:col>
      <xdr:colOff>2518995</xdr:colOff>
      <xdr:row>7</xdr:row>
      <xdr:rowOff>3158017</xdr:rowOff>
    </xdr:from>
    <xdr:to>
      <xdr:col>1</xdr:col>
      <xdr:colOff>2922013</xdr:colOff>
      <xdr:row>7</xdr:row>
      <xdr:rowOff>3355084</xdr:rowOff>
    </xdr:to>
    <xdr:sp macro="" textlink="">
      <xdr:nvSpPr>
        <xdr:cNvPr id="38" name="Text Box 255">
          <a:extLst>
            <a:ext uri="{FF2B5EF4-FFF2-40B4-BE49-F238E27FC236}">
              <a16:creationId xmlns:a16="http://schemas.microsoft.com/office/drawing/2014/main" id="{00000000-0008-0000-0600-000026000000}"/>
            </a:ext>
          </a:extLst>
        </xdr:cNvPr>
        <xdr:cNvSpPr txBox="1">
          <a:spLocks noChangeArrowheads="1"/>
        </xdr:cNvSpPr>
      </xdr:nvSpPr>
      <xdr:spPr bwMode="auto">
        <a:xfrm>
          <a:off x="3222380" y="8417168"/>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AEFVD</a:t>
          </a:r>
        </a:p>
      </xdr:txBody>
    </xdr:sp>
    <xdr:clientData/>
  </xdr:twoCellAnchor>
  <xdr:twoCellAnchor editAs="absolute">
    <xdr:from>
      <xdr:col>1</xdr:col>
      <xdr:colOff>1854004</xdr:colOff>
      <xdr:row>7</xdr:row>
      <xdr:rowOff>2891905</xdr:rowOff>
    </xdr:from>
    <xdr:to>
      <xdr:col>1</xdr:col>
      <xdr:colOff>2243687</xdr:colOff>
      <xdr:row>7</xdr:row>
      <xdr:rowOff>3088972</xdr:rowOff>
    </xdr:to>
    <xdr:sp macro="" textlink="">
      <xdr:nvSpPr>
        <xdr:cNvPr id="39" name="Text Box 255">
          <a:extLst>
            <a:ext uri="{FF2B5EF4-FFF2-40B4-BE49-F238E27FC236}">
              <a16:creationId xmlns:a16="http://schemas.microsoft.com/office/drawing/2014/main" id="{00000000-0008-0000-0600-000027000000}"/>
            </a:ext>
          </a:extLst>
        </xdr:cNvPr>
        <xdr:cNvSpPr txBox="1">
          <a:spLocks noChangeArrowheads="1"/>
        </xdr:cNvSpPr>
      </xdr:nvSpPr>
      <xdr:spPr bwMode="auto">
        <a:xfrm>
          <a:off x="2549769" y="8154866"/>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AEFVD</a:t>
          </a:r>
        </a:p>
      </xdr:txBody>
    </xdr:sp>
    <xdr:clientData/>
  </xdr:twoCellAnchor>
  <xdr:twoCellAnchor editAs="absolute">
    <xdr:from>
      <xdr:col>1</xdr:col>
      <xdr:colOff>1570956</xdr:colOff>
      <xdr:row>7</xdr:row>
      <xdr:rowOff>569269</xdr:rowOff>
    </xdr:from>
    <xdr:to>
      <xdr:col>1</xdr:col>
      <xdr:colOff>1975879</xdr:colOff>
      <xdr:row>7</xdr:row>
      <xdr:rowOff>766336</xdr:rowOff>
    </xdr:to>
    <xdr:sp macro="" textlink="">
      <xdr:nvSpPr>
        <xdr:cNvPr id="43" name="Text Box 255">
          <a:extLst>
            <a:ext uri="{FF2B5EF4-FFF2-40B4-BE49-F238E27FC236}">
              <a16:creationId xmlns:a16="http://schemas.microsoft.com/office/drawing/2014/main" id="{00000000-0008-0000-0600-00002B000000}"/>
            </a:ext>
          </a:extLst>
        </xdr:cNvPr>
        <xdr:cNvSpPr txBox="1">
          <a:spLocks noChangeArrowheads="1"/>
        </xdr:cNvSpPr>
      </xdr:nvSpPr>
      <xdr:spPr bwMode="auto">
        <a:xfrm>
          <a:off x="2282337" y="5836416"/>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INC</a:t>
          </a:r>
        </a:p>
      </xdr:txBody>
    </xdr:sp>
    <xdr:clientData/>
  </xdr:twoCellAnchor>
  <xdr:twoCellAnchor editAs="absolute">
    <xdr:from>
      <xdr:col>1</xdr:col>
      <xdr:colOff>1566057</xdr:colOff>
      <xdr:row>7</xdr:row>
      <xdr:rowOff>235747</xdr:rowOff>
    </xdr:from>
    <xdr:to>
      <xdr:col>1</xdr:col>
      <xdr:colOff>1970980</xdr:colOff>
      <xdr:row>7</xdr:row>
      <xdr:rowOff>446149</xdr:rowOff>
    </xdr:to>
    <xdr:sp macro="" textlink="">
      <xdr:nvSpPr>
        <xdr:cNvPr id="44" name="Text Box 255">
          <a:extLst>
            <a:ext uri="{FF2B5EF4-FFF2-40B4-BE49-F238E27FC236}">
              <a16:creationId xmlns:a16="http://schemas.microsoft.com/office/drawing/2014/main" id="{00000000-0008-0000-0600-00002C000000}"/>
            </a:ext>
          </a:extLst>
        </xdr:cNvPr>
        <xdr:cNvSpPr txBox="1">
          <a:spLocks noChangeArrowheads="1"/>
        </xdr:cNvSpPr>
      </xdr:nvSpPr>
      <xdr:spPr bwMode="auto">
        <a:xfrm>
          <a:off x="2271347" y="5502518"/>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INC</a:t>
          </a:r>
        </a:p>
      </xdr:txBody>
    </xdr:sp>
    <xdr:clientData/>
  </xdr:twoCellAnchor>
  <xdr:twoCellAnchor editAs="absolute">
    <xdr:from>
      <xdr:col>1</xdr:col>
      <xdr:colOff>2179614</xdr:colOff>
      <xdr:row>7</xdr:row>
      <xdr:rowOff>567320</xdr:rowOff>
    </xdr:from>
    <xdr:to>
      <xdr:col>1</xdr:col>
      <xdr:colOff>2584537</xdr:colOff>
      <xdr:row>7</xdr:row>
      <xdr:rowOff>764387</xdr:rowOff>
    </xdr:to>
    <xdr:sp macro="" textlink="">
      <xdr:nvSpPr>
        <xdr:cNvPr id="45" name="Text Box 255">
          <a:extLst>
            <a:ext uri="{FF2B5EF4-FFF2-40B4-BE49-F238E27FC236}">
              <a16:creationId xmlns:a16="http://schemas.microsoft.com/office/drawing/2014/main" id="{00000000-0008-0000-0600-00002D000000}"/>
            </a:ext>
          </a:extLst>
        </xdr:cNvPr>
        <xdr:cNvSpPr txBox="1">
          <a:spLocks noChangeArrowheads="1"/>
        </xdr:cNvSpPr>
      </xdr:nvSpPr>
      <xdr:spPr bwMode="auto">
        <a:xfrm>
          <a:off x="2890995" y="5830657"/>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IND</a:t>
          </a:r>
        </a:p>
      </xdr:txBody>
    </xdr:sp>
    <xdr:clientData/>
  </xdr:twoCellAnchor>
  <xdr:twoCellAnchor editAs="absolute">
    <xdr:from>
      <xdr:col>1</xdr:col>
      <xdr:colOff>2176097</xdr:colOff>
      <xdr:row>7</xdr:row>
      <xdr:rowOff>310062</xdr:rowOff>
    </xdr:from>
    <xdr:to>
      <xdr:col>1</xdr:col>
      <xdr:colOff>2579115</xdr:colOff>
      <xdr:row>7</xdr:row>
      <xdr:rowOff>522369</xdr:rowOff>
    </xdr:to>
    <xdr:sp macro="" textlink="">
      <xdr:nvSpPr>
        <xdr:cNvPr id="46" name="Text Box 255">
          <a:extLst>
            <a:ext uri="{FF2B5EF4-FFF2-40B4-BE49-F238E27FC236}">
              <a16:creationId xmlns:a16="http://schemas.microsoft.com/office/drawing/2014/main" id="{00000000-0008-0000-0600-00002E000000}"/>
            </a:ext>
          </a:extLst>
        </xdr:cNvPr>
        <xdr:cNvSpPr txBox="1">
          <a:spLocks noChangeArrowheads="1"/>
        </xdr:cNvSpPr>
      </xdr:nvSpPr>
      <xdr:spPr bwMode="auto">
        <a:xfrm>
          <a:off x="2883668" y="5581019"/>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IND</a:t>
          </a:r>
        </a:p>
      </xdr:txBody>
    </xdr:sp>
    <xdr:clientData/>
  </xdr:twoCellAnchor>
  <xdr:twoCellAnchor editAs="absolute">
    <xdr:from>
      <xdr:col>1</xdr:col>
      <xdr:colOff>1129995</xdr:colOff>
      <xdr:row>11</xdr:row>
      <xdr:rowOff>190468</xdr:rowOff>
    </xdr:from>
    <xdr:to>
      <xdr:col>1</xdr:col>
      <xdr:colOff>1519678</xdr:colOff>
      <xdr:row>11</xdr:row>
      <xdr:rowOff>387535</xdr:rowOff>
    </xdr:to>
    <xdr:sp macro="" textlink="">
      <xdr:nvSpPr>
        <xdr:cNvPr id="40" name="Text Box 255">
          <a:extLst>
            <a:ext uri="{FF2B5EF4-FFF2-40B4-BE49-F238E27FC236}">
              <a16:creationId xmlns:a16="http://schemas.microsoft.com/office/drawing/2014/main" id="{00000000-0008-0000-0600-000028000000}"/>
            </a:ext>
          </a:extLst>
        </xdr:cNvPr>
        <xdr:cNvSpPr txBox="1">
          <a:spLocks noChangeArrowheads="1"/>
        </xdr:cNvSpPr>
      </xdr:nvSpPr>
      <xdr:spPr bwMode="auto">
        <a:xfrm>
          <a:off x="1829946" y="13689937"/>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INJ</a:t>
          </a:r>
        </a:p>
      </xdr:txBody>
    </xdr:sp>
    <xdr:clientData/>
  </xdr:twoCellAnchor>
  <xdr:twoCellAnchor editAs="absolute">
    <xdr:from>
      <xdr:col>1</xdr:col>
      <xdr:colOff>1100394</xdr:colOff>
      <xdr:row>11</xdr:row>
      <xdr:rowOff>574986</xdr:rowOff>
    </xdr:from>
    <xdr:to>
      <xdr:col>1</xdr:col>
      <xdr:colOff>1493887</xdr:colOff>
      <xdr:row>11</xdr:row>
      <xdr:rowOff>787293</xdr:rowOff>
    </xdr:to>
    <xdr:sp macro="" textlink="">
      <xdr:nvSpPr>
        <xdr:cNvPr id="41" name="Text Box 255">
          <a:extLst>
            <a:ext uri="{FF2B5EF4-FFF2-40B4-BE49-F238E27FC236}">
              <a16:creationId xmlns:a16="http://schemas.microsoft.com/office/drawing/2014/main" id="{00000000-0008-0000-0600-000029000000}"/>
            </a:ext>
          </a:extLst>
        </xdr:cNvPr>
        <xdr:cNvSpPr txBox="1">
          <a:spLocks noChangeArrowheads="1"/>
        </xdr:cNvSpPr>
      </xdr:nvSpPr>
      <xdr:spPr bwMode="auto">
        <a:xfrm>
          <a:off x="1807965" y="14078265"/>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DAMP</a:t>
          </a:r>
        </a:p>
      </xdr:txBody>
    </xdr:sp>
    <xdr:clientData/>
  </xdr:twoCellAnchor>
  <xdr:twoCellAnchor editAs="absolute">
    <xdr:from>
      <xdr:col>1</xdr:col>
      <xdr:colOff>461487</xdr:colOff>
      <xdr:row>11</xdr:row>
      <xdr:rowOff>194424</xdr:rowOff>
    </xdr:from>
    <xdr:to>
      <xdr:col>1</xdr:col>
      <xdr:colOff>864505</xdr:colOff>
      <xdr:row>11</xdr:row>
      <xdr:rowOff>404826</xdr:rowOff>
    </xdr:to>
    <xdr:sp macro="" textlink="">
      <xdr:nvSpPr>
        <xdr:cNvPr id="42" name="Text Box 255">
          <a:extLst>
            <a:ext uri="{FF2B5EF4-FFF2-40B4-BE49-F238E27FC236}">
              <a16:creationId xmlns:a16="http://schemas.microsoft.com/office/drawing/2014/main" id="{00000000-0008-0000-0600-00002A000000}"/>
            </a:ext>
          </a:extLst>
        </xdr:cNvPr>
        <xdr:cNvSpPr txBox="1">
          <a:spLocks noChangeArrowheads="1"/>
        </xdr:cNvSpPr>
      </xdr:nvSpPr>
      <xdr:spPr bwMode="auto">
        <a:xfrm>
          <a:off x="1169058" y="13695798"/>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SEN</a:t>
          </a:r>
        </a:p>
      </xdr:txBody>
    </xdr:sp>
    <xdr:clientData/>
  </xdr:twoCellAnchor>
  <xdr:twoCellAnchor editAs="absolute">
    <xdr:from>
      <xdr:col>1</xdr:col>
      <xdr:colOff>459183</xdr:colOff>
      <xdr:row>11</xdr:row>
      <xdr:rowOff>575028</xdr:rowOff>
    </xdr:from>
    <xdr:to>
      <xdr:col>1</xdr:col>
      <xdr:colOff>864106</xdr:colOff>
      <xdr:row>11</xdr:row>
      <xdr:rowOff>772095</xdr:rowOff>
    </xdr:to>
    <xdr:sp macro="" textlink="">
      <xdr:nvSpPr>
        <xdr:cNvPr id="47" name="Text Box 255">
          <a:extLst>
            <a:ext uri="{FF2B5EF4-FFF2-40B4-BE49-F238E27FC236}">
              <a16:creationId xmlns:a16="http://schemas.microsoft.com/office/drawing/2014/main" id="{00000000-0008-0000-0600-00002F000000}"/>
            </a:ext>
          </a:extLst>
        </xdr:cNvPr>
        <xdr:cNvSpPr txBox="1">
          <a:spLocks noChangeArrowheads="1"/>
        </xdr:cNvSpPr>
      </xdr:nvSpPr>
      <xdr:spPr bwMode="auto">
        <a:xfrm>
          <a:off x="1166754" y="14074497"/>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DAMP</a:t>
          </a:r>
        </a:p>
      </xdr:txBody>
    </xdr:sp>
    <xdr:clientData/>
  </xdr:twoCellAnchor>
  <xdr:twoCellAnchor editAs="absolute">
    <xdr:from>
      <xdr:col>1</xdr:col>
      <xdr:colOff>448338</xdr:colOff>
      <xdr:row>11</xdr:row>
      <xdr:rowOff>1062415</xdr:rowOff>
    </xdr:from>
    <xdr:to>
      <xdr:col>1</xdr:col>
      <xdr:colOff>841831</xdr:colOff>
      <xdr:row>11</xdr:row>
      <xdr:rowOff>1259482</xdr:rowOff>
    </xdr:to>
    <xdr:sp macro="" textlink="">
      <xdr:nvSpPr>
        <xdr:cNvPr id="48" name="Text Box 255">
          <a:extLst>
            <a:ext uri="{FF2B5EF4-FFF2-40B4-BE49-F238E27FC236}">
              <a16:creationId xmlns:a16="http://schemas.microsoft.com/office/drawing/2014/main" id="{00000000-0008-0000-0600-000030000000}"/>
            </a:ext>
          </a:extLst>
        </xdr:cNvPr>
        <xdr:cNvSpPr txBox="1">
          <a:spLocks noChangeArrowheads="1"/>
        </xdr:cNvSpPr>
      </xdr:nvSpPr>
      <xdr:spPr bwMode="auto">
        <a:xfrm>
          <a:off x="1152099" y="14558074"/>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AEFC</a:t>
          </a:r>
        </a:p>
      </xdr:txBody>
    </xdr:sp>
    <xdr:clientData/>
  </xdr:twoCellAnchor>
  <xdr:twoCellAnchor editAs="absolute">
    <xdr:from>
      <xdr:col>1</xdr:col>
      <xdr:colOff>728373</xdr:colOff>
      <xdr:row>11</xdr:row>
      <xdr:rowOff>1062415</xdr:rowOff>
    </xdr:from>
    <xdr:to>
      <xdr:col>1</xdr:col>
      <xdr:colOff>1133296</xdr:colOff>
      <xdr:row>11</xdr:row>
      <xdr:rowOff>1259482</xdr:rowOff>
    </xdr:to>
    <xdr:sp macro="" textlink="">
      <xdr:nvSpPr>
        <xdr:cNvPr id="49" name="Text Box 255">
          <a:extLst>
            <a:ext uri="{FF2B5EF4-FFF2-40B4-BE49-F238E27FC236}">
              <a16:creationId xmlns:a16="http://schemas.microsoft.com/office/drawing/2014/main" id="{00000000-0008-0000-0600-000031000000}"/>
            </a:ext>
          </a:extLst>
        </xdr:cNvPr>
        <xdr:cNvSpPr txBox="1">
          <a:spLocks noChangeArrowheads="1"/>
        </xdr:cNvSpPr>
      </xdr:nvSpPr>
      <xdr:spPr bwMode="auto">
        <a:xfrm>
          <a:off x="1437849" y="14558074"/>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AEFC</a:t>
          </a:r>
        </a:p>
      </xdr:txBody>
    </xdr:sp>
    <xdr:clientData/>
  </xdr:twoCellAnchor>
  <xdr:twoCellAnchor editAs="absolute">
    <xdr:from>
      <xdr:col>1</xdr:col>
      <xdr:colOff>605721</xdr:colOff>
      <xdr:row>11</xdr:row>
      <xdr:rowOff>1520200</xdr:rowOff>
    </xdr:from>
    <xdr:to>
      <xdr:col>1</xdr:col>
      <xdr:colOff>999214</xdr:colOff>
      <xdr:row>11</xdr:row>
      <xdr:rowOff>1719172</xdr:rowOff>
    </xdr:to>
    <xdr:sp macro="" textlink="">
      <xdr:nvSpPr>
        <xdr:cNvPr id="50" name="Text Box 255">
          <a:extLst>
            <a:ext uri="{FF2B5EF4-FFF2-40B4-BE49-F238E27FC236}">
              <a16:creationId xmlns:a16="http://schemas.microsoft.com/office/drawing/2014/main" id="{00000000-0008-0000-0600-000032000000}"/>
            </a:ext>
          </a:extLst>
        </xdr:cNvPr>
        <xdr:cNvSpPr txBox="1">
          <a:spLocks noChangeArrowheads="1"/>
        </xdr:cNvSpPr>
      </xdr:nvSpPr>
      <xdr:spPr bwMode="auto">
        <a:xfrm>
          <a:off x="1313292" y="15019669"/>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AEFDC</a:t>
          </a:r>
        </a:p>
      </xdr:txBody>
    </xdr:sp>
    <xdr:clientData/>
  </xdr:twoCellAnchor>
  <xdr:twoCellAnchor editAs="absolute">
    <xdr:from>
      <xdr:col>1</xdr:col>
      <xdr:colOff>2538856</xdr:colOff>
      <xdr:row>11</xdr:row>
      <xdr:rowOff>3128752</xdr:rowOff>
    </xdr:from>
    <xdr:to>
      <xdr:col>1</xdr:col>
      <xdr:colOff>2930444</xdr:colOff>
      <xdr:row>11</xdr:row>
      <xdr:rowOff>3339154</xdr:rowOff>
    </xdr:to>
    <xdr:sp macro="" textlink="">
      <xdr:nvSpPr>
        <xdr:cNvPr id="51" name="Text Box 255">
          <a:extLst>
            <a:ext uri="{FF2B5EF4-FFF2-40B4-BE49-F238E27FC236}">
              <a16:creationId xmlns:a16="http://schemas.microsoft.com/office/drawing/2014/main" id="{00000000-0008-0000-0600-000033000000}"/>
            </a:ext>
          </a:extLst>
        </xdr:cNvPr>
        <xdr:cNvSpPr txBox="1">
          <a:spLocks noChangeArrowheads="1"/>
        </xdr:cNvSpPr>
      </xdr:nvSpPr>
      <xdr:spPr bwMode="auto">
        <a:xfrm>
          <a:off x="3238807" y="16630126"/>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AEFVD</a:t>
          </a:r>
        </a:p>
      </xdr:txBody>
    </xdr:sp>
    <xdr:clientData/>
  </xdr:twoCellAnchor>
  <xdr:twoCellAnchor editAs="absolute">
    <xdr:from>
      <xdr:col>1</xdr:col>
      <xdr:colOff>1862435</xdr:colOff>
      <xdr:row>11</xdr:row>
      <xdr:rowOff>2864545</xdr:rowOff>
    </xdr:from>
    <xdr:to>
      <xdr:col>1</xdr:col>
      <xdr:colOff>2252118</xdr:colOff>
      <xdr:row>11</xdr:row>
      <xdr:rowOff>3074947</xdr:rowOff>
    </xdr:to>
    <xdr:sp macro="" textlink="">
      <xdr:nvSpPr>
        <xdr:cNvPr id="52" name="Text Box 255">
          <a:extLst>
            <a:ext uri="{FF2B5EF4-FFF2-40B4-BE49-F238E27FC236}">
              <a16:creationId xmlns:a16="http://schemas.microsoft.com/office/drawing/2014/main" id="{00000000-0008-0000-0600-000034000000}"/>
            </a:ext>
          </a:extLst>
        </xdr:cNvPr>
        <xdr:cNvSpPr txBox="1">
          <a:spLocks noChangeArrowheads="1"/>
        </xdr:cNvSpPr>
      </xdr:nvSpPr>
      <xdr:spPr bwMode="auto">
        <a:xfrm>
          <a:off x="2566196" y="16367824"/>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AEFVD</a:t>
          </a:r>
        </a:p>
      </xdr:txBody>
    </xdr:sp>
    <xdr:clientData/>
  </xdr:twoCellAnchor>
  <xdr:twoCellAnchor editAs="absolute">
    <xdr:from>
      <xdr:col>1</xdr:col>
      <xdr:colOff>1566595</xdr:colOff>
      <xdr:row>11</xdr:row>
      <xdr:rowOff>541909</xdr:rowOff>
    </xdr:from>
    <xdr:to>
      <xdr:col>1</xdr:col>
      <xdr:colOff>1969613</xdr:colOff>
      <xdr:row>11</xdr:row>
      <xdr:rowOff>752311</xdr:rowOff>
    </xdr:to>
    <xdr:sp macro="" textlink="">
      <xdr:nvSpPr>
        <xdr:cNvPr id="53" name="Text Box 255">
          <a:extLst>
            <a:ext uri="{FF2B5EF4-FFF2-40B4-BE49-F238E27FC236}">
              <a16:creationId xmlns:a16="http://schemas.microsoft.com/office/drawing/2014/main" id="{00000000-0008-0000-0600-000035000000}"/>
            </a:ext>
          </a:extLst>
        </xdr:cNvPr>
        <xdr:cNvSpPr txBox="1">
          <a:spLocks noChangeArrowheads="1"/>
        </xdr:cNvSpPr>
      </xdr:nvSpPr>
      <xdr:spPr bwMode="auto">
        <a:xfrm>
          <a:off x="2274166" y="14045188"/>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INC</a:t>
          </a:r>
        </a:p>
      </xdr:txBody>
    </xdr:sp>
    <xdr:clientData/>
  </xdr:twoCellAnchor>
  <xdr:twoCellAnchor editAs="absolute">
    <xdr:from>
      <xdr:col>1</xdr:col>
      <xdr:colOff>1587823</xdr:colOff>
      <xdr:row>11</xdr:row>
      <xdr:rowOff>219817</xdr:rowOff>
    </xdr:from>
    <xdr:to>
      <xdr:col>1</xdr:col>
      <xdr:colOff>1977506</xdr:colOff>
      <xdr:row>11</xdr:row>
      <xdr:rowOff>416884</xdr:rowOff>
    </xdr:to>
    <xdr:sp macro="" textlink="">
      <xdr:nvSpPr>
        <xdr:cNvPr id="54" name="Text Box 255">
          <a:extLst>
            <a:ext uri="{FF2B5EF4-FFF2-40B4-BE49-F238E27FC236}">
              <a16:creationId xmlns:a16="http://schemas.microsoft.com/office/drawing/2014/main" id="{00000000-0008-0000-0600-000036000000}"/>
            </a:ext>
          </a:extLst>
        </xdr:cNvPr>
        <xdr:cNvSpPr txBox="1">
          <a:spLocks noChangeArrowheads="1"/>
        </xdr:cNvSpPr>
      </xdr:nvSpPr>
      <xdr:spPr bwMode="auto">
        <a:xfrm>
          <a:off x="2287774" y="13715476"/>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INC</a:t>
          </a:r>
        </a:p>
      </xdr:txBody>
    </xdr:sp>
    <xdr:clientData/>
  </xdr:twoCellAnchor>
  <xdr:twoCellAnchor editAs="absolute">
    <xdr:from>
      <xdr:col>1</xdr:col>
      <xdr:colOff>2175253</xdr:colOff>
      <xdr:row>11</xdr:row>
      <xdr:rowOff>559283</xdr:rowOff>
    </xdr:from>
    <xdr:to>
      <xdr:col>1</xdr:col>
      <xdr:colOff>2580176</xdr:colOff>
      <xdr:row>11</xdr:row>
      <xdr:rowOff>758255</xdr:rowOff>
    </xdr:to>
    <xdr:sp macro="" textlink="">
      <xdr:nvSpPr>
        <xdr:cNvPr id="55" name="Text Box 255">
          <a:extLst>
            <a:ext uri="{FF2B5EF4-FFF2-40B4-BE49-F238E27FC236}">
              <a16:creationId xmlns:a16="http://schemas.microsoft.com/office/drawing/2014/main" id="{00000000-0008-0000-0600-000037000000}"/>
            </a:ext>
          </a:extLst>
        </xdr:cNvPr>
        <xdr:cNvSpPr txBox="1">
          <a:spLocks noChangeArrowheads="1"/>
        </xdr:cNvSpPr>
      </xdr:nvSpPr>
      <xdr:spPr bwMode="auto">
        <a:xfrm>
          <a:off x="2882824" y="14053037"/>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IND</a:t>
          </a:r>
        </a:p>
      </xdr:txBody>
    </xdr:sp>
    <xdr:clientData/>
  </xdr:twoCellAnchor>
  <xdr:twoCellAnchor editAs="absolute">
    <xdr:from>
      <xdr:col>1</xdr:col>
      <xdr:colOff>2174730</xdr:colOff>
      <xdr:row>11</xdr:row>
      <xdr:rowOff>272904</xdr:rowOff>
    </xdr:from>
    <xdr:to>
      <xdr:col>1</xdr:col>
      <xdr:colOff>2579653</xdr:colOff>
      <xdr:row>11</xdr:row>
      <xdr:rowOff>483306</xdr:rowOff>
    </xdr:to>
    <xdr:sp macro="" textlink="">
      <xdr:nvSpPr>
        <xdr:cNvPr id="56" name="Text Box 255">
          <a:extLst>
            <a:ext uri="{FF2B5EF4-FFF2-40B4-BE49-F238E27FC236}">
              <a16:creationId xmlns:a16="http://schemas.microsoft.com/office/drawing/2014/main" id="{00000000-0008-0000-0600-000038000000}"/>
            </a:ext>
          </a:extLst>
        </xdr:cNvPr>
        <xdr:cNvSpPr txBox="1">
          <a:spLocks noChangeArrowheads="1"/>
        </xdr:cNvSpPr>
      </xdr:nvSpPr>
      <xdr:spPr bwMode="auto">
        <a:xfrm>
          <a:off x="2882301" y="13776183"/>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IND</a:t>
          </a:r>
        </a:p>
      </xdr:txBody>
    </xdr:sp>
    <xdr:clientData/>
  </xdr:twoCellAnchor>
  <xdr:twoCellAnchor editAs="absolute">
    <xdr:from>
      <xdr:col>1</xdr:col>
      <xdr:colOff>1096312</xdr:colOff>
      <xdr:row>16</xdr:row>
      <xdr:rowOff>252302</xdr:rowOff>
    </xdr:from>
    <xdr:to>
      <xdr:col>1</xdr:col>
      <xdr:colOff>1487900</xdr:colOff>
      <xdr:row>16</xdr:row>
      <xdr:rowOff>449369</xdr:rowOff>
    </xdr:to>
    <xdr:sp macro="" textlink="">
      <xdr:nvSpPr>
        <xdr:cNvPr id="83" name="Text Box 255">
          <a:extLst>
            <a:ext uri="{FF2B5EF4-FFF2-40B4-BE49-F238E27FC236}">
              <a16:creationId xmlns:a16="http://schemas.microsoft.com/office/drawing/2014/main" id="{00000000-0008-0000-0600-000053000000}"/>
            </a:ext>
          </a:extLst>
        </xdr:cNvPr>
        <xdr:cNvSpPr txBox="1">
          <a:spLocks noChangeArrowheads="1"/>
        </xdr:cNvSpPr>
      </xdr:nvSpPr>
      <xdr:spPr bwMode="auto">
        <a:xfrm>
          <a:off x="1797035" y="22113876"/>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INJ</a:t>
          </a:r>
        </a:p>
      </xdr:txBody>
    </xdr:sp>
    <xdr:clientData/>
  </xdr:twoCellAnchor>
  <xdr:twoCellAnchor editAs="absolute">
    <xdr:from>
      <xdr:col>1</xdr:col>
      <xdr:colOff>1068616</xdr:colOff>
      <xdr:row>16</xdr:row>
      <xdr:rowOff>638725</xdr:rowOff>
    </xdr:from>
    <xdr:to>
      <xdr:col>1</xdr:col>
      <xdr:colOff>1473539</xdr:colOff>
      <xdr:row>16</xdr:row>
      <xdr:rowOff>833887</xdr:rowOff>
    </xdr:to>
    <xdr:sp macro="" textlink="">
      <xdr:nvSpPr>
        <xdr:cNvPr id="84" name="Text Box 255">
          <a:extLst>
            <a:ext uri="{FF2B5EF4-FFF2-40B4-BE49-F238E27FC236}">
              <a16:creationId xmlns:a16="http://schemas.microsoft.com/office/drawing/2014/main" id="{00000000-0008-0000-0600-000054000000}"/>
            </a:ext>
          </a:extLst>
        </xdr:cNvPr>
        <xdr:cNvSpPr txBox="1">
          <a:spLocks noChangeArrowheads="1"/>
        </xdr:cNvSpPr>
      </xdr:nvSpPr>
      <xdr:spPr bwMode="auto">
        <a:xfrm>
          <a:off x="1775054" y="22502204"/>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DAMP</a:t>
          </a:r>
        </a:p>
      </xdr:txBody>
    </xdr:sp>
    <xdr:clientData/>
  </xdr:twoCellAnchor>
  <xdr:twoCellAnchor editAs="absolute">
    <xdr:from>
      <xdr:col>1</xdr:col>
      <xdr:colOff>425899</xdr:colOff>
      <xdr:row>16</xdr:row>
      <xdr:rowOff>256258</xdr:rowOff>
    </xdr:from>
    <xdr:to>
      <xdr:col>1</xdr:col>
      <xdr:colOff>830822</xdr:colOff>
      <xdr:row>16</xdr:row>
      <xdr:rowOff>453325</xdr:rowOff>
    </xdr:to>
    <xdr:sp macro="" textlink="">
      <xdr:nvSpPr>
        <xdr:cNvPr id="85" name="Text Box 255">
          <a:extLst>
            <a:ext uri="{FF2B5EF4-FFF2-40B4-BE49-F238E27FC236}">
              <a16:creationId xmlns:a16="http://schemas.microsoft.com/office/drawing/2014/main" id="{00000000-0008-0000-0600-000055000000}"/>
            </a:ext>
          </a:extLst>
        </xdr:cNvPr>
        <xdr:cNvSpPr txBox="1">
          <a:spLocks noChangeArrowheads="1"/>
        </xdr:cNvSpPr>
      </xdr:nvSpPr>
      <xdr:spPr bwMode="auto">
        <a:xfrm>
          <a:off x="1136147" y="22119737"/>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SEN</a:t>
          </a:r>
        </a:p>
      </xdr:txBody>
    </xdr:sp>
    <xdr:clientData/>
  </xdr:twoCellAnchor>
  <xdr:twoCellAnchor editAs="absolute">
    <xdr:from>
      <xdr:col>1</xdr:col>
      <xdr:colOff>423595</xdr:colOff>
      <xdr:row>16</xdr:row>
      <xdr:rowOff>636862</xdr:rowOff>
    </xdr:from>
    <xdr:to>
      <xdr:col>1</xdr:col>
      <xdr:colOff>828518</xdr:colOff>
      <xdr:row>16</xdr:row>
      <xdr:rowOff>833929</xdr:rowOff>
    </xdr:to>
    <xdr:sp macro="" textlink="">
      <xdr:nvSpPr>
        <xdr:cNvPr id="86" name="Text Box 255">
          <a:extLst>
            <a:ext uri="{FF2B5EF4-FFF2-40B4-BE49-F238E27FC236}">
              <a16:creationId xmlns:a16="http://schemas.microsoft.com/office/drawing/2014/main" id="{00000000-0008-0000-0600-000056000000}"/>
            </a:ext>
          </a:extLst>
        </xdr:cNvPr>
        <xdr:cNvSpPr txBox="1">
          <a:spLocks noChangeArrowheads="1"/>
        </xdr:cNvSpPr>
      </xdr:nvSpPr>
      <xdr:spPr bwMode="auto">
        <a:xfrm>
          <a:off x="1133843" y="22498436"/>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DAMP</a:t>
          </a:r>
        </a:p>
      </xdr:txBody>
    </xdr:sp>
    <xdr:clientData/>
  </xdr:twoCellAnchor>
  <xdr:twoCellAnchor editAs="absolute">
    <xdr:from>
      <xdr:col>1</xdr:col>
      <xdr:colOff>414655</xdr:colOff>
      <xdr:row>16</xdr:row>
      <xdr:rowOff>1109009</xdr:rowOff>
    </xdr:from>
    <xdr:to>
      <xdr:col>1</xdr:col>
      <xdr:colOff>806243</xdr:colOff>
      <xdr:row>16</xdr:row>
      <xdr:rowOff>1321316</xdr:rowOff>
    </xdr:to>
    <xdr:sp macro="" textlink="">
      <xdr:nvSpPr>
        <xdr:cNvPr id="87" name="Text Box 255">
          <a:extLst>
            <a:ext uri="{FF2B5EF4-FFF2-40B4-BE49-F238E27FC236}">
              <a16:creationId xmlns:a16="http://schemas.microsoft.com/office/drawing/2014/main" id="{00000000-0008-0000-0600-000057000000}"/>
            </a:ext>
          </a:extLst>
        </xdr:cNvPr>
        <xdr:cNvSpPr txBox="1">
          <a:spLocks noChangeArrowheads="1"/>
        </xdr:cNvSpPr>
      </xdr:nvSpPr>
      <xdr:spPr bwMode="auto">
        <a:xfrm>
          <a:off x="1119188" y="22982013"/>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AEFC</a:t>
          </a:r>
        </a:p>
      </xdr:txBody>
    </xdr:sp>
    <xdr:clientData/>
  </xdr:twoCellAnchor>
  <xdr:twoCellAnchor editAs="absolute">
    <xdr:from>
      <xdr:col>1</xdr:col>
      <xdr:colOff>694690</xdr:colOff>
      <xdr:row>16</xdr:row>
      <xdr:rowOff>1109009</xdr:rowOff>
    </xdr:from>
    <xdr:to>
      <xdr:col>1</xdr:col>
      <xdr:colOff>1099613</xdr:colOff>
      <xdr:row>16</xdr:row>
      <xdr:rowOff>1321316</xdr:rowOff>
    </xdr:to>
    <xdr:sp macro="" textlink="">
      <xdr:nvSpPr>
        <xdr:cNvPr id="88" name="Text Box 255">
          <a:extLst>
            <a:ext uri="{FF2B5EF4-FFF2-40B4-BE49-F238E27FC236}">
              <a16:creationId xmlns:a16="http://schemas.microsoft.com/office/drawing/2014/main" id="{00000000-0008-0000-0600-000058000000}"/>
            </a:ext>
          </a:extLst>
        </xdr:cNvPr>
        <xdr:cNvSpPr txBox="1">
          <a:spLocks noChangeArrowheads="1"/>
        </xdr:cNvSpPr>
      </xdr:nvSpPr>
      <xdr:spPr bwMode="auto">
        <a:xfrm>
          <a:off x="1404938" y="22982013"/>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AEFC</a:t>
          </a:r>
        </a:p>
      </xdr:txBody>
    </xdr:sp>
    <xdr:clientData/>
  </xdr:twoCellAnchor>
  <xdr:twoCellAnchor editAs="absolute">
    <xdr:from>
      <xdr:col>1</xdr:col>
      <xdr:colOff>573943</xdr:colOff>
      <xdr:row>16</xdr:row>
      <xdr:rowOff>1570604</xdr:rowOff>
    </xdr:from>
    <xdr:to>
      <xdr:col>1</xdr:col>
      <xdr:colOff>978866</xdr:colOff>
      <xdr:row>16</xdr:row>
      <xdr:rowOff>1781006</xdr:rowOff>
    </xdr:to>
    <xdr:sp macro="" textlink="">
      <xdr:nvSpPr>
        <xdr:cNvPr id="89" name="Text Box 255">
          <a:extLst>
            <a:ext uri="{FF2B5EF4-FFF2-40B4-BE49-F238E27FC236}">
              <a16:creationId xmlns:a16="http://schemas.microsoft.com/office/drawing/2014/main" id="{00000000-0008-0000-0600-000059000000}"/>
            </a:ext>
          </a:extLst>
        </xdr:cNvPr>
        <xdr:cNvSpPr txBox="1">
          <a:spLocks noChangeArrowheads="1"/>
        </xdr:cNvSpPr>
      </xdr:nvSpPr>
      <xdr:spPr bwMode="auto">
        <a:xfrm>
          <a:off x="1280381" y="23443608"/>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AEFDC</a:t>
          </a:r>
        </a:p>
      </xdr:txBody>
    </xdr:sp>
    <xdr:clientData/>
  </xdr:twoCellAnchor>
  <xdr:twoCellAnchor editAs="absolute">
    <xdr:from>
      <xdr:col>1</xdr:col>
      <xdr:colOff>2505173</xdr:colOff>
      <xdr:row>16</xdr:row>
      <xdr:rowOff>3190586</xdr:rowOff>
    </xdr:from>
    <xdr:to>
      <xdr:col>1</xdr:col>
      <xdr:colOff>2896761</xdr:colOff>
      <xdr:row>16</xdr:row>
      <xdr:rowOff>3387653</xdr:rowOff>
    </xdr:to>
    <xdr:sp macro="" textlink="">
      <xdr:nvSpPr>
        <xdr:cNvPr id="90" name="Text Box 255">
          <a:extLst>
            <a:ext uri="{FF2B5EF4-FFF2-40B4-BE49-F238E27FC236}">
              <a16:creationId xmlns:a16="http://schemas.microsoft.com/office/drawing/2014/main" id="{00000000-0008-0000-0600-00005A000000}"/>
            </a:ext>
          </a:extLst>
        </xdr:cNvPr>
        <xdr:cNvSpPr txBox="1">
          <a:spLocks noChangeArrowheads="1"/>
        </xdr:cNvSpPr>
      </xdr:nvSpPr>
      <xdr:spPr bwMode="auto">
        <a:xfrm>
          <a:off x="3205896" y="25054065"/>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AEFVD</a:t>
          </a:r>
        </a:p>
      </xdr:txBody>
    </xdr:sp>
    <xdr:clientData/>
  </xdr:twoCellAnchor>
  <xdr:twoCellAnchor editAs="absolute">
    <xdr:from>
      <xdr:col>1</xdr:col>
      <xdr:colOff>1826847</xdr:colOff>
      <xdr:row>16</xdr:row>
      <xdr:rowOff>2926379</xdr:rowOff>
    </xdr:from>
    <xdr:to>
      <xdr:col>1</xdr:col>
      <xdr:colOff>2231770</xdr:colOff>
      <xdr:row>16</xdr:row>
      <xdr:rowOff>3123446</xdr:rowOff>
    </xdr:to>
    <xdr:sp macro="" textlink="">
      <xdr:nvSpPr>
        <xdr:cNvPr id="91" name="Text Box 255">
          <a:extLst>
            <a:ext uri="{FF2B5EF4-FFF2-40B4-BE49-F238E27FC236}">
              <a16:creationId xmlns:a16="http://schemas.microsoft.com/office/drawing/2014/main" id="{00000000-0008-0000-0600-00005B000000}"/>
            </a:ext>
          </a:extLst>
        </xdr:cNvPr>
        <xdr:cNvSpPr txBox="1">
          <a:spLocks noChangeArrowheads="1"/>
        </xdr:cNvSpPr>
      </xdr:nvSpPr>
      <xdr:spPr bwMode="auto">
        <a:xfrm>
          <a:off x="2533285" y="24791763"/>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AEFVD</a:t>
          </a:r>
        </a:p>
      </xdr:txBody>
    </xdr:sp>
    <xdr:clientData/>
  </xdr:twoCellAnchor>
  <xdr:twoCellAnchor editAs="absolute">
    <xdr:from>
      <xdr:col>1</xdr:col>
      <xdr:colOff>1521209</xdr:colOff>
      <xdr:row>16</xdr:row>
      <xdr:rowOff>606737</xdr:rowOff>
    </xdr:from>
    <xdr:to>
      <xdr:col>1</xdr:col>
      <xdr:colOff>1914702</xdr:colOff>
      <xdr:row>16</xdr:row>
      <xdr:rowOff>803804</xdr:rowOff>
    </xdr:to>
    <xdr:sp macro="" textlink="">
      <xdr:nvSpPr>
        <xdr:cNvPr id="92" name="Text Box 255">
          <a:extLst>
            <a:ext uri="{FF2B5EF4-FFF2-40B4-BE49-F238E27FC236}">
              <a16:creationId xmlns:a16="http://schemas.microsoft.com/office/drawing/2014/main" id="{00000000-0008-0000-0600-00005C000000}"/>
            </a:ext>
          </a:extLst>
        </xdr:cNvPr>
        <xdr:cNvSpPr txBox="1">
          <a:spLocks noChangeArrowheads="1"/>
        </xdr:cNvSpPr>
      </xdr:nvSpPr>
      <xdr:spPr bwMode="auto">
        <a:xfrm>
          <a:off x="2228780" y="22506547"/>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INC</a:t>
          </a:r>
        </a:p>
      </xdr:txBody>
    </xdr:sp>
    <xdr:clientData/>
  </xdr:twoCellAnchor>
  <xdr:twoCellAnchor editAs="absolute">
    <xdr:from>
      <xdr:col>1</xdr:col>
      <xdr:colOff>1552235</xdr:colOff>
      <xdr:row>16</xdr:row>
      <xdr:rowOff>270221</xdr:rowOff>
    </xdr:from>
    <xdr:to>
      <xdr:col>1</xdr:col>
      <xdr:colOff>1945728</xdr:colOff>
      <xdr:row>16</xdr:row>
      <xdr:rowOff>467288</xdr:rowOff>
    </xdr:to>
    <xdr:sp macro="" textlink="">
      <xdr:nvSpPr>
        <xdr:cNvPr id="93" name="Text Box 255">
          <a:extLst>
            <a:ext uri="{FF2B5EF4-FFF2-40B4-BE49-F238E27FC236}">
              <a16:creationId xmlns:a16="http://schemas.microsoft.com/office/drawing/2014/main" id="{00000000-0008-0000-0600-00005D000000}"/>
            </a:ext>
          </a:extLst>
        </xdr:cNvPr>
        <xdr:cNvSpPr txBox="1">
          <a:spLocks noChangeArrowheads="1"/>
        </xdr:cNvSpPr>
      </xdr:nvSpPr>
      <xdr:spPr bwMode="auto">
        <a:xfrm>
          <a:off x="2254863" y="22139415"/>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INC</a:t>
          </a:r>
        </a:p>
      </xdr:txBody>
    </xdr:sp>
    <xdr:clientData/>
  </xdr:twoCellAnchor>
  <xdr:twoCellAnchor editAs="absolute">
    <xdr:from>
      <xdr:col>1</xdr:col>
      <xdr:colOff>2126873</xdr:colOff>
      <xdr:row>16</xdr:row>
      <xdr:rowOff>607782</xdr:rowOff>
    </xdr:from>
    <xdr:to>
      <xdr:col>1</xdr:col>
      <xdr:colOff>2518461</xdr:colOff>
      <xdr:row>16</xdr:row>
      <xdr:rowOff>804849</xdr:rowOff>
    </xdr:to>
    <xdr:sp macro="" textlink="">
      <xdr:nvSpPr>
        <xdr:cNvPr id="94" name="Text Box 255">
          <a:extLst>
            <a:ext uri="{FF2B5EF4-FFF2-40B4-BE49-F238E27FC236}">
              <a16:creationId xmlns:a16="http://schemas.microsoft.com/office/drawing/2014/main" id="{00000000-0008-0000-0600-00005E000000}"/>
            </a:ext>
          </a:extLst>
        </xdr:cNvPr>
        <xdr:cNvSpPr txBox="1">
          <a:spLocks noChangeArrowheads="1"/>
        </xdr:cNvSpPr>
      </xdr:nvSpPr>
      <xdr:spPr bwMode="auto">
        <a:xfrm>
          <a:off x="2830634" y="22507592"/>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IND</a:t>
          </a:r>
        </a:p>
      </xdr:txBody>
    </xdr:sp>
    <xdr:clientData/>
  </xdr:twoCellAnchor>
  <xdr:twoCellAnchor editAs="absolute">
    <xdr:from>
      <xdr:col>1</xdr:col>
      <xdr:colOff>2126350</xdr:colOff>
      <xdr:row>16</xdr:row>
      <xdr:rowOff>339637</xdr:rowOff>
    </xdr:from>
    <xdr:to>
      <xdr:col>1</xdr:col>
      <xdr:colOff>2517938</xdr:colOff>
      <xdr:row>16</xdr:row>
      <xdr:rowOff>536704</xdr:rowOff>
    </xdr:to>
    <xdr:sp macro="" textlink="">
      <xdr:nvSpPr>
        <xdr:cNvPr id="95" name="Text Box 255">
          <a:extLst>
            <a:ext uri="{FF2B5EF4-FFF2-40B4-BE49-F238E27FC236}">
              <a16:creationId xmlns:a16="http://schemas.microsoft.com/office/drawing/2014/main" id="{00000000-0008-0000-0600-00005F000000}"/>
            </a:ext>
          </a:extLst>
        </xdr:cNvPr>
        <xdr:cNvSpPr txBox="1">
          <a:spLocks noChangeArrowheads="1"/>
        </xdr:cNvSpPr>
      </xdr:nvSpPr>
      <xdr:spPr bwMode="auto">
        <a:xfrm>
          <a:off x="2830111" y="22237542"/>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IND</a:t>
          </a:r>
        </a:p>
      </xdr:txBody>
    </xdr:sp>
    <xdr:clientData/>
  </xdr:twoCellAnchor>
  <xdr:twoCellAnchor editAs="absolute">
    <xdr:from>
      <xdr:col>1</xdr:col>
      <xdr:colOff>1095542</xdr:colOff>
      <xdr:row>20</xdr:row>
      <xdr:rowOff>223723</xdr:rowOff>
    </xdr:from>
    <xdr:to>
      <xdr:col>1</xdr:col>
      <xdr:colOff>1489035</xdr:colOff>
      <xdr:row>20</xdr:row>
      <xdr:rowOff>420790</xdr:rowOff>
    </xdr:to>
    <xdr:sp macro="" textlink="">
      <xdr:nvSpPr>
        <xdr:cNvPr id="109" name="Text Box 255">
          <a:extLst>
            <a:ext uri="{FF2B5EF4-FFF2-40B4-BE49-F238E27FC236}">
              <a16:creationId xmlns:a16="http://schemas.microsoft.com/office/drawing/2014/main" id="{00000000-0008-0000-0600-00006D000000}"/>
            </a:ext>
          </a:extLst>
        </xdr:cNvPr>
        <xdr:cNvSpPr txBox="1">
          <a:spLocks noChangeArrowheads="1"/>
        </xdr:cNvSpPr>
      </xdr:nvSpPr>
      <xdr:spPr bwMode="auto">
        <a:xfrm>
          <a:off x="1799303" y="30354138"/>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INJ</a:t>
          </a:r>
        </a:p>
      </xdr:txBody>
    </xdr:sp>
    <xdr:clientData/>
  </xdr:twoCellAnchor>
  <xdr:twoCellAnchor editAs="absolute">
    <xdr:from>
      <xdr:col>1</xdr:col>
      <xdr:colOff>1069751</xdr:colOff>
      <xdr:row>20</xdr:row>
      <xdr:rowOff>608241</xdr:rowOff>
    </xdr:from>
    <xdr:to>
      <xdr:col>1</xdr:col>
      <xdr:colOff>1474674</xdr:colOff>
      <xdr:row>20</xdr:row>
      <xdr:rowOff>805308</xdr:rowOff>
    </xdr:to>
    <xdr:sp macro="" textlink="">
      <xdr:nvSpPr>
        <xdr:cNvPr id="110" name="Text Box 255">
          <a:extLst>
            <a:ext uri="{FF2B5EF4-FFF2-40B4-BE49-F238E27FC236}">
              <a16:creationId xmlns:a16="http://schemas.microsoft.com/office/drawing/2014/main" id="{00000000-0008-0000-0600-00006E000000}"/>
            </a:ext>
          </a:extLst>
        </xdr:cNvPr>
        <xdr:cNvSpPr txBox="1">
          <a:spLocks noChangeArrowheads="1"/>
        </xdr:cNvSpPr>
      </xdr:nvSpPr>
      <xdr:spPr bwMode="auto">
        <a:xfrm>
          <a:off x="1777322" y="30742466"/>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DAMP</a:t>
          </a:r>
        </a:p>
      </xdr:txBody>
    </xdr:sp>
    <xdr:clientData/>
  </xdr:twoCellAnchor>
  <xdr:twoCellAnchor editAs="absolute">
    <xdr:from>
      <xdr:col>1</xdr:col>
      <xdr:colOff>427034</xdr:colOff>
      <xdr:row>20</xdr:row>
      <xdr:rowOff>225774</xdr:rowOff>
    </xdr:from>
    <xdr:to>
      <xdr:col>1</xdr:col>
      <xdr:colOff>831957</xdr:colOff>
      <xdr:row>20</xdr:row>
      <xdr:rowOff>422841</xdr:rowOff>
    </xdr:to>
    <xdr:sp macro="" textlink="">
      <xdr:nvSpPr>
        <xdr:cNvPr id="111" name="Text Box 255">
          <a:extLst>
            <a:ext uri="{FF2B5EF4-FFF2-40B4-BE49-F238E27FC236}">
              <a16:creationId xmlns:a16="http://schemas.microsoft.com/office/drawing/2014/main" id="{00000000-0008-0000-0600-00006F000000}"/>
            </a:ext>
          </a:extLst>
        </xdr:cNvPr>
        <xdr:cNvSpPr txBox="1">
          <a:spLocks noChangeArrowheads="1"/>
        </xdr:cNvSpPr>
      </xdr:nvSpPr>
      <xdr:spPr bwMode="auto">
        <a:xfrm>
          <a:off x="1138415" y="30359999"/>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SEN</a:t>
          </a:r>
        </a:p>
      </xdr:txBody>
    </xdr:sp>
    <xdr:clientData/>
  </xdr:twoCellAnchor>
  <xdr:twoCellAnchor editAs="absolute">
    <xdr:from>
      <xdr:col>1</xdr:col>
      <xdr:colOff>424730</xdr:colOff>
      <xdr:row>20</xdr:row>
      <xdr:rowOff>606378</xdr:rowOff>
    </xdr:from>
    <xdr:to>
      <xdr:col>1</xdr:col>
      <xdr:colOff>829653</xdr:colOff>
      <xdr:row>20</xdr:row>
      <xdr:rowOff>803445</xdr:rowOff>
    </xdr:to>
    <xdr:sp macro="" textlink="">
      <xdr:nvSpPr>
        <xdr:cNvPr id="112" name="Text Box 255">
          <a:extLst>
            <a:ext uri="{FF2B5EF4-FFF2-40B4-BE49-F238E27FC236}">
              <a16:creationId xmlns:a16="http://schemas.microsoft.com/office/drawing/2014/main" id="{00000000-0008-0000-0600-000070000000}"/>
            </a:ext>
          </a:extLst>
        </xdr:cNvPr>
        <xdr:cNvSpPr txBox="1">
          <a:spLocks noChangeArrowheads="1"/>
        </xdr:cNvSpPr>
      </xdr:nvSpPr>
      <xdr:spPr bwMode="auto">
        <a:xfrm>
          <a:off x="1136111" y="30738698"/>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DAMP</a:t>
          </a:r>
        </a:p>
      </xdr:txBody>
    </xdr:sp>
    <xdr:clientData/>
  </xdr:twoCellAnchor>
  <xdr:twoCellAnchor editAs="absolute">
    <xdr:from>
      <xdr:col>1</xdr:col>
      <xdr:colOff>415790</xdr:colOff>
      <xdr:row>20</xdr:row>
      <xdr:rowOff>1093765</xdr:rowOff>
    </xdr:from>
    <xdr:to>
      <xdr:col>1</xdr:col>
      <xdr:colOff>807378</xdr:colOff>
      <xdr:row>20</xdr:row>
      <xdr:rowOff>1290832</xdr:rowOff>
    </xdr:to>
    <xdr:sp macro="" textlink="">
      <xdr:nvSpPr>
        <xdr:cNvPr id="113" name="Text Box 255">
          <a:extLst>
            <a:ext uri="{FF2B5EF4-FFF2-40B4-BE49-F238E27FC236}">
              <a16:creationId xmlns:a16="http://schemas.microsoft.com/office/drawing/2014/main" id="{00000000-0008-0000-0600-000071000000}"/>
            </a:ext>
          </a:extLst>
        </xdr:cNvPr>
        <xdr:cNvSpPr txBox="1">
          <a:spLocks noChangeArrowheads="1"/>
        </xdr:cNvSpPr>
      </xdr:nvSpPr>
      <xdr:spPr bwMode="auto">
        <a:xfrm>
          <a:off x="1121456" y="31222275"/>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AEFC</a:t>
          </a:r>
        </a:p>
      </xdr:txBody>
    </xdr:sp>
    <xdr:clientData/>
  </xdr:twoCellAnchor>
  <xdr:twoCellAnchor editAs="absolute">
    <xdr:from>
      <xdr:col>1</xdr:col>
      <xdr:colOff>695825</xdr:colOff>
      <xdr:row>20</xdr:row>
      <xdr:rowOff>1093765</xdr:rowOff>
    </xdr:from>
    <xdr:to>
      <xdr:col>1</xdr:col>
      <xdr:colOff>1100748</xdr:colOff>
      <xdr:row>20</xdr:row>
      <xdr:rowOff>1290832</xdr:rowOff>
    </xdr:to>
    <xdr:sp macro="" textlink="">
      <xdr:nvSpPr>
        <xdr:cNvPr id="114" name="Text Box 255">
          <a:extLst>
            <a:ext uri="{FF2B5EF4-FFF2-40B4-BE49-F238E27FC236}">
              <a16:creationId xmlns:a16="http://schemas.microsoft.com/office/drawing/2014/main" id="{00000000-0008-0000-0600-000072000000}"/>
            </a:ext>
          </a:extLst>
        </xdr:cNvPr>
        <xdr:cNvSpPr txBox="1">
          <a:spLocks noChangeArrowheads="1"/>
        </xdr:cNvSpPr>
      </xdr:nvSpPr>
      <xdr:spPr bwMode="auto">
        <a:xfrm>
          <a:off x="1407206" y="31222275"/>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AEFC</a:t>
          </a:r>
        </a:p>
      </xdr:txBody>
    </xdr:sp>
    <xdr:clientData/>
  </xdr:twoCellAnchor>
  <xdr:twoCellAnchor editAs="absolute">
    <xdr:from>
      <xdr:col>1</xdr:col>
      <xdr:colOff>575078</xdr:colOff>
      <xdr:row>20</xdr:row>
      <xdr:rowOff>1553455</xdr:rowOff>
    </xdr:from>
    <xdr:to>
      <xdr:col>1</xdr:col>
      <xdr:colOff>980001</xdr:colOff>
      <xdr:row>20</xdr:row>
      <xdr:rowOff>1750522</xdr:rowOff>
    </xdr:to>
    <xdr:sp macro="" textlink="">
      <xdr:nvSpPr>
        <xdr:cNvPr id="115" name="Text Box 255">
          <a:extLst>
            <a:ext uri="{FF2B5EF4-FFF2-40B4-BE49-F238E27FC236}">
              <a16:creationId xmlns:a16="http://schemas.microsoft.com/office/drawing/2014/main" id="{00000000-0008-0000-0600-000073000000}"/>
            </a:ext>
          </a:extLst>
        </xdr:cNvPr>
        <xdr:cNvSpPr txBox="1">
          <a:spLocks noChangeArrowheads="1"/>
        </xdr:cNvSpPr>
      </xdr:nvSpPr>
      <xdr:spPr bwMode="auto">
        <a:xfrm>
          <a:off x="1282649" y="31683870"/>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AEFDC</a:t>
          </a:r>
        </a:p>
      </xdr:txBody>
    </xdr:sp>
    <xdr:clientData/>
  </xdr:twoCellAnchor>
  <xdr:twoCellAnchor editAs="absolute">
    <xdr:from>
      <xdr:col>1</xdr:col>
      <xdr:colOff>2504403</xdr:colOff>
      <xdr:row>20</xdr:row>
      <xdr:rowOff>3160102</xdr:rowOff>
    </xdr:from>
    <xdr:to>
      <xdr:col>1</xdr:col>
      <xdr:colOff>2897896</xdr:colOff>
      <xdr:row>20</xdr:row>
      <xdr:rowOff>3357169</xdr:rowOff>
    </xdr:to>
    <xdr:sp macro="" textlink="">
      <xdr:nvSpPr>
        <xdr:cNvPr id="116" name="Text Box 255">
          <a:extLst>
            <a:ext uri="{FF2B5EF4-FFF2-40B4-BE49-F238E27FC236}">
              <a16:creationId xmlns:a16="http://schemas.microsoft.com/office/drawing/2014/main" id="{00000000-0008-0000-0600-000074000000}"/>
            </a:ext>
          </a:extLst>
        </xdr:cNvPr>
        <xdr:cNvSpPr txBox="1">
          <a:spLocks noChangeArrowheads="1"/>
        </xdr:cNvSpPr>
      </xdr:nvSpPr>
      <xdr:spPr bwMode="auto">
        <a:xfrm>
          <a:off x="3208164" y="33294327"/>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AEFVD</a:t>
          </a:r>
        </a:p>
      </xdr:txBody>
    </xdr:sp>
    <xdr:clientData/>
  </xdr:twoCellAnchor>
  <xdr:twoCellAnchor editAs="absolute">
    <xdr:from>
      <xdr:col>1</xdr:col>
      <xdr:colOff>1827982</xdr:colOff>
      <xdr:row>20</xdr:row>
      <xdr:rowOff>2897800</xdr:rowOff>
    </xdr:from>
    <xdr:to>
      <xdr:col>1</xdr:col>
      <xdr:colOff>2232905</xdr:colOff>
      <xdr:row>20</xdr:row>
      <xdr:rowOff>3094867</xdr:rowOff>
    </xdr:to>
    <xdr:sp macro="" textlink="">
      <xdr:nvSpPr>
        <xdr:cNvPr id="117" name="Text Box 255">
          <a:extLst>
            <a:ext uri="{FF2B5EF4-FFF2-40B4-BE49-F238E27FC236}">
              <a16:creationId xmlns:a16="http://schemas.microsoft.com/office/drawing/2014/main" id="{00000000-0008-0000-0600-000075000000}"/>
            </a:ext>
          </a:extLst>
        </xdr:cNvPr>
        <xdr:cNvSpPr txBox="1">
          <a:spLocks noChangeArrowheads="1"/>
        </xdr:cNvSpPr>
      </xdr:nvSpPr>
      <xdr:spPr bwMode="auto">
        <a:xfrm>
          <a:off x="2535553" y="33032025"/>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AEFVD</a:t>
          </a:r>
        </a:p>
      </xdr:txBody>
    </xdr:sp>
    <xdr:clientData/>
  </xdr:twoCellAnchor>
  <xdr:twoCellAnchor editAs="absolute">
    <xdr:from>
      <xdr:col>1</xdr:col>
      <xdr:colOff>1519350</xdr:colOff>
      <xdr:row>20</xdr:row>
      <xdr:rowOff>575164</xdr:rowOff>
    </xdr:from>
    <xdr:to>
      <xdr:col>1</xdr:col>
      <xdr:colOff>1909033</xdr:colOff>
      <xdr:row>20</xdr:row>
      <xdr:rowOff>772231</xdr:rowOff>
    </xdr:to>
    <xdr:sp macro="" textlink="">
      <xdr:nvSpPr>
        <xdr:cNvPr id="118" name="Text Box 255">
          <a:extLst>
            <a:ext uri="{FF2B5EF4-FFF2-40B4-BE49-F238E27FC236}">
              <a16:creationId xmlns:a16="http://schemas.microsoft.com/office/drawing/2014/main" id="{00000000-0008-0000-0600-000076000000}"/>
            </a:ext>
          </a:extLst>
        </xdr:cNvPr>
        <xdr:cNvSpPr txBox="1">
          <a:spLocks noChangeArrowheads="1"/>
        </xdr:cNvSpPr>
      </xdr:nvSpPr>
      <xdr:spPr bwMode="auto">
        <a:xfrm>
          <a:off x="2223111" y="30709389"/>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INC</a:t>
          </a:r>
        </a:p>
      </xdr:txBody>
    </xdr:sp>
    <xdr:clientData/>
  </xdr:twoCellAnchor>
  <xdr:twoCellAnchor editAs="absolute">
    <xdr:from>
      <xdr:col>1</xdr:col>
      <xdr:colOff>1553370</xdr:colOff>
      <xdr:row>20</xdr:row>
      <xdr:rowOff>253072</xdr:rowOff>
    </xdr:from>
    <xdr:to>
      <xdr:col>1</xdr:col>
      <xdr:colOff>1946863</xdr:colOff>
      <xdr:row>20</xdr:row>
      <xdr:rowOff>450139</xdr:rowOff>
    </xdr:to>
    <xdr:sp macro="" textlink="">
      <xdr:nvSpPr>
        <xdr:cNvPr id="119" name="Text Box 255">
          <a:extLst>
            <a:ext uri="{FF2B5EF4-FFF2-40B4-BE49-F238E27FC236}">
              <a16:creationId xmlns:a16="http://schemas.microsoft.com/office/drawing/2014/main" id="{00000000-0008-0000-0600-000077000000}"/>
            </a:ext>
          </a:extLst>
        </xdr:cNvPr>
        <xdr:cNvSpPr txBox="1">
          <a:spLocks noChangeArrowheads="1"/>
        </xdr:cNvSpPr>
      </xdr:nvSpPr>
      <xdr:spPr bwMode="auto">
        <a:xfrm>
          <a:off x="2257131" y="30379677"/>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INC</a:t>
          </a:r>
        </a:p>
      </xdr:txBody>
    </xdr:sp>
    <xdr:clientData/>
  </xdr:twoCellAnchor>
  <xdr:twoCellAnchor editAs="absolute">
    <xdr:from>
      <xdr:col>1</xdr:col>
      <xdr:colOff>2123109</xdr:colOff>
      <xdr:row>20</xdr:row>
      <xdr:rowOff>597437</xdr:rowOff>
    </xdr:from>
    <xdr:to>
      <xdr:col>1</xdr:col>
      <xdr:colOff>2514697</xdr:colOff>
      <xdr:row>20</xdr:row>
      <xdr:rowOff>794504</xdr:rowOff>
    </xdr:to>
    <xdr:sp macro="" textlink="">
      <xdr:nvSpPr>
        <xdr:cNvPr id="120" name="Text Box 255">
          <a:extLst>
            <a:ext uri="{FF2B5EF4-FFF2-40B4-BE49-F238E27FC236}">
              <a16:creationId xmlns:a16="http://schemas.microsoft.com/office/drawing/2014/main" id="{00000000-0008-0000-0600-000078000000}"/>
            </a:ext>
          </a:extLst>
        </xdr:cNvPr>
        <xdr:cNvSpPr txBox="1">
          <a:spLocks noChangeArrowheads="1"/>
        </xdr:cNvSpPr>
      </xdr:nvSpPr>
      <xdr:spPr bwMode="auto">
        <a:xfrm>
          <a:off x="2824965" y="30724042"/>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IND</a:t>
          </a:r>
        </a:p>
      </xdr:txBody>
    </xdr:sp>
    <xdr:clientData/>
  </xdr:twoCellAnchor>
  <xdr:twoCellAnchor editAs="absolute">
    <xdr:from>
      <xdr:col>1</xdr:col>
      <xdr:colOff>2122586</xdr:colOff>
      <xdr:row>20</xdr:row>
      <xdr:rowOff>306159</xdr:rowOff>
    </xdr:from>
    <xdr:to>
      <xdr:col>1</xdr:col>
      <xdr:colOff>2514174</xdr:colOff>
      <xdr:row>20</xdr:row>
      <xdr:rowOff>503226</xdr:rowOff>
    </xdr:to>
    <xdr:sp macro="" textlink="">
      <xdr:nvSpPr>
        <xdr:cNvPr id="121" name="Text Box 255">
          <a:extLst>
            <a:ext uri="{FF2B5EF4-FFF2-40B4-BE49-F238E27FC236}">
              <a16:creationId xmlns:a16="http://schemas.microsoft.com/office/drawing/2014/main" id="{00000000-0008-0000-0600-000079000000}"/>
            </a:ext>
          </a:extLst>
        </xdr:cNvPr>
        <xdr:cNvSpPr txBox="1">
          <a:spLocks noChangeArrowheads="1"/>
        </xdr:cNvSpPr>
      </xdr:nvSpPr>
      <xdr:spPr bwMode="auto">
        <a:xfrm>
          <a:off x="2824442" y="30440384"/>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IND</a:t>
          </a:r>
        </a:p>
      </xdr:txBody>
    </xdr:sp>
    <xdr:clientData/>
  </xdr:twoCellAnchor>
  <xdr:twoCellAnchor editAs="absolute">
    <xdr:from>
      <xdr:col>1</xdr:col>
      <xdr:colOff>1225096</xdr:colOff>
      <xdr:row>20</xdr:row>
      <xdr:rowOff>1094810</xdr:rowOff>
    </xdr:from>
    <xdr:to>
      <xdr:col>1</xdr:col>
      <xdr:colOff>1630019</xdr:colOff>
      <xdr:row>20</xdr:row>
      <xdr:rowOff>1291877</xdr:rowOff>
    </xdr:to>
    <xdr:sp macro="" textlink="">
      <xdr:nvSpPr>
        <xdr:cNvPr id="122" name="Text Box 255">
          <a:extLst>
            <a:ext uri="{FF2B5EF4-FFF2-40B4-BE49-F238E27FC236}">
              <a16:creationId xmlns:a16="http://schemas.microsoft.com/office/drawing/2014/main" id="{00000000-0008-0000-0600-00007A000000}"/>
            </a:ext>
          </a:extLst>
        </xdr:cNvPr>
        <xdr:cNvSpPr txBox="1">
          <a:spLocks noChangeArrowheads="1"/>
        </xdr:cNvSpPr>
      </xdr:nvSpPr>
      <xdr:spPr bwMode="auto">
        <a:xfrm>
          <a:off x="1932928" y="31242251"/>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FB1</a:t>
          </a:r>
        </a:p>
      </xdr:txBody>
    </xdr:sp>
    <xdr:clientData/>
  </xdr:twoCellAnchor>
  <xdr:twoCellAnchor editAs="absolute">
    <xdr:from>
      <xdr:col>1</xdr:col>
      <xdr:colOff>1241852</xdr:colOff>
      <xdr:row>20</xdr:row>
      <xdr:rowOff>1482055</xdr:rowOff>
    </xdr:from>
    <xdr:to>
      <xdr:col>1</xdr:col>
      <xdr:colOff>1635345</xdr:colOff>
      <xdr:row>20</xdr:row>
      <xdr:rowOff>1681027</xdr:rowOff>
    </xdr:to>
    <xdr:sp macro="" textlink="">
      <xdr:nvSpPr>
        <xdr:cNvPr id="123" name="Text Box 255">
          <a:extLst>
            <a:ext uri="{FF2B5EF4-FFF2-40B4-BE49-F238E27FC236}">
              <a16:creationId xmlns:a16="http://schemas.microsoft.com/office/drawing/2014/main" id="{00000000-0008-0000-0600-00007B000000}"/>
            </a:ext>
          </a:extLst>
        </xdr:cNvPr>
        <xdr:cNvSpPr txBox="1">
          <a:spLocks noChangeArrowheads="1"/>
        </xdr:cNvSpPr>
      </xdr:nvSpPr>
      <xdr:spPr bwMode="auto">
        <a:xfrm>
          <a:off x="1938254" y="31633306"/>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FB2</a:t>
          </a:r>
        </a:p>
      </xdr:txBody>
    </xdr:sp>
    <xdr:clientData/>
  </xdr:twoCellAnchor>
  <xdr:twoCellAnchor>
    <xdr:from>
      <xdr:col>1</xdr:col>
      <xdr:colOff>1387929</xdr:colOff>
      <xdr:row>11</xdr:row>
      <xdr:rowOff>966107</xdr:rowOff>
    </xdr:from>
    <xdr:to>
      <xdr:col>1</xdr:col>
      <xdr:colOff>1785207</xdr:colOff>
      <xdr:row>11</xdr:row>
      <xdr:rowOff>1166961</xdr:rowOff>
    </xdr:to>
    <xdr:sp macro="" textlink="">
      <xdr:nvSpPr>
        <xdr:cNvPr id="124" name="Text Box 255">
          <a:extLst>
            <a:ext uri="{FF2B5EF4-FFF2-40B4-BE49-F238E27FC236}">
              <a16:creationId xmlns:a16="http://schemas.microsoft.com/office/drawing/2014/main" id="{00000000-0008-0000-0600-00007C000000}"/>
            </a:ext>
          </a:extLst>
        </xdr:cNvPr>
        <xdr:cNvSpPr txBox="1">
          <a:spLocks noChangeArrowheads="1"/>
        </xdr:cNvSpPr>
      </xdr:nvSpPr>
      <xdr:spPr bwMode="auto">
        <a:xfrm>
          <a:off x="2095500" y="14382750"/>
          <a:ext cx="397278" cy="200854"/>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VDDA</a:t>
          </a:r>
          <a:endParaRPr lang="en-US" sz="700" b="0" i="0" strike="noStrike" baseline="-25000">
            <a:solidFill>
              <a:srgbClr val="000000"/>
            </a:solidFill>
            <a:latin typeface="Arial" pitchFamily="34" charset="0"/>
            <a:cs typeface="Arial" pitchFamily="34" charset="0"/>
          </a:endParaRPr>
        </a:p>
      </xdr:txBody>
    </xdr:sp>
    <xdr:clientData/>
  </xdr:twoCellAnchor>
  <xdr:twoCellAnchor>
    <xdr:from>
      <xdr:col>1</xdr:col>
      <xdr:colOff>1760538</xdr:colOff>
      <xdr:row>16</xdr:row>
      <xdr:rowOff>1646238</xdr:rowOff>
    </xdr:from>
    <xdr:to>
      <xdr:col>1</xdr:col>
      <xdr:colOff>2157816</xdr:colOff>
      <xdr:row>16</xdr:row>
      <xdr:rowOff>1847092</xdr:rowOff>
    </xdr:to>
    <xdr:sp macro="" textlink="">
      <xdr:nvSpPr>
        <xdr:cNvPr id="125" name="Text Box 255">
          <a:extLst>
            <a:ext uri="{FF2B5EF4-FFF2-40B4-BE49-F238E27FC236}">
              <a16:creationId xmlns:a16="http://schemas.microsoft.com/office/drawing/2014/main" id="{00000000-0008-0000-0600-00007D000000}"/>
            </a:ext>
          </a:extLst>
        </xdr:cNvPr>
        <xdr:cNvSpPr txBox="1">
          <a:spLocks noChangeArrowheads="1"/>
        </xdr:cNvSpPr>
      </xdr:nvSpPr>
      <xdr:spPr bwMode="auto">
        <a:xfrm>
          <a:off x="2465388" y="23506113"/>
          <a:ext cx="397278" cy="200854"/>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VDDA</a:t>
          </a:r>
          <a:endParaRPr lang="en-US" sz="700" b="0" i="0" strike="noStrike" baseline="-25000">
            <a:solidFill>
              <a:srgbClr val="000000"/>
            </a:solidFill>
            <a:latin typeface="Arial" pitchFamily="34" charset="0"/>
            <a:cs typeface="Arial" pitchFamily="34" charset="0"/>
          </a:endParaRPr>
        </a:p>
      </xdr:txBody>
    </xdr:sp>
    <xdr:clientData/>
  </xdr:twoCellAnchor>
  <xdr:twoCellAnchor>
    <xdr:from>
      <xdr:col>1</xdr:col>
      <xdr:colOff>1388765</xdr:colOff>
      <xdr:row>20</xdr:row>
      <xdr:rowOff>956060</xdr:rowOff>
    </xdr:from>
    <xdr:to>
      <xdr:col>1</xdr:col>
      <xdr:colOff>1786043</xdr:colOff>
      <xdr:row>20</xdr:row>
      <xdr:rowOff>1156914</xdr:rowOff>
    </xdr:to>
    <xdr:sp macro="" textlink="">
      <xdr:nvSpPr>
        <xdr:cNvPr id="128" name="Text Box 255">
          <a:extLst>
            <a:ext uri="{FF2B5EF4-FFF2-40B4-BE49-F238E27FC236}">
              <a16:creationId xmlns:a16="http://schemas.microsoft.com/office/drawing/2014/main" id="{00000000-0008-0000-0600-000080000000}"/>
            </a:ext>
          </a:extLst>
        </xdr:cNvPr>
        <xdr:cNvSpPr txBox="1">
          <a:spLocks noChangeArrowheads="1"/>
        </xdr:cNvSpPr>
      </xdr:nvSpPr>
      <xdr:spPr bwMode="auto">
        <a:xfrm>
          <a:off x="2092150" y="31025752"/>
          <a:ext cx="397278" cy="200854"/>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VOUT</a:t>
          </a:r>
          <a:endParaRPr lang="en-US" sz="700" b="0" i="0" strike="noStrike" baseline="-25000">
            <a:solidFill>
              <a:srgbClr val="000000"/>
            </a:solidFill>
            <a:latin typeface="Arial" pitchFamily="34" charset="0"/>
            <a:cs typeface="Arial" pitchFamily="34" charset="0"/>
          </a:endParaRPr>
        </a:p>
      </xdr:txBody>
    </xdr:sp>
    <xdr:clientData/>
  </xdr:twoCellAnchor>
  <xdr:twoCellAnchor editAs="absolute">
    <xdr:from>
      <xdr:col>1</xdr:col>
      <xdr:colOff>1222303</xdr:colOff>
      <xdr:row>16</xdr:row>
      <xdr:rowOff>1130401</xdr:rowOff>
    </xdr:from>
    <xdr:to>
      <xdr:col>1</xdr:col>
      <xdr:colOff>1627226</xdr:colOff>
      <xdr:row>16</xdr:row>
      <xdr:rowOff>1327468</xdr:rowOff>
    </xdr:to>
    <xdr:sp macro="" textlink="">
      <xdr:nvSpPr>
        <xdr:cNvPr id="132" name="Text Box 255">
          <a:extLst>
            <a:ext uri="{FF2B5EF4-FFF2-40B4-BE49-F238E27FC236}">
              <a16:creationId xmlns:a16="http://schemas.microsoft.com/office/drawing/2014/main" id="{00000000-0008-0000-0600-000084000000}"/>
            </a:ext>
          </a:extLst>
        </xdr:cNvPr>
        <xdr:cNvSpPr txBox="1">
          <a:spLocks noChangeArrowheads="1"/>
        </xdr:cNvSpPr>
      </xdr:nvSpPr>
      <xdr:spPr bwMode="auto">
        <a:xfrm>
          <a:off x="1931779" y="23022591"/>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FB1</a:t>
          </a:r>
        </a:p>
      </xdr:txBody>
    </xdr:sp>
    <xdr:clientData/>
  </xdr:twoCellAnchor>
  <xdr:twoCellAnchor editAs="absolute">
    <xdr:from>
      <xdr:col>1</xdr:col>
      <xdr:colOff>1225724</xdr:colOff>
      <xdr:row>16</xdr:row>
      <xdr:rowOff>1517646</xdr:rowOff>
    </xdr:from>
    <xdr:to>
      <xdr:col>1</xdr:col>
      <xdr:colOff>1630647</xdr:colOff>
      <xdr:row>16</xdr:row>
      <xdr:rowOff>1714713</xdr:rowOff>
    </xdr:to>
    <xdr:sp macro="" textlink="">
      <xdr:nvSpPr>
        <xdr:cNvPr id="133" name="Text Box 255">
          <a:extLst>
            <a:ext uri="{FF2B5EF4-FFF2-40B4-BE49-F238E27FC236}">
              <a16:creationId xmlns:a16="http://schemas.microsoft.com/office/drawing/2014/main" id="{00000000-0008-0000-0600-000085000000}"/>
            </a:ext>
          </a:extLst>
        </xdr:cNvPr>
        <xdr:cNvSpPr txBox="1">
          <a:spLocks noChangeArrowheads="1"/>
        </xdr:cNvSpPr>
      </xdr:nvSpPr>
      <xdr:spPr bwMode="auto">
        <a:xfrm>
          <a:off x="1937105" y="23413646"/>
          <a:ext cx="397303"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FB2</a:t>
          </a:r>
        </a:p>
      </xdr:txBody>
    </xdr:sp>
    <xdr:clientData/>
  </xdr:twoCellAnchor>
  <xdr:twoCellAnchor>
    <xdr:from>
      <xdr:col>1</xdr:col>
      <xdr:colOff>1384067</xdr:colOff>
      <xdr:row>16</xdr:row>
      <xdr:rowOff>960438</xdr:rowOff>
    </xdr:from>
    <xdr:to>
      <xdr:col>1</xdr:col>
      <xdr:colOff>1781345</xdr:colOff>
      <xdr:row>16</xdr:row>
      <xdr:rowOff>1161292</xdr:rowOff>
    </xdr:to>
    <xdr:sp macro="" textlink="">
      <xdr:nvSpPr>
        <xdr:cNvPr id="134" name="Text Box 255">
          <a:extLst>
            <a:ext uri="{FF2B5EF4-FFF2-40B4-BE49-F238E27FC236}">
              <a16:creationId xmlns:a16="http://schemas.microsoft.com/office/drawing/2014/main" id="{00000000-0008-0000-0600-000086000000}"/>
            </a:ext>
          </a:extLst>
        </xdr:cNvPr>
        <xdr:cNvSpPr txBox="1">
          <a:spLocks noChangeArrowheads="1"/>
        </xdr:cNvSpPr>
      </xdr:nvSpPr>
      <xdr:spPr bwMode="auto">
        <a:xfrm>
          <a:off x="2091638" y="22827117"/>
          <a:ext cx="397278" cy="200854"/>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VOUT</a:t>
          </a:r>
          <a:endParaRPr lang="en-US" sz="700" b="0" i="0" strike="noStrike" baseline="-25000">
            <a:solidFill>
              <a:srgbClr val="000000"/>
            </a:solidFill>
            <a:latin typeface="Arial" pitchFamily="34" charset="0"/>
            <a:cs typeface="Arial" pitchFamily="34" charset="0"/>
          </a:endParaRPr>
        </a:p>
      </xdr:txBody>
    </xdr:sp>
    <xdr:clientData/>
  </xdr:twoCellAnchor>
  <xdr:twoCellAnchor editAs="absolute">
    <xdr:from>
      <xdr:col>1</xdr:col>
      <xdr:colOff>1359626</xdr:colOff>
      <xdr:row>11</xdr:row>
      <xdr:rowOff>2709634</xdr:rowOff>
    </xdr:from>
    <xdr:to>
      <xdr:col>1</xdr:col>
      <xdr:colOff>1745525</xdr:colOff>
      <xdr:row>11</xdr:row>
      <xdr:rowOff>2921941</xdr:rowOff>
    </xdr:to>
    <xdr:sp macro="" textlink="">
      <xdr:nvSpPr>
        <xdr:cNvPr id="138" name="Text Box 255">
          <a:extLst>
            <a:ext uri="{FF2B5EF4-FFF2-40B4-BE49-F238E27FC236}">
              <a16:creationId xmlns:a16="http://schemas.microsoft.com/office/drawing/2014/main" id="{00000000-0008-0000-0600-00008A000000}"/>
            </a:ext>
          </a:extLst>
        </xdr:cNvPr>
        <xdr:cNvSpPr txBox="1">
          <a:spLocks noChangeArrowheads="1"/>
        </xdr:cNvSpPr>
      </xdr:nvSpPr>
      <xdr:spPr bwMode="auto">
        <a:xfrm>
          <a:off x="2061482" y="16212913"/>
          <a:ext cx="387804"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VCC</a:t>
          </a:r>
          <a:endParaRPr lang="en-US" sz="700" b="0" i="0" strike="noStrike" baseline="-25000">
            <a:solidFill>
              <a:srgbClr val="000000"/>
            </a:solidFill>
            <a:latin typeface="Arial" pitchFamily="34" charset="0"/>
            <a:cs typeface="Arial" pitchFamily="34" charset="0"/>
          </a:endParaRPr>
        </a:p>
      </xdr:txBody>
    </xdr:sp>
    <xdr:clientData/>
  </xdr:twoCellAnchor>
  <xdr:twoCellAnchor editAs="absolute">
    <xdr:from>
      <xdr:col>1</xdr:col>
      <xdr:colOff>1360760</xdr:colOff>
      <xdr:row>16</xdr:row>
      <xdr:rowOff>2777880</xdr:rowOff>
    </xdr:from>
    <xdr:to>
      <xdr:col>1</xdr:col>
      <xdr:colOff>1746659</xdr:colOff>
      <xdr:row>16</xdr:row>
      <xdr:rowOff>2974947</xdr:rowOff>
    </xdr:to>
    <xdr:sp macro="" textlink="">
      <xdr:nvSpPr>
        <xdr:cNvPr id="139" name="Text Box 255">
          <a:extLst>
            <a:ext uri="{FF2B5EF4-FFF2-40B4-BE49-F238E27FC236}">
              <a16:creationId xmlns:a16="http://schemas.microsoft.com/office/drawing/2014/main" id="{00000000-0008-0000-0600-00008B000000}"/>
            </a:ext>
          </a:extLst>
        </xdr:cNvPr>
        <xdr:cNvSpPr txBox="1">
          <a:spLocks noChangeArrowheads="1"/>
        </xdr:cNvSpPr>
      </xdr:nvSpPr>
      <xdr:spPr bwMode="auto">
        <a:xfrm>
          <a:off x="2062616" y="24677690"/>
          <a:ext cx="387804"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VCC</a:t>
          </a:r>
          <a:endParaRPr lang="en-US" sz="700" b="0" i="0" strike="noStrike" baseline="-25000">
            <a:solidFill>
              <a:srgbClr val="000000"/>
            </a:solidFill>
            <a:latin typeface="Arial" pitchFamily="34" charset="0"/>
            <a:cs typeface="Arial" pitchFamily="34" charset="0"/>
          </a:endParaRPr>
        </a:p>
      </xdr:txBody>
    </xdr:sp>
    <xdr:clientData/>
  </xdr:twoCellAnchor>
  <xdr:twoCellAnchor editAs="absolute">
    <xdr:from>
      <xdr:col>1</xdr:col>
      <xdr:colOff>1359625</xdr:colOff>
      <xdr:row>20</xdr:row>
      <xdr:rowOff>2747438</xdr:rowOff>
    </xdr:from>
    <xdr:to>
      <xdr:col>1</xdr:col>
      <xdr:colOff>1745524</xdr:colOff>
      <xdr:row>20</xdr:row>
      <xdr:rowOff>2955935</xdr:rowOff>
    </xdr:to>
    <xdr:sp macro="" textlink="">
      <xdr:nvSpPr>
        <xdr:cNvPr id="140" name="Text Box 255">
          <a:extLst>
            <a:ext uri="{FF2B5EF4-FFF2-40B4-BE49-F238E27FC236}">
              <a16:creationId xmlns:a16="http://schemas.microsoft.com/office/drawing/2014/main" id="{00000000-0008-0000-0600-00008C000000}"/>
            </a:ext>
          </a:extLst>
        </xdr:cNvPr>
        <xdr:cNvSpPr txBox="1">
          <a:spLocks noChangeArrowheads="1"/>
        </xdr:cNvSpPr>
      </xdr:nvSpPr>
      <xdr:spPr bwMode="auto">
        <a:xfrm>
          <a:off x="2061481" y="32881663"/>
          <a:ext cx="387804" cy="20087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VCC</a:t>
          </a:r>
          <a:endParaRPr lang="en-US" sz="700" b="0" i="0" strike="noStrike" baseline="-25000">
            <a:solidFill>
              <a:srgbClr val="000000"/>
            </a:solidFill>
            <a:latin typeface="Arial" pitchFamily="34" charset="0"/>
            <a:cs typeface="Arial" pitchFamily="34" charset="0"/>
          </a:endParaRPr>
        </a:p>
      </xdr:txBody>
    </xdr:sp>
    <xdr:clientData/>
  </xdr:twoCellAnchor>
  <xdr:twoCellAnchor editAs="absolute">
    <xdr:from>
      <xdr:col>1</xdr:col>
      <xdr:colOff>2129310</xdr:colOff>
      <xdr:row>20</xdr:row>
      <xdr:rowOff>1664661</xdr:rowOff>
    </xdr:from>
    <xdr:to>
      <xdr:col>1</xdr:col>
      <xdr:colOff>2518993</xdr:colOff>
      <xdr:row>20</xdr:row>
      <xdr:rowOff>1931823</xdr:rowOff>
    </xdr:to>
    <xdr:sp macro="" textlink="">
      <xdr:nvSpPr>
        <xdr:cNvPr id="141" name="Text Box 255">
          <a:extLst>
            <a:ext uri="{FF2B5EF4-FFF2-40B4-BE49-F238E27FC236}">
              <a16:creationId xmlns:a16="http://schemas.microsoft.com/office/drawing/2014/main" id="{00000000-0008-0000-0600-00008D000000}"/>
            </a:ext>
          </a:extLst>
        </xdr:cNvPr>
        <xdr:cNvSpPr txBox="1">
          <a:spLocks noChangeArrowheads="1"/>
        </xdr:cNvSpPr>
      </xdr:nvSpPr>
      <xdr:spPr bwMode="auto">
        <a:xfrm>
          <a:off x="2833071" y="31791266"/>
          <a:ext cx="397303" cy="267162"/>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COMP</a:t>
          </a:r>
        </a:p>
      </xdr:txBody>
    </xdr:sp>
    <xdr:clientData/>
  </xdr:twoCellAnchor>
  <xdr:twoCellAnchor editAs="absolute">
    <xdr:from>
      <xdr:col>1</xdr:col>
      <xdr:colOff>1857169</xdr:colOff>
      <xdr:row>20</xdr:row>
      <xdr:rowOff>1942790</xdr:rowOff>
    </xdr:from>
    <xdr:to>
      <xdr:col>1</xdr:col>
      <xdr:colOff>2250662</xdr:colOff>
      <xdr:row>20</xdr:row>
      <xdr:rowOff>2209952</xdr:rowOff>
    </xdr:to>
    <xdr:sp macro="" textlink="">
      <xdr:nvSpPr>
        <xdr:cNvPr id="143" name="Text Box 255">
          <a:extLst>
            <a:ext uri="{FF2B5EF4-FFF2-40B4-BE49-F238E27FC236}">
              <a16:creationId xmlns:a16="http://schemas.microsoft.com/office/drawing/2014/main" id="{00000000-0008-0000-0600-00008F000000}"/>
            </a:ext>
          </a:extLst>
        </xdr:cNvPr>
        <xdr:cNvSpPr txBox="1">
          <a:spLocks noChangeArrowheads="1"/>
        </xdr:cNvSpPr>
      </xdr:nvSpPr>
      <xdr:spPr bwMode="auto">
        <a:xfrm>
          <a:off x="2560930" y="32077015"/>
          <a:ext cx="397303" cy="267162"/>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HF</a:t>
          </a:r>
        </a:p>
      </xdr:txBody>
    </xdr:sp>
    <xdr:clientData/>
  </xdr:twoCellAnchor>
  <xdr:twoCellAnchor editAs="absolute">
    <xdr:from>
      <xdr:col>1</xdr:col>
      <xdr:colOff>2129520</xdr:colOff>
      <xdr:row>11</xdr:row>
      <xdr:rowOff>1628682</xdr:rowOff>
    </xdr:from>
    <xdr:to>
      <xdr:col>1</xdr:col>
      <xdr:colOff>2523013</xdr:colOff>
      <xdr:row>11</xdr:row>
      <xdr:rowOff>1895844</xdr:rowOff>
    </xdr:to>
    <xdr:sp macro="" textlink="">
      <xdr:nvSpPr>
        <xdr:cNvPr id="150" name="Text Box 255">
          <a:extLst>
            <a:ext uri="{FF2B5EF4-FFF2-40B4-BE49-F238E27FC236}">
              <a16:creationId xmlns:a16="http://schemas.microsoft.com/office/drawing/2014/main" id="{00000000-0008-0000-0600-000096000000}"/>
            </a:ext>
          </a:extLst>
        </xdr:cNvPr>
        <xdr:cNvSpPr txBox="1">
          <a:spLocks noChangeArrowheads="1"/>
        </xdr:cNvSpPr>
      </xdr:nvSpPr>
      <xdr:spPr bwMode="auto">
        <a:xfrm>
          <a:off x="2837091" y="15124341"/>
          <a:ext cx="397303" cy="267162"/>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COMP</a:t>
          </a:r>
        </a:p>
      </xdr:txBody>
    </xdr:sp>
    <xdr:clientData/>
  </xdr:twoCellAnchor>
  <xdr:twoCellAnchor editAs="absolute">
    <xdr:from>
      <xdr:col>1</xdr:col>
      <xdr:colOff>1603739</xdr:colOff>
      <xdr:row>11</xdr:row>
      <xdr:rowOff>1628682</xdr:rowOff>
    </xdr:from>
    <xdr:to>
      <xdr:col>1</xdr:col>
      <xdr:colOff>2008662</xdr:colOff>
      <xdr:row>11</xdr:row>
      <xdr:rowOff>1895844</xdr:rowOff>
    </xdr:to>
    <xdr:sp macro="" textlink="">
      <xdr:nvSpPr>
        <xdr:cNvPr id="151" name="Text Box 255">
          <a:extLst>
            <a:ext uri="{FF2B5EF4-FFF2-40B4-BE49-F238E27FC236}">
              <a16:creationId xmlns:a16="http://schemas.microsoft.com/office/drawing/2014/main" id="{00000000-0008-0000-0600-000097000000}"/>
            </a:ext>
          </a:extLst>
        </xdr:cNvPr>
        <xdr:cNvSpPr txBox="1">
          <a:spLocks noChangeArrowheads="1"/>
        </xdr:cNvSpPr>
      </xdr:nvSpPr>
      <xdr:spPr bwMode="auto">
        <a:xfrm>
          <a:off x="2313215" y="15124341"/>
          <a:ext cx="397303" cy="267162"/>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COMP</a:t>
          </a:r>
        </a:p>
      </xdr:txBody>
    </xdr:sp>
    <xdr:clientData/>
  </xdr:twoCellAnchor>
  <xdr:twoCellAnchor editAs="absolute">
    <xdr:from>
      <xdr:col>1</xdr:col>
      <xdr:colOff>1861189</xdr:colOff>
      <xdr:row>11</xdr:row>
      <xdr:rowOff>1908716</xdr:rowOff>
    </xdr:from>
    <xdr:to>
      <xdr:col>1</xdr:col>
      <xdr:colOff>2250872</xdr:colOff>
      <xdr:row>11</xdr:row>
      <xdr:rowOff>2175878</xdr:rowOff>
    </xdr:to>
    <xdr:sp macro="" textlink="">
      <xdr:nvSpPr>
        <xdr:cNvPr id="152" name="Text Box 255">
          <a:extLst>
            <a:ext uri="{FF2B5EF4-FFF2-40B4-BE49-F238E27FC236}">
              <a16:creationId xmlns:a16="http://schemas.microsoft.com/office/drawing/2014/main" id="{00000000-0008-0000-0600-000098000000}"/>
            </a:ext>
          </a:extLst>
        </xdr:cNvPr>
        <xdr:cNvSpPr txBox="1">
          <a:spLocks noChangeArrowheads="1"/>
        </xdr:cNvSpPr>
      </xdr:nvSpPr>
      <xdr:spPr bwMode="auto">
        <a:xfrm>
          <a:off x="2564950" y="15410090"/>
          <a:ext cx="397303" cy="267162"/>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HF</a:t>
          </a:r>
        </a:p>
      </xdr:txBody>
    </xdr:sp>
    <xdr:clientData/>
  </xdr:twoCellAnchor>
  <xdr:twoCellAnchor editAs="absolute">
    <xdr:from>
      <xdr:col>1</xdr:col>
      <xdr:colOff>2126524</xdr:colOff>
      <xdr:row>7</xdr:row>
      <xdr:rowOff>1641470</xdr:rowOff>
    </xdr:from>
    <xdr:to>
      <xdr:col>1</xdr:col>
      <xdr:colOff>2518112</xdr:colOff>
      <xdr:row>7</xdr:row>
      <xdr:rowOff>1908632</xdr:rowOff>
    </xdr:to>
    <xdr:sp macro="" textlink="">
      <xdr:nvSpPr>
        <xdr:cNvPr id="158" name="Text Box 255">
          <a:extLst>
            <a:ext uri="{FF2B5EF4-FFF2-40B4-BE49-F238E27FC236}">
              <a16:creationId xmlns:a16="http://schemas.microsoft.com/office/drawing/2014/main" id="{00000000-0008-0000-0600-00009E000000}"/>
            </a:ext>
          </a:extLst>
        </xdr:cNvPr>
        <xdr:cNvSpPr txBox="1">
          <a:spLocks noChangeArrowheads="1"/>
        </xdr:cNvSpPr>
      </xdr:nvSpPr>
      <xdr:spPr bwMode="auto">
        <a:xfrm>
          <a:off x="2830285" y="6912427"/>
          <a:ext cx="397303" cy="267162"/>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COMP</a:t>
          </a:r>
        </a:p>
      </xdr:txBody>
    </xdr:sp>
    <xdr:clientData/>
  </xdr:twoCellAnchor>
  <xdr:twoCellAnchor editAs="absolute">
    <xdr:from>
      <xdr:col>1</xdr:col>
      <xdr:colOff>2121627</xdr:colOff>
      <xdr:row>16</xdr:row>
      <xdr:rowOff>1684364</xdr:rowOff>
    </xdr:from>
    <xdr:to>
      <xdr:col>1</xdr:col>
      <xdr:colOff>2513215</xdr:colOff>
      <xdr:row>16</xdr:row>
      <xdr:rowOff>1951526</xdr:rowOff>
    </xdr:to>
    <xdr:sp macro="" textlink="">
      <xdr:nvSpPr>
        <xdr:cNvPr id="161" name="Text Box 255">
          <a:extLst>
            <a:ext uri="{FF2B5EF4-FFF2-40B4-BE49-F238E27FC236}">
              <a16:creationId xmlns:a16="http://schemas.microsoft.com/office/drawing/2014/main" id="{00000000-0008-0000-0600-0000A1000000}"/>
            </a:ext>
          </a:extLst>
        </xdr:cNvPr>
        <xdr:cNvSpPr txBox="1">
          <a:spLocks noChangeArrowheads="1"/>
        </xdr:cNvSpPr>
      </xdr:nvSpPr>
      <xdr:spPr bwMode="auto">
        <a:xfrm>
          <a:off x="2823483" y="23587984"/>
          <a:ext cx="397303" cy="267162"/>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COMP</a:t>
          </a:r>
        </a:p>
      </xdr:txBody>
    </xdr:sp>
    <xdr:clientData/>
  </xdr:twoCellAnchor>
  <xdr:twoCellAnchor>
    <xdr:from>
      <xdr:col>1</xdr:col>
      <xdr:colOff>1850570</xdr:colOff>
      <xdr:row>11</xdr:row>
      <xdr:rowOff>1285875</xdr:rowOff>
    </xdr:from>
    <xdr:to>
      <xdr:col>1</xdr:col>
      <xdr:colOff>2195349</xdr:colOff>
      <xdr:row>11</xdr:row>
      <xdr:rowOff>1544092</xdr:rowOff>
    </xdr:to>
    <xdr:sp macro="" textlink="">
      <xdr:nvSpPr>
        <xdr:cNvPr id="163" name="Text Box 225">
          <a:extLst>
            <a:ext uri="{FF2B5EF4-FFF2-40B4-BE49-F238E27FC236}">
              <a16:creationId xmlns:a16="http://schemas.microsoft.com/office/drawing/2014/main" id="{00000000-0008-0000-0600-0000A3000000}"/>
            </a:ext>
          </a:extLst>
        </xdr:cNvPr>
        <xdr:cNvSpPr txBox="1">
          <a:spLocks noChangeArrowheads="1"/>
        </xdr:cNvSpPr>
      </xdr:nvSpPr>
      <xdr:spPr bwMode="auto">
        <a:xfrm>
          <a:off x="2558141" y="14702518"/>
          <a:ext cx="344779" cy="258217"/>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R</a:t>
          </a:r>
          <a:r>
            <a:rPr lang="en-US" sz="700" b="0" i="0" strike="noStrike" baseline="-25000">
              <a:solidFill>
                <a:srgbClr val="000000"/>
              </a:solidFill>
              <a:latin typeface="Arial" pitchFamily="34" charset="0"/>
              <a:cs typeface="Arial" pitchFamily="34" charset="0"/>
            </a:rPr>
            <a:t>FB</a:t>
          </a:r>
        </a:p>
      </xdr:txBody>
    </xdr:sp>
    <xdr:clientData/>
  </xdr:twoCellAnchor>
  <xdr:twoCellAnchor editAs="absolute">
    <xdr:from>
      <xdr:col>1</xdr:col>
      <xdr:colOff>1947765</xdr:colOff>
      <xdr:row>6</xdr:row>
      <xdr:rowOff>307971</xdr:rowOff>
    </xdr:from>
    <xdr:to>
      <xdr:col>1</xdr:col>
      <xdr:colOff>2352688</xdr:colOff>
      <xdr:row>7</xdr:row>
      <xdr:rowOff>217349</xdr:rowOff>
    </xdr:to>
    <xdr:sp macro="" textlink="">
      <xdr:nvSpPr>
        <xdr:cNvPr id="164" name="Text Box 255">
          <a:extLst>
            <a:ext uri="{FF2B5EF4-FFF2-40B4-BE49-F238E27FC236}">
              <a16:creationId xmlns:a16="http://schemas.microsoft.com/office/drawing/2014/main" id="{00000000-0008-0000-0600-0000A4000000}"/>
            </a:ext>
          </a:extLst>
        </xdr:cNvPr>
        <xdr:cNvSpPr txBox="1">
          <a:spLocks noChangeArrowheads="1"/>
        </xdr:cNvSpPr>
      </xdr:nvSpPr>
      <xdr:spPr bwMode="auto">
        <a:xfrm>
          <a:off x="2659146" y="5143500"/>
          <a:ext cx="397303" cy="333376"/>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L</a:t>
          </a:r>
          <a:r>
            <a:rPr lang="en-US" sz="700" b="0" i="0" strike="noStrike" baseline="-25000">
              <a:solidFill>
                <a:srgbClr val="000000"/>
              </a:solidFill>
              <a:latin typeface="Arial" pitchFamily="34" charset="0"/>
              <a:cs typeface="Arial" pitchFamily="34" charset="0"/>
            </a:rPr>
            <a:t>IN</a:t>
          </a:r>
        </a:p>
      </xdr:txBody>
    </xdr:sp>
    <xdr:clientData/>
  </xdr:twoCellAnchor>
  <xdr:twoCellAnchor editAs="absolute">
    <xdr:from>
      <xdr:col>1</xdr:col>
      <xdr:colOff>1945826</xdr:colOff>
      <xdr:row>10</xdr:row>
      <xdr:rowOff>26849</xdr:rowOff>
    </xdr:from>
    <xdr:to>
      <xdr:col>1</xdr:col>
      <xdr:colOff>2350749</xdr:colOff>
      <xdr:row>11</xdr:row>
      <xdr:rowOff>189319</xdr:rowOff>
    </xdr:to>
    <xdr:sp macro="" textlink="">
      <xdr:nvSpPr>
        <xdr:cNvPr id="166" name="Text Box 255">
          <a:extLst>
            <a:ext uri="{FF2B5EF4-FFF2-40B4-BE49-F238E27FC236}">
              <a16:creationId xmlns:a16="http://schemas.microsoft.com/office/drawing/2014/main" id="{00000000-0008-0000-0600-0000A6000000}"/>
            </a:ext>
          </a:extLst>
        </xdr:cNvPr>
        <xdr:cNvSpPr txBox="1">
          <a:spLocks noChangeArrowheads="1"/>
        </xdr:cNvSpPr>
      </xdr:nvSpPr>
      <xdr:spPr bwMode="auto">
        <a:xfrm>
          <a:off x="2653397" y="13355412"/>
          <a:ext cx="397303" cy="333376"/>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L</a:t>
          </a:r>
          <a:r>
            <a:rPr lang="en-US" sz="700" b="0" i="0" strike="noStrike" baseline="-25000">
              <a:solidFill>
                <a:srgbClr val="000000"/>
              </a:solidFill>
              <a:latin typeface="Arial" pitchFamily="34" charset="0"/>
              <a:cs typeface="Arial" pitchFamily="34" charset="0"/>
            </a:rPr>
            <a:t>IN</a:t>
          </a:r>
        </a:p>
      </xdr:txBody>
    </xdr:sp>
    <xdr:clientData/>
  </xdr:twoCellAnchor>
  <xdr:twoCellAnchor editAs="absolute">
    <xdr:from>
      <xdr:col>1</xdr:col>
      <xdr:colOff>1893344</xdr:colOff>
      <xdr:row>15</xdr:row>
      <xdr:rowOff>107884</xdr:rowOff>
    </xdr:from>
    <xdr:to>
      <xdr:col>1</xdr:col>
      <xdr:colOff>2283027</xdr:colOff>
      <xdr:row>16</xdr:row>
      <xdr:rowOff>254570</xdr:rowOff>
    </xdr:to>
    <xdr:sp macro="" textlink="">
      <xdr:nvSpPr>
        <xdr:cNvPr id="167" name="Text Box 255">
          <a:extLst>
            <a:ext uri="{FF2B5EF4-FFF2-40B4-BE49-F238E27FC236}">
              <a16:creationId xmlns:a16="http://schemas.microsoft.com/office/drawing/2014/main" id="{00000000-0008-0000-0600-0000A7000000}"/>
            </a:ext>
          </a:extLst>
        </xdr:cNvPr>
        <xdr:cNvSpPr txBox="1">
          <a:spLocks noChangeArrowheads="1"/>
        </xdr:cNvSpPr>
      </xdr:nvSpPr>
      <xdr:spPr bwMode="auto">
        <a:xfrm>
          <a:off x="2593295" y="21813384"/>
          <a:ext cx="397303" cy="333376"/>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L</a:t>
          </a:r>
          <a:r>
            <a:rPr lang="en-US" sz="700" b="0" i="0" strike="noStrike" baseline="-25000">
              <a:solidFill>
                <a:srgbClr val="000000"/>
              </a:solidFill>
              <a:latin typeface="Arial" pitchFamily="34" charset="0"/>
              <a:cs typeface="Arial" pitchFamily="34" charset="0"/>
            </a:rPr>
            <a:t>IN</a:t>
          </a:r>
        </a:p>
      </xdr:txBody>
    </xdr:sp>
    <xdr:clientData/>
  </xdr:twoCellAnchor>
  <xdr:twoCellAnchor editAs="absolute">
    <xdr:from>
      <xdr:col>1</xdr:col>
      <xdr:colOff>1873976</xdr:colOff>
      <xdr:row>19</xdr:row>
      <xdr:rowOff>80439</xdr:rowOff>
    </xdr:from>
    <xdr:to>
      <xdr:col>1</xdr:col>
      <xdr:colOff>2278899</xdr:colOff>
      <xdr:row>20</xdr:row>
      <xdr:rowOff>220320</xdr:rowOff>
    </xdr:to>
    <xdr:sp macro="" textlink="">
      <xdr:nvSpPr>
        <xdr:cNvPr id="168" name="Text Box 255">
          <a:extLst>
            <a:ext uri="{FF2B5EF4-FFF2-40B4-BE49-F238E27FC236}">
              <a16:creationId xmlns:a16="http://schemas.microsoft.com/office/drawing/2014/main" id="{00000000-0008-0000-0600-0000A8000000}"/>
            </a:ext>
          </a:extLst>
        </xdr:cNvPr>
        <xdr:cNvSpPr txBox="1">
          <a:spLocks noChangeArrowheads="1"/>
        </xdr:cNvSpPr>
      </xdr:nvSpPr>
      <xdr:spPr bwMode="auto">
        <a:xfrm>
          <a:off x="2585357" y="30017359"/>
          <a:ext cx="397303" cy="333376"/>
        </a:xfrm>
        <a:prstGeom prst="rect">
          <a:avLst/>
        </a:prstGeom>
        <a:noFill/>
        <a:ln w="9525">
          <a:noFill/>
          <a:miter lim="800000"/>
          <a:headEnd/>
          <a:tailEnd/>
        </a:ln>
      </xdr:spPr>
      <xdr:txBody>
        <a:bodyPr vertOverflow="clip" wrap="square" lIns="27432" tIns="27432" rIns="0" bIns="0" anchor="ctr" upright="1"/>
        <a:lstStyle/>
        <a:p>
          <a:pPr algn="ctr" rtl="0">
            <a:defRPr sz="1000"/>
          </a:pPr>
          <a:r>
            <a:rPr lang="en-US" sz="700" b="0" i="0" strike="noStrike">
              <a:solidFill>
                <a:srgbClr val="000000"/>
              </a:solidFill>
              <a:latin typeface="Arial" pitchFamily="34" charset="0"/>
              <a:cs typeface="Arial" pitchFamily="34" charset="0"/>
            </a:rPr>
            <a:t>L</a:t>
          </a:r>
          <a:r>
            <a:rPr lang="en-US" sz="700" b="0" i="0" strike="noStrike" baseline="-25000">
              <a:solidFill>
                <a:srgbClr val="000000"/>
              </a:solidFill>
              <a:latin typeface="Arial" pitchFamily="34" charset="0"/>
              <a:cs typeface="Arial" pitchFamily="34" charset="0"/>
            </a:rPr>
            <a:t>IN</a:t>
          </a:r>
        </a:p>
      </xdr:txBody>
    </xdr:sp>
    <xdr:clientData/>
  </xdr:twoCellAnchor>
  <xdr:twoCellAnchor editAs="absolute">
    <xdr:from>
      <xdr:col>1</xdr:col>
      <xdr:colOff>1603737</xdr:colOff>
      <xdr:row>20</xdr:row>
      <xdr:rowOff>1679279</xdr:rowOff>
    </xdr:from>
    <xdr:to>
      <xdr:col>1</xdr:col>
      <xdr:colOff>2008660</xdr:colOff>
      <xdr:row>20</xdr:row>
      <xdr:rowOff>1946441</xdr:rowOff>
    </xdr:to>
    <xdr:sp macro="" textlink="">
      <xdr:nvSpPr>
        <xdr:cNvPr id="169" name="Text Box 255">
          <a:extLst>
            <a:ext uri="{FF2B5EF4-FFF2-40B4-BE49-F238E27FC236}">
              <a16:creationId xmlns:a16="http://schemas.microsoft.com/office/drawing/2014/main" id="{00000000-0008-0000-0600-0000A9000000}"/>
            </a:ext>
          </a:extLst>
        </xdr:cNvPr>
        <xdr:cNvSpPr txBox="1">
          <a:spLocks noChangeArrowheads="1"/>
        </xdr:cNvSpPr>
      </xdr:nvSpPr>
      <xdr:spPr bwMode="auto">
        <a:xfrm>
          <a:off x="2313213" y="31813504"/>
          <a:ext cx="397303" cy="267162"/>
        </a:xfrm>
        <a:prstGeom prst="rect">
          <a:avLst/>
        </a:prstGeom>
        <a:noFill/>
        <a:ln w="9525">
          <a:noFill/>
          <a:miter lim="800000"/>
          <a:headEnd/>
          <a:tailEnd/>
        </a:ln>
      </xdr:spPr>
      <xdr:txBody>
        <a:bodyPr vertOverflow="clip" wrap="square" lIns="27432" tIns="27432" rIns="0" bIns="0" anchor="ctr" upright="1"/>
        <a:lstStyle/>
        <a:p>
          <a:pPr algn="ctr" rtl="0">
            <a:spcAft>
              <a:spcPts val="600"/>
            </a:spcAft>
            <a:defRPr sz="1000"/>
          </a:pPr>
          <a:r>
            <a:rPr lang="en-US" sz="700" b="0" i="0" strike="noStrike">
              <a:solidFill>
                <a:srgbClr val="000000"/>
              </a:solidFill>
              <a:latin typeface="Arial" pitchFamily="34" charset="0"/>
              <a:cs typeface="Arial" pitchFamily="34" charset="0"/>
            </a:rPr>
            <a:t>C</a:t>
          </a:r>
          <a:r>
            <a:rPr lang="en-US" sz="700" b="0" i="0" strike="noStrike" baseline="-25000">
              <a:solidFill>
                <a:srgbClr val="000000"/>
              </a:solidFill>
              <a:latin typeface="Arial" pitchFamily="34" charset="0"/>
              <a:cs typeface="Arial" pitchFamily="34" charset="0"/>
            </a:rPr>
            <a:t>COMP</a:t>
          </a:r>
        </a:p>
      </xdr:txBody>
    </xdr:sp>
    <xdr:clientData/>
  </xdr:twoCellAnchor>
  <xdr:twoCellAnchor editAs="oneCell">
    <xdr:from>
      <xdr:col>1</xdr:col>
      <xdr:colOff>0</xdr:colOff>
      <xdr:row>18</xdr:row>
      <xdr:rowOff>0</xdr:rowOff>
    </xdr:from>
    <xdr:to>
      <xdr:col>1</xdr:col>
      <xdr:colOff>6812280</xdr:colOff>
      <xdr:row>18</xdr:row>
      <xdr:rowOff>3940516</xdr:rowOff>
    </xdr:to>
    <xdr:pic>
      <xdr:nvPicPr>
        <xdr:cNvPr id="165" name="Picture 164">
          <a:extLst>
            <a:ext uri="{FF2B5EF4-FFF2-40B4-BE49-F238E27FC236}">
              <a16:creationId xmlns:a16="http://schemas.microsoft.com/office/drawing/2014/main" id="{00000000-0008-0000-0600-0000A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7571" y="26005971"/>
          <a:ext cx="6812280" cy="3940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xdr:row>
      <xdr:rowOff>0</xdr:rowOff>
    </xdr:from>
    <xdr:to>
      <xdr:col>1</xdr:col>
      <xdr:colOff>6812280</xdr:colOff>
      <xdr:row>14</xdr:row>
      <xdr:rowOff>10773</xdr:rowOff>
    </xdr:to>
    <xdr:pic>
      <xdr:nvPicPr>
        <xdr:cNvPr id="170" name="Picture 169">
          <a:extLst>
            <a:ext uri="{FF2B5EF4-FFF2-40B4-BE49-F238E27FC236}">
              <a16:creationId xmlns:a16="http://schemas.microsoft.com/office/drawing/2014/main" id="{00000000-0008-0000-0600-0000A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7571" y="17645743"/>
          <a:ext cx="6812280" cy="3940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9</xdr:row>
      <xdr:rowOff>0</xdr:rowOff>
    </xdr:from>
    <xdr:to>
      <xdr:col>1</xdr:col>
      <xdr:colOff>6812280</xdr:colOff>
      <xdr:row>9</xdr:row>
      <xdr:rowOff>3940516</xdr:rowOff>
    </xdr:to>
    <xdr:pic>
      <xdr:nvPicPr>
        <xdr:cNvPr id="171" name="Picture 170">
          <a:extLst>
            <a:ext uri="{FF2B5EF4-FFF2-40B4-BE49-F238E27FC236}">
              <a16:creationId xmlns:a16="http://schemas.microsoft.com/office/drawing/2014/main" id="{00000000-0008-0000-0600-0000A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07571" y="9405257"/>
          <a:ext cx="6812280" cy="3940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xdr:row>
      <xdr:rowOff>0</xdr:rowOff>
    </xdr:from>
    <xdr:to>
      <xdr:col>1</xdr:col>
      <xdr:colOff>6812280</xdr:colOff>
      <xdr:row>4</xdr:row>
      <xdr:rowOff>3940516</xdr:rowOff>
    </xdr:to>
    <xdr:pic>
      <xdr:nvPicPr>
        <xdr:cNvPr id="172" name="Picture 171">
          <a:extLst>
            <a:ext uri="{FF2B5EF4-FFF2-40B4-BE49-F238E27FC236}">
              <a16:creationId xmlns:a16="http://schemas.microsoft.com/office/drawing/2014/main" id="{00000000-0008-0000-0600-0000AC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07571" y="740229"/>
          <a:ext cx="6812280" cy="39405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8</xdr:col>
      <xdr:colOff>569071</xdr:colOff>
      <xdr:row>17</xdr:row>
      <xdr:rowOff>102345</xdr:rowOff>
    </xdr:from>
    <xdr:to>
      <xdr:col>21</xdr:col>
      <xdr:colOff>976592</xdr:colOff>
      <xdr:row>46</xdr:row>
      <xdr:rowOff>45196</xdr:rowOff>
    </xdr:to>
    <xdr:graphicFrame macro="">
      <xdr:nvGraphicFramePr>
        <xdr:cNvPr id="2" name="Chart 1029">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579743</xdr:colOff>
      <xdr:row>17</xdr:row>
      <xdr:rowOff>114617</xdr:rowOff>
    </xdr:from>
    <xdr:to>
      <xdr:col>21</xdr:col>
      <xdr:colOff>987264</xdr:colOff>
      <xdr:row>46</xdr:row>
      <xdr:rowOff>63872</xdr:rowOff>
    </xdr:to>
    <xdr:graphicFrame macro="">
      <xdr:nvGraphicFramePr>
        <xdr:cNvPr id="3" name="Chart 1029">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absolute">
    <xdr:from>
      <xdr:col>1</xdr:col>
      <xdr:colOff>19050</xdr:colOff>
      <xdr:row>4</xdr:row>
      <xdr:rowOff>38100</xdr:rowOff>
    </xdr:from>
    <xdr:to>
      <xdr:col>1</xdr:col>
      <xdr:colOff>8614410</xdr:colOff>
      <xdr:row>4</xdr:row>
      <xdr:rowOff>5158740</xdr:rowOff>
    </xdr:to>
    <xdr:graphicFrame macro="">
      <xdr:nvGraphicFramePr>
        <xdr:cNvPr id="163" name="Chart 12">
          <a:extLst>
            <a:ext uri="{FF2B5EF4-FFF2-40B4-BE49-F238E27FC236}">
              <a16:creationId xmlns:a16="http://schemas.microsoft.com/office/drawing/2014/main" id="{00000000-0008-0000-08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19050</xdr:colOff>
      <xdr:row>7</xdr:row>
      <xdr:rowOff>47625</xdr:rowOff>
    </xdr:from>
    <xdr:to>
      <xdr:col>1</xdr:col>
      <xdr:colOff>8614410</xdr:colOff>
      <xdr:row>7</xdr:row>
      <xdr:rowOff>5168265</xdr:rowOff>
    </xdr:to>
    <xdr:graphicFrame macro="">
      <xdr:nvGraphicFramePr>
        <xdr:cNvPr id="164" name="Chart 12">
          <a:extLst>
            <a:ext uri="{FF2B5EF4-FFF2-40B4-BE49-F238E27FC236}">
              <a16:creationId xmlns:a16="http://schemas.microsoft.com/office/drawing/2014/main" id="{00000000-0008-0000-08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0.08469</cdr:x>
      <cdr:y>0.61907</cdr:y>
    </cdr:from>
    <cdr:to>
      <cdr:x>0.9187</cdr:x>
      <cdr:y>0.62078</cdr:y>
    </cdr:to>
    <cdr:sp macro="" textlink="">
      <cdr:nvSpPr>
        <cdr:cNvPr id="8195" name="Line 3"/>
        <cdr:cNvSpPr>
          <a:spLocks xmlns:a="http://schemas.openxmlformats.org/drawingml/2006/main" noChangeShapeType="1"/>
        </cdr:cNvSpPr>
      </cdr:nvSpPr>
      <cdr:spPr bwMode="auto">
        <a:xfrm xmlns:a="http://schemas.openxmlformats.org/drawingml/2006/main">
          <a:off x="766339" y="3331338"/>
          <a:ext cx="7546748" cy="9202"/>
        </a:xfrm>
        <a:prstGeom xmlns:a="http://schemas.openxmlformats.org/drawingml/2006/main" prst="line">
          <a:avLst/>
        </a:prstGeom>
        <a:noFill xmlns:a="http://schemas.openxmlformats.org/drawingml/2006/main"/>
        <a:ln xmlns:a="http://schemas.openxmlformats.org/drawingml/2006/main" w="19050">
          <a:solidFill>
            <a:srgbClr val="000000"/>
          </a:solidFill>
          <a:round/>
          <a:headEnd/>
          <a:tailEnd/>
        </a:ln>
      </cdr:spPr>
      <cdr:txBody>
        <a:bodyPr xmlns:a="http://schemas.openxmlformats.org/drawingml/2006/main"/>
        <a:lstStyle xmlns:a="http://schemas.openxmlformats.org/drawingml/2006/main"/>
        <a:p xmlns:a="http://schemas.openxmlformats.org/drawingml/2006/main">
          <a:endParaRPr lang="en-US"/>
        </a:p>
      </cdr:txBody>
    </cdr:sp>
  </cdr:relSizeAnchor>
  <cdr:relSizeAnchor xmlns:cdr="http://schemas.openxmlformats.org/drawingml/2006/chartDrawing">
    <cdr:from>
      <cdr:x>0.92497</cdr:x>
      <cdr:y>0.41585</cdr:y>
    </cdr:from>
    <cdr:to>
      <cdr:x>0.9716</cdr:x>
      <cdr:y>0.47175</cdr:y>
    </cdr:to>
    <cdr:sp macro="" textlink="'Variable Management'!$B$425">
      <cdr:nvSpPr>
        <cdr:cNvPr id="3" name="Text Box 24"/>
        <cdr:cNvSpPr txBox="1">
          <a:spLocks xmlns:a="http://schemas.openxmlformats.org/drawingml/2006/main" noChangeArrowheads="1" noTextEdit="1"/>
        </cdr:cNvSpPr>
      </cdr:nvSpPr>
      <cdr:spPr bwMode="auto">
        <a:xfrm xmlns:a="http://schemas.openxmlformats.org/drawingml/2006/main">
          <a:off x="8369846" y="2237779"/>
          <a:ext cx="421943" cy="300807"/>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square" lIns="27432" tIns="22860" rIns="0" bIns="22860" anchor="ctr" upright="1"/>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algn="l" rtl="0">
            <a:defRPr sz="1000"/>
          </a:pPr>
          <a:fld id="{BB1BCF51-C5DA-4454-8307-018A0FF9C118}" type="TxLink">
            <a:rPr lang="en-US" sz="900" b="0" i="0" u="none" strike="noStrike" baseline="0">
              <a:solidFill>
                <a:srgbClr val="000000"/>
              </a:solidFill>
              <a:latin typeface="Arial" pitchFamily="34" charset="0"/>
              <a:cs typeface="Arial" pitchFamily="34" charset="0"/>
            </a:rPr>
            <a:pPr algn="l" rtl="0">
              <a:defRPr sz="1000"/>
            </a:pPr>
            <a:t>70°</a:t>
          </a:fld>
          <a:endParaRPr lang="en-US" sz="900" b="1" i="0" u="none" strike="noStrike" baseline="0">
            <a:solidFill>
              <a:srgbClr val="000000"/>
            </a:solidFill>
            <a:latin typeface="Arial" pitchFamily="34" charset="0"/>
            <a:cs typeface="Arial" pitchFamily="34" charset="0"/>
          </a:endParaRPr>
        </a:p>
      </cdr:txBody>
    </cdr:sp>
  </cdr:relSizeAnchor>
</c:userShapes>
</file>

<file path=xl/drawings/drawing11.xml><?xml version="1.0" encoding="utf-8"?>
<xdr:wsDr xmlns:xdr="http://schemas.openxmlformats.org/drawingml/2006/spreadsheetDrawing" xmlns:a="http://schemas.openxmlformats.org/drawingml/2006/main">
  <xdr:twoCellAnchor>
    <xdr:from>
      <xdr:col>31</xdr:col>
      <xdr:colOff>238125</xdr:colOff>
      <xdr:row>46</xdr:row>
      <xdr:rowOff>95250</xdr:rowOff>
    </xdr:from>
    <xdr:to>
      <xdr:col>42</xdr:col>
      <xdr:colOff>200025</xdr:colOff>
      <xdr:row>75</xdr:row>
      <xdr:rowOff>114300</xdr:rowOff>
    </xdr:to>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209550</xdr:colOff>
      <xdr:row>9</xdr:row>
      <xdr:rowOff>123825</xdr:rowOff>
    </xdr:from>
    <xdr:to>
      <xdr:col>41</xdr:col>
      <xdr:colOff>152400</xdr:colOff>
      <xdr:row>38</xdr:row>
      <xdr:rowOff>152400</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200025</xdr:colOff>
      <xdr:row>9</xdr:row>
      <xdr:rowOff>117232</xdr:rowOff>
    </xdr:from>
    <xdr:to>
      <xdr:col>29</xdr:col>
      <xdr:colOff>632312</xdr:colOff>
      <xdr:row>38</xdr:row>
      <xdr:rowOff>145807</xdr:rowOff>
    </xdr:to>
    <xdr:graphicFrame macro="">
      <xdr:nvGraphicFramePr>
        <xdr:cNvPr id="4" name="Chart 4">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628650</xdr:colOff>
      <xdr:row>2</xdr:row>
      <xdr:rowOff>152400</xdr:rowOff>
    </xdr:from>
    <xdr:to>
      <xdr:col>13</xdr:col>
      <xdr:colOff>336218</xdr:colOff>
      <xdr:row>4</xdr:row>
      <xdr:rowOff>57150</xdr:rowOff>
    </xdr:to>
    <xdr:sp macro="" textlink="'Variable Management'!$B$428">
      <xdr:nvSpPr>
        <xdr:cNvPr id="5" name="Text Box 24">
          <a:extLst>
            <a:ext uri="{FF2B5EF4-FFF2-40B4-BE49-F238E27FC236}">
              <a16:creationId xmlns:a16="http://schemas.microsoft.com/office/drawing/2014/main" id="{00000000-0008-0000-0900-000005000000}"/>
            </a:ext>
          </a:extLst>
        </xdr:cNvPr>
        <xdr:cNvSpPr txBox="1">
          <a:spLocks noChangeArrowheads="1" noTextEdit="1"/>
        </xdr:cNvSpPr>
      </xdr:nvSpPr>
      <xdr:spPr bwMode="auto">
        <a:xfrm>
          <a:off x="12392025" y="476250"/>
          <a:ext cx="421943" cy="228600"/>
        </a:xfrm>
        <a:prstGeom prst="rect">
          <a:avLst/>
        </a:prstGeom>
        <a:noFill/>
        <a:ln w="9525">
          <a:noFill/>
          <a:miter lim="800000"/>
          <a:headEnd/>
          <a:tailEnd/>
        </a:ln>
      </xdr:spPr>
      <xdr:txBody>
        <a:bodyPr wrap="square" lIns="27432" tIns="22860" rIns="0" bIns="22860" anchor="b"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fld id="{1F0AFB1C-0795-4024-9821-D34D86340D40}" type="TxLink">
            <a:rPr lang="en-US" sz="1000" b="0" i="0" u="none" strike="noStrike" baseline="0">
              <a:solidFill>
                <a:srgbClr val="000000"/>
              </a:solidFill>
              <a:latin typeface="Arial"/>
              <a:cs typeface="Arial"/>
            </a:rPr>
            <a:pPr algn="l" rtl="0">
              <a:defRPr sz="1000"/>
            </a:pPr>
            <a:t>88.2%</a:t>
          </a:fld>
          <a:endParaRPr lang="en-US" sz="900" b="1" i="0" u="none" strike="noStrike" baseline="0">
            <a:solidFill>
              <a:srgbClr val="000000"/>
            </a:solidFill>
            <a:latin typeface="Arial" pitchFamily="34" charset="0"/>
            <a:cs typeface="Arial" pitchFamily="34" charset="0"/>
          </a:endParaRPr>
        </a:p>
      </xdr:txBody>
    </xdr:sp>
    <xdr:clientData/>
  </xdr:twoCellAnchor>
  <xdr:twoCellAnchor>
    <xdr:from>
      <xdr:col>12</xdr:col>
      <xdr:colOff>30480</xdr:colOff>
      <xdr:row>1</xdr:row>
      <xdr:rowOff>95250</xdr:rowOff>
    </xdr:from>
    <xdr:to>
      <xdr:col>12</xdr:col>
      <xdr:colOff>452423</xdr:colOff>
      <xdr:row>3</xdr:row>
      <xdr:rowOff>0</xdr:rowOff>
    </xdr:to>
    <xdr:sp macro="" textlink="'Variable Management'!$B$429">
      <xdr:nvSpPr>
        <xdr:cNvPr id="6" name="Text Box 24">
          <a:extLst>
            <a:ext uri="{FF2B5EF4-FFF2-40B4-BE49-F238E27FC236}">
              <a16:creationId xmlns:a16="http://schemas.microsoft.com/office/drawing/2014/main" id="{00000000-0008-0000-0900-000006000000}"/>
            </a:ext>
          </a:extLst>
        </xdr:cNvPr>
        <xdr:cNvSpPr txBox="1">
          <a:spLocks noChangeArrowheads="1" noTextEdit="1"/>
        </xdr:cNvSpPr>
      </xdr:nvSpPr>
      <xdr:spPr bwMode="auto">
        <a:xfrm>
          <a:off x="11793855" y="257175"/>
          <a:ext cx="421943" cy="228600"/>
        </a:xfrm>
        <a:prstGeom prst="rect">
          <a:avLst/>
        </a:prstGeom>
        <a:noFill/>
        <a:ln w="9525">
          <a:noFill/>
          <a:miter lim="800000"/>
          <a:headEnd/>
          <a:tailEnd/>
        </a:ln>
      </xdr:spPr>
      <xdr:txBody>
        <a:bodyPr wrap="square" lIns="27432" tIns="22860" rIns="0" bIns="22860" anchor="b"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rtl="0">
            <a:defRPr sz="1000"/>
          </a:pPr>
          <a:fld id="{17D4567B-D519-4FF8-A1F3-102CF08055AD}" type="TxLink">
            <a:rPr lang="en-US" sz="1000" b="0" i="0" u="none" strike="noStrike" baseline="0">
              <a:solidFill>
                <a:srgbClr val="000000"/>
              </a:solidFill>
              <a:latin typeface="Arial"/>
              <a:cs typeface="Arial"/>
            </a:rPr>
            <a:pPr algn="l" rtl="0">
              <a:defRPr sz="1000"/>
            </a:pPr>
            <a:t>86.9%</a:t>
          </a:fld>
          <a:endParaRPr lang="en-US" sz="900" b="1" i="0" u="none" strike="noStrike" baseline="0">
            <a:solidFill>
              <a:srgbClr val="000000"/>
            </a:solidFill>
            <a:latin typeface="Arial" pitchFamily="34" charset="0"/>
            <a:cs typeface="Arial"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4</xdr:row>
      <xdr:rowOff>12700</xdr:rowOff>
    </xdr:from>
    <xdr:to>
      <xdr:col>1</xdr:col>
      <xdr:colOff>8124825</xdr:colOff>
      <xdr:row>4</xdr:row>
      <xdr:rowOff>5165725</xdr:rowOff>
    </xdr:to>
    <xdr:graphicFrame macro="">
      <xdr:nvGraphicFramePr>
        <xdr:cNvPr id="8" name="Chart 253">
          <a:extLst>
            <a:ext uri="{FF2B5EF4-FFF2-40B4-BE49-F238E27FC236}">
              <a16:creationId xmlns:a16="http://schemas.microsoft.com/office/drawing/2014/main" id="{00000000-0008-0000-0A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6</xdr:row>
      <xdr:rowOff>0</xdr:rowOff>
    </xdr:from>
    <xdr:to>
      <xdr:col>1</xdr:col>
      <xdr:colOff>8124825</xdr:colOff>
      <xdr:row>6</xdr:row>
      <xdr:rowOff>5153025</xdr:rowOff>
    </xdr:to>
    <xdr:graphicFrame macro="">
      <xdr:nvGraphicFramePr>
        <xdr:cNvPr id="6" name="Chart 253">
          <a:extLst>
            <a:ext uri="{FF2B5EF4-FFF2-40B4-BE49-F238E27FC236}">
              <a16:creationId xmlns:a16="http://schemas.microsoft.com/office/drawing/2014/main" id="{00000000-0008-0000-0A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bwMode="auto">
        <a:noFill/>
        <a:ln w="9525">
          <a:noFill/>
          <a:miter lim="800000"/>
          <a:headEnd/>
          <a:tailEnd/>
        </a:ln>
      </a:spPr>
      <a:bodyPr vertOverflow="clip" wrap="square" lIns="27432" tIns="27432" rIns="0" bIns="0" anchor="t" upright="1"/>
      <a:lstStyle>
        <a:defPPr algn="l" rtl="0">
          <a:defRPr sz="1100" b="0" i="0" strike="noStrike">
            <a:solidFill>
              <a:srgbClr val="000000"/>
            </a:solidFill>
            <a:latin typeface="Calibri"/>
          </a:defRPr>
        </a:defPPr>
      </a:lst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13" Type="http://schemas.openxmlformats.org/officeDocument/2006/relationships/ctrlProp" Target="../ctrlProps/ctrlProp7.xml"/><Relationship Id="rId18" Type="http://schemas.openxmlformats.org/officeDocument/2006/relationships/comments" Target="../comments1.xml"/><Relationship Id="rId3" Type="http://schemas.openxmlformats.org/officeDocument/2006/relationships/printerSettings" Target="../printerSettings/printerSettings1.bin"/><Relationship Id="rId7" Type="http://schemas.openxmlformats.org/officeDocument/2006/relationships/ctrlProp" Target="../ctrlProps/ctrlProp1.xml"/><Relationship Id="rId12" Type="http://schemas.openxmlformats.org/officeDocument/2006/relationships/ctrlProp" Target="../ctrlProps/ctrlProp6.xml"/><Relationship Id="rId17" Type="http://schemas.openxmlformats.org/officeDocument/2006/relationships/ctrlProp" Target="../ctrlProps/ctrlProp11.xml"/><Relationship Id="rId2" Type="http://schemas.openxmlformats.org/officeDocument/2006/relationships/hyperlink" Target="http://www.ti.com/pol" TargetMode="External"/><Relationship Id="rId16" Type="http://schemas.openxmlformats.org/officeDocument/2006/relationships/ctrlProp" Target="../ctrlProps/ctrlProp10.xml"/><Relationship Id="rId1" Type="http://schemas.openxmlformats.org/officeDocument/2006/relationships/hyperlink" Target="http://www.ti.com/product/lm5175" TargetMode="External"/><Relationship Id="rId6" Type="http://schemas.openxmlformats.org/officeDocument/2006/relationships/vmlDrawing" Target="../drawings/vmlDrawing2.vml"/><Relationship Id="rId11" Type="http://schemas.openxmlformats.org/officeDocument/2006/relationships/ctrlProp" Target="../ctrlProps/ctrlProp5.xml"/><Relationship Id="rId5" Type="http://schemas.openxmlformats.org/officeDocument/2006/relationships/vmlDrawing" Target="../drawings/vmlDrawing1.vml"/><Relationship Id="rId15" Type="http://schemas.openxmlformats.org/officeDocument/2006/relationships/ctrlProp" Target="../ctrlProps/ctrlProp9.xml"/><Relationship Id="rId10" Type="http://schemas.openxmlformats.org/officeDocument/2006/relationships/ctrlProp" Target="../ctrlProps/ctrlProp4.xml"/><Relationship Id="rId4" Type="http://schemas.openxmlformats.org/officeDocument/2006/relationships/drawing" Target="../drawings/drawing1.xml"/><Relationship Id="rId9" Type="http://schemas.openxmlformats.org/officeDocument/2006/relationships/ctrlProp" Target="../ctrlProps/ctrlProp3.xml"/><Relationship Id="rId14" Type="http://schemas.openxmlformats.org/officeDocument/2006/relationships/ctrlProp" Target="../ctrlProps/ctrlProp8.xml"/></Relationships>
</file>

<file path=xl/worksheets/_rels/sheet2.xml.rels><?xml version="1.0" encoding="UTF-8" standalone="yes"?>
<Relationships xmlns="http://schemas.openxmlformats.org/package/2006/relationships"><Relationship Id="rId8" Type="http://schemas.openxmlformats.org/officeDocument/2006/relationships/package" Target="../embeddings/Microsoft_Visio_Drawing.vsdx"/><Relationship Id="rId3" Type="http://schemas.openxmlformats.org/officeDocument/2006/relationships/printerSettings" Target="../printerSettings/printerSettings2.bin"/><Relationship Id="rId7" Type="http://schemas.openxmlformats.org/officeDocument/2006/relationships/image" Target="../media/image11.emf"/><Relationship Id="rId2" Type="http://schemas.openxmlformats.org/officeDocument/2006/relationships/hyperlink" Target="http://www.ti.com/pol" TargetMode="External"/><Relationship Id="rId1" Type="http://schemas.openxmlformats.org/officeDocument/2006/relationships/hyperlink" Target="http://www.ti.com/product/lm5175" TargetMode="External"/><Relationship Id="rId6" Type="http://schemas.openxmlformats.org/officeDocument/2006/relationships/oleObject" Target="../embeddings/Microsoft_Visio_2003-2010_Drawing.vsd"/><Relationship Id="rId5" Type="http://schemas.openxmlformats.org/officeDocument/2006/relationships/vmlDrawing" Target="../drawings/vmlDrawing3.vml"/><Relationship Id="rId10" Type="http://schemas.openxmlformats.org/officeDocument/2006/relationships/comments" Target="../comments2.xml"/><Relationship Id="rId4" Type="http://schemas.openxmlformats.org/officeDocument/2006/relationships/drawing" Target="../drawings/drawing2.xml"/><Relationship Id="rId9" Type="http://schemas.openxmlformats.org/officeDocument/2006/relationships/image" Target="../media/image12.emf"/></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www.ti.com/pol" TargetMode="External"/><Relationship Id="rId1" Type="http://schemas.openxmlformats.org/officeDocument/2006/relationships/hyperlink" Target="http://www.ti.com/product/lm5175" TargetMode="External"/><Relationship Id="rId6" Type="http://schemas.openxmlformats.org/officeDocument/2006/relationships/comments" Target="../comments3.xml"/><Relationship Id="rId5" Type="http://schemas.openxmlformats.org/officeDocument/2006/relationships/vmlDrawing" Target="../drawings/vmlDrawing4.v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package" Target="../embeddings/Microsoft_Visio_Drawing3.vsdx"/><Relationship Id="rId13" Type="http://schemas.openxmlformats.org/officeDocument/2006/relationships/image" Target="../media/image21.emf"/><Relationship Id="rId3" Type="http://schemas.openxmlformats.org/officeDocument/2006/relationships/vmlDrawing" Target="../drawings/vmlDrawing6.vml"/><Relationship Id="rId7" Type="http://schemas.openxmlformats.org/officeDocument/2006/relationships/image" Target="../media/image18.emf"/><Relationship Id="rId12" Type="http://schemas.openxmlformats.org/officeDocument/2006/relationships/package" Target="../embeddings/Microsoft_Visio_Drawing5.vsdx"/><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package" Target="../embeddings/Microsoft_Visio_Drawing2.vsdx"/><Relationship Id="rId11" Type="http://schemas.openxmlformats.org/officeDocument/2006/relationships/image" Target="../media/image20.emf"/><Relationship Id="rId5" Type="http://schemas.openxmlformats.org/officeDocument/2006/relationships/image" Target="../media/image17.emf"/><Relationship Id="rId15" Type="http://schemas.openxmlformats.org/officeDocument/2006/relationships/image" Target="../media/image22.emf"/><Relationship Id="rId10" Type="http://schemas.openxmlformats.org/officeDocument/2006/relationships/package" Target="../embeddings/Microsoft_Visio_Drawing4.vsdx"/><Relationship Id="rId4" Type="http://schemas.openxmlformats.org/officeDocument/2006/relationships/package" Target="../embeddings/Microsoft_Visio_Drawing1.vsdx"/><Relationship Id="rId9" Type="http://schemas.openxmlformats.org/officeDocument/2006/relationships/image" Target="../media/image19.emf"/><Relationship Id="rId14" Type="http://schemas.openxmlformats.org/officeDocument/2006/relationships/package" Target="../embeddings/Microsoft_Visio_Drawing6.vsdx"/></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7.vml"/><Relationship Id="rId7" Type="http://schemas.openxmlformats.org/officeDocument/2006/relationships/ctrlProp" Target="../ctrlProps/ctrlProp15.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4.xml"/><Relationship Id="rId5" Type="http://schemas.openxmlformats.org/officeDocument/2006/relationships/ctrlProp" Target="../ctrlProps/ctrlProp13.xml"/><Relationship Id="rId4" Type="http://schemas.openxmlformats.org/officeDocument/2006/relationships/ctrlProp" Target="../ctrlProps/ctrlProp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pageSetUpPr fitToPage="1"/>
  </sheetPr>
  <dimension ref="A1:AH454"/>
  <sheetViews>
    <sheetView tabSelected="1" zoomScaleNormal="100" zoomScaleSheetLayoutView="100" workbookViewId="0">
      <selection activeCell="E18" sqref="E18"/>
    </sheetView>
  </sheetViews>
  <sheetFormatPr defaultColWidth="9.140625" defaultRowHeight="12.75" x14ac:dyDescent="0.2"/>
  <cols>
    <col min="1" max="1" width="8.28515625" style="187" customWidth="1"/>
    <col min="2" max="2" width="8.28515625" style="79" customWidth="1"/>
    <col min="3" max="3" width="13.5703125" style="79" customWidth="1"/>
    <col min="4" max="4" width="8.28515625" style="79" customWidth="1"/>
    <col min="5" max="5" width="8.5703125" style="79" customWidth="1"/>
    <col min="6" max="6" width="7.5703125" style="79" customWidth="1"/>
    <col min="7" max="7" width="14" style="79" customWidth="1"/>
    <col min="8" max="8" width="6.5703125" style="79" customWidth="1"/>
    <col min="9" max="9" width="6.7109375" style="79" customWidth="1"/>
    <col min="10" max="10" width="7.5703125" style="79" customWidth="1"/>
    <col min="11" max="11" width="12.42578125" style="79" bestFit="1" customWidth="1"/>
    <col min="12" max="14" width="9.140625" style="79"/>
    <col min="15" max="15" width="10.140625" style="79" customWidth="1"/>
    <col min="16" max="16" width="89" style="79" customWidth="1"/>
    <col min="17" max="17" width="3.140625" style="79" customWidth="1"/>
    <col min="18" max="18" width="10" style="79" bestFit="1" customWidth="1"/>
    <col min="19" max="16384" width="9.140625" style="79"/>
  </cols>
  <sheetData>
    <row r="1" spans="1:17" ht="47.25" customHeight="1" x14ac:dyDescent="0.2">
      <c r="A1" s="787" t="s">
        <v>919</v>
      </c>
      <c r="B1" s="788"/>
      <c r="C1" s="788"/>
      <c r="D1" s="788"/>
      <c r="E1" s="788"/>
      <c r="F1" s="788"/>
      <c r="G1" s="788"/>
      <c r="H1" s="788"/>
      <c r="I1" s="788"/>
      <c r="J1" s="788"/>
      <c r="K1" s="788"/>
      <c r="L1" s="788"/>
      <c r="M1" s="788"/>
      <c r="N1" s="788"/>
      <c r="O1" s="788"/>
      <c r="P1" s="788"/>
      <c r="Q1" s="484"/>
    </row>
    <row r="2" spans="1:17" ht="14.1" customHeight="1" x14ac:dyDescent="0.45">
      <c r="A2" s="487"/>
      <c r="B2" s="488"/>
      <c r="C2" s="488"/>
      <c r="D2" s="488"/>
      <c r="E2" s="488"/>
      <c r="F2" s="488"/>
      <c r="G2" s="488"/>
      <c r="H2" s="488"/>
      <c r="I2" s="488"/>
      <c r="J2" s="488"/>
      <c r="K2" s="488"/>
      <c r="L2" s="488"/>
      <c r="M2" s="488"/>
      <c r="N2" s="502" t="s">
        <v>585</v>
      </c>
      <c r="O2" s="488"/>
      <c r="P2" s="488"/>
      <c r="Q2" s="484"/>
    </row>
    <row r="3" spans="1:17" ht="16.149999999999999" customHeight="1" x14ac:dyDescent="0.45">
      <c r="A3" s="489" t="s">
        <v>232</v>
      </c>
      <c r="B3" s="490"/>
      <c r="C3" s="501" t="s">
        <v>233</v>
      </c>
      <c r="D3" s="491"/>
      <c r="E3" s="119"/>
      <c r="F3" s="495" t="s">
        <v>145</v>
      </c>
      <c r="G3" s="496"/>
      <c r="H3" s="488"/>
      <c r="I3" s="496"/>
      <c r="J3" s="497"/>
      <c r="K3" s="498"/>
      <c r="L3" s="484"/>
      <c r="M3" s="484"/>
      <c r="N3" s="786" t="s">
        <v>51</v>
      </c>
      <c r="O3" s="786"/>
      <c r="P3" s="484" t="s">
        <v>165</v>
      </c>
      <c r="Q3" s="484"/>
    </row>
    <row r="4" spans="1:17" ht="13.5" customHeight="1" thickBot="1" x14ac:dyDescent="0.35">
      <c r="A4" s="492"/>
      <c r="B4" s="493"/>
      <c r="C4" s="494"/>
      <c r="D4" s="494"/>
      <c r="E4" s="494"/>
      <c r="F4" s="494"/>
      <c r="G4" s="494"/>
      <c r="H4" s="494"/>
      <c r="I4" s="494"/>
      <c r="J4" s="494"/>
      <c r="K4" s="494"/>
      <c r="L4" s="499"/>
      <c r="M4" s="499"/>
      <c r="N4" s="499"/>
      <c r="O4" s="499"/>
      <c r="P4" s="500"/>
      <c r="Q4" s="484"/>
    </row>
    <row r="5" spans="1:17" ht="20.100000000000001" customHeight="1" thickBot="1" x14ac:dyDescent="0.35">
      <c r="A5" s="182" t="s">
        <v>222</v>
      </c>
      <c r="B5" s="118"/>
      <c r="C5" s="80"/>
      <c r="D5" s="80"/>
      <c r="E5" s="82"/>
      <c r="F5" s="80"/>
      <c r="G5" s="107"/>
      <c r="H5" s="83"/>
      <c r="I5" s="83"/>
      <c r="J5" s="83"/>
      <c r="K5" s="83"/>
      <c r="L5" s="83"/>
      <c r="M5" s="83"/>
      <c r="N5" s="83"/>
      <c r="O5" s="83"/>
      <c r="P5" s="106"/>
      <c r="Q5" s="484"/>
    </row>
    <row r="6" spans="1:17" ht="15.75" customHeight="1" x14ac:dyDescent="0.2">
      <c r="A6" s="261"/>
      <c r="B6" s="613"/>
      <c r="C6" s="614"/>
      <c r="D6" s="615" t="s">
        <v>690</v>
      </c>
      <c r="E6" s="616">
        <v>10</v>
      </c>
      <c r="F6" s="617" t="s">
        <v>0</v>
      </c>
      <c r="G6" s="129"/>
      <c r="H6" s="127"/>
      <c r="I6" s="83"/>
      <c r="J6" s="83"/>
      <c r="K6" s="83"/>
      <c r="L6" s="83"/>
      <c r="M6" s="83"/>
      <c r="N6" s="83"/>
      <c r="O6" s="83"/>
      <c r="P6" s="106"/>
      <c r="Q6" s="484"/>
    </row>
    <row r="7" spans="1:17" ht="13.5" customHeight="1" x14ac:dyDescent="0.2">
      <c r="A7" s="254"/>
      <c r="B7" s="253"/>
      <c r="C7" s="255"/>
      <c r="D7" s="265" t="s">
        <v>691</v>
      </c>
      <c r="E7" s="266">
        <v>12</v>
      </c>
      <c r="F7" s="278" t="s">
        <v>0</v>
      </c>
      <c r="G7" s="129"/>
      <c r="H7" s="127"/>
      <c r="I7" s="83"/>
      <c r="J7" s="83"/>
      <c r="K7" s="83"/>
      <c r="L7" s="83"/>
      <c r="M7" s="83"/>
      <c r="N7" s="83"/>
      <c r="O7" s="83"/>
      <c r="P7" s="106"/>
      <c r="Q7" s="484"/>
    </row>
    <row r="8" spans="1:17" ht="13.5" customHeight="1" x14ac:dyDescent="0.2">
      <c r="A8" s="254"/>
      <c r="B8" s="253"/>
      <c r="C8" s="255"/>
      <c r="D8" s="265" t="s">
        <v>692</v>
      </c>
      <c r="E8" s="266">
        <v>18</v>
      </c>
      <c r="F8" s="267" t="s">
        <v>0</v>
      </c>
      <c r="G8" s="129"/>
      <c r="H8" s="127"/>
      <c r="I8" s="83"/>
      <c r="J8" s="83"/>
      <c r="K8" s="83"/>
      <c r="L8" s="83"/>
      <c r="M8" s="83"/>
      <c r="N8" s="83"/>
      <c r="O8" s="83"/>
      <c r="P8" s="106"/>
      <c r="Q8" s="484"/>
    </row>
    <row r="9" spans="1:17" ht="13.5" customHeight="1" x14ac:dyDescent="0.2">
      <c r="A9" s="254"/>
      <c r="B9" s="253"/>
      <c r="C9" s="255"/>
      <c r="D9" s="265" t="s">
        <v>699</v>
      </c>
      <c r="E9" s="266">
        <v>5</v>
      </c>
      <c r="F9" s="267" t="s">
        <v>0</v>
      </c>
      <c r="G9" s="129"/>
      <c r="H9" s="127"/>
      <c r="I9" s="83"/>
      <c r="J9" s="83"/>
      <c r="K9" s="83"/>
      <c r="L9" s="83"/>
      <c r="M9" s="83"/>
      <c r="N9" s="83"/>
      <c r="O9" s="83"/>
      <c r="P9" s="106"/>
      <c r="Q9" s="484"/>
    </row>
    <row r="10" spans="1:17" ht="13.5" customHeight="1" x14ac:dyDescent="0.2">
      <c r="A10" s="254"/>
      <c r="B10" s="253"/>
      <c r="C10" s="255"/>
      <c r="D10" s="265" t="s">
        <v>700</v>
      </c>
      <c r="E10" s="266">
        <v>8</v>
      </c>
      <c r="F10" s="267" t="s">
        <v>1</v>
      </c>
      <c r="G10" s="610"/>
      <c r="H10" s="112"/>
      <c r="I10" s="590"/>
      <c r="J10" s="590"/>
      <c r="K10" s="83"/>
      <c r="L10" s="83"/>
      <c r="M10" s="83"/>
      <c r="N10" s="83"/>
      <c r="O10" s="83"/>
      <c r="P10" s="106"/>
      <c r="Q10" s="484"/>
    </row>
    <row r="11" spans="1:17" ht="13.5" customHeight="1" x14ac:dyDescent="0.2">
      <c r="A11" s="254"/>
      <c r="B11" s="253"/>
      <c r="C11" s="255"/>
      <c r="D11" s="265" t="s">
        <v>693</v>
      </c>
      <c r="E11" s="268">
        <v>2100</v>
      </c>
      <c r="F11" s="267" t="s">
        <v>2</v>
      </c>
      <c r="G11" s="606"/>
      <c r="H11" s="134"/>
      <c r="I11" s="112"/>
      <c r="J11" s="112"/>
      <c r="K11" s="83"/>
      <c r="L11" s="83"/>
      <c r="M11" s="83"/>
      <c r="N11" s="83"/>
      <c r="O11" s="83"/>
      <c r="P11" s="106"/>
      <c r="Q11" s="484"/>
    </row>
    <row r="12" spans="1:17" ht="13.5" customHeight="1" x14ac:dyDescent="0.2">
      <c r="A12" s="572"/>
      <c r="B12" s="253"/>
      <c r="C12" s="255"/>
      <c r="D12" s="255" t="s">
        <v>273</v>
      </c>
      <c r="E12" s="255">
        <f>'Variable Management'!C443</f>
        <v>9.5299999999999994</v>
      </c>
      <c r="F12" s="257" t="s">
        <v>50</v>
      </c>
      <c r="G12" s="606"/>
      <c r="H12" s="134"/>
      <c r="I12" s="112"/>
      <c r="J12" s="112"/>
      <c r="K12" s="83"/>
      <c r="L12" s="83"/>
      <c r="M12" s="83"/>
      <c r="N12" s="83"/>
      <c r="O12" s="83"/>
      <c r="P12" s="106"/>
      <c r="Q12" s="484"/>
    </row>
    <row r="13" spans="1:17" ht="17.25" customHeight="1" thickBot="1" x14ac:dyDescent="0.25">
      <c r="A13" s="259"/>
      <c r="B13" s="543"/>
      <c r="C13" s="272"/>
      <c r="D13" s="574" t="s">
        <v>689</v>
      </c>
      <c r="E13" s="587">
        <v>25</v>
      </c>
      <c r="F13" s="573" t="s">
        <v>223</v>
      </c>
      <c r="G13" s="606"/>
      <c r="H13" s="134"/>
      <c r="I13" s="112"/>
      <c r="J13" s="112"/>
      <c r="K13" s="83"/>
      <c r="L13" s="83"/>
      <c r="M13" s="83"/>
      <c r="N13" s="83"/>
      <c r="O13" s="83"/>
      <c r="P13" s="106"/>
      <c r="Q13" s="484"/>
    </row>
    <row r="14" spans="1:17" ht="17.25" customHeight="1" x14ac:dyDescent="0.2">
      <c r="A14" s="572"/>
      <c r="B14" s="253"/>
      <c r="C14" s="255"/>
      <c r="D14" s="589"/>
      <c r="E14" s="589"/>
      <c r="F14" s="590"/>
      <c r="G14" s="606"/>
      <c r="H14" s="134"/>
      <c r="I14" s="112"/>
      <c r="J14" s="112"/>
      <c r="K14" s="83"/>
      <c r="L14" s="83"/>
      <c r="M14" s="83"/>
      <c r="N14" s="83"/>
      <c r="O14" s="83"/>
      <c r="P14" s="106"/>
      <c r="Q14" s="484"/>
    </row>
    <row r="15" spans="1:17" ht="20.100000000000001" customHeight="1" thickBot="1" x14ac:dyDescent="0.35">
      <c r="A15" s="182" t="s">
        <v>755</v>
      </c>
      <c r="B15" s="131"/>
      <c r="C15" s="127"/>
      <c r="D15" s="127"/>
      <c r="E15" s="127"/>
      <c r="F15" s="127"/>
      <c r="G15" s="606"/>
      <c r="H15" s="134"/>
      <c r="I15" s="112"/>
      <c r="J15" s="112"/>
      <c r="K15" s="83"/>
      <c r="L15" s="83"/>
      <c r="M15" s="83"/>
      <c r="N15" s="83"/>
      <c r="O15" s="83"/>
      <c r="P15" s="106"/>
      <c r="Q15" s="484"/>
    </row>
    <row r="16" spans="1:17" ht="15" customHeight="1" x14ac:dyDescent="0.25">
      <c r="A16" s="261"/>
      <c r="B16" s="153"/>
      <c r="C16" s="153"/>
      <c r="D16" s="155" t="s">
        <v>609</v>
      </c>
      <c r="E16" s="293">
        <v>7</v>
      </c>
      <c r="F16" s="156" t="s">
        <v>1</v>
      </c>
      <c r="G16" s="610"/>
      <c r="H16" s="134"/>
      <c r="I16" s="581"/>
      <c r="J16" s="581"/>
      <c r="K16" s="83"/>
      <c r="L16" s="83"/>
      <c r="M16" s="83"/>
      <c r="N16" s="83"/>
      <c r="O16" s="83"/>
      <c r="P16" s="106"/>
      <c r="Q16" s="484"/>
    </row>
    <row r="17" spans="1:17" ht="15" customHeight="1" x14ac:dyDescent="0.2">
      <c r="A17" s="254"/>
      <c r="B17" s="127"/>
      <c r="C17" s="127"/>
      <c r="D17" s="124" t="s">
        <v>949</v>
      </c>
      <c r="E17" s="295">
        <f>Rs_ideal*1000</f>
        <v>8.1980989575665379</v>
      </c>
      <c r="F17" s="162" t="s">
        <v>49</v>
      </c>
      <c r="G17" s="606"/>
      <c r="H17" s="134"/>
      <c r="I17" s="536"/>
      <c r="J17" s="134"/>
      <c r="K17" s="83"/>
      <c r="L17" s="83"/>
      <c r="M17" s="83"/>
      <c r="N17" s="83"/>
      <c r="O17" s="83"/>
      <c r="P17" s="106"/>
      <c r="Q17" s="484"/>
    </row>
    <row r="18" spans="1:17" ht="13.9" customHeight="1" x14ac:dyDescent="0.25">
      <c r="A18" s="254"/>
      <c r="B18" s="127"/>
      <c r="C18" s="127"/>
      <c r="D18" s="152" t="s">
        <v>948</v>
      </c>
      <c r="E18" s="128">
        <v>4.5999999999999996</v>
      </c>
      <c r="F18" s="157" t="s">
        <v>49</v>
      </c>
      <c r="G18" s="606"/>
      <c r="H18" s="134"/>
      <c r="I18" s="581"/>
      <c r="J18" s="581"/>
      <c r="K18" s="83"/>
      <c r="L18" s="83"/>
      <c r="M18" s="83"/>
      <c r="N18" s="83"/>
      <c r="O18" s="83"/>
      <c r="P18" s="106"/>
      <c r="Q18" s="484"/>
    </row>
    <row r="19" spans="1:17" ht="13.5" customHeight="1" x14ac:dyDescent="0.3">
      <c r="A19" s="254"/>
      <c r="B19" s="127"/>
      <c r="C19" s="127"/>
      <c r="D19" s="513" t="s">
        <v>639</v>
      </c>
      <c r="E19" s="536">
        <f>'Variable Management'!B95</f>
        <v>13.043478260869565</v>
      </c>
      <c r="F19" s="162" t="s">
        <v>1</v>
      </c>
      <c r="G19" s="606"/>
      <c r="H19" s="134"/>
      <c r="I19" s="536"/>
      <c r="J19" s="134"/>
      <c r="K19" s="83"/>
      <c r="L19" s="83"/>
      <c r="M19" s="83"/>
      <c r="N19" s="83"/>
      <c r="O19" s="83"/>
      <c r="P19" s="106"/>
      <c r="Q19" s="484"/>
    </row>
    <row r="20" spans="1:17" ht="13.9" customHeight="1" x14ac:dyDescent="0.2">
      <c r="A20" s="254"/>
      <c r="B20" s="127"/>
      <c r="C20" s="127"/>
      <c r="D20" s="513" t="s">
        <v>950</v>
      </c>
      <c r="E20" s="514">
        <f>'Variable Management'!B105</f>
        <v>0.75029829604224629</v>
      </c>
      <c r="F20" s="162" t="s">
        <v>116</v>
      </c>
      <c r="G20" s="606"/>
      <c r="H20" s="134"/>
      <c r="I20" s="514"/>
      <c r="J20" s="134"/>
      <c r="K20" s="83"/>
      <c r="L20" s="83"/>
      <c r="M20" s="83"/>
      <c r="N20" s="83"/>
      <c r="O20" s="83"/>
      <c r="P20" s="106"/>
      <c r="Q20" s="484"/>
    </row>
    <row r="21" spans="1:17" ht="13.9" customHeight="1" x14ac:dyDescent="0.3">
      <c r="A21" s="254"/>
      <c r="B21" s="127"/>
      <c r="C21" s="112"/>
      <c r="D21" s="294" t="s">
        <v>274</v>
      </c>
      <c r="E21" s="256">
        <f>'Variable Management'!B97</f>
        <v>12.77041387374492</v>
      </c>
      <c r="F21" s="257" t="s">
        <v>1</v>
      </c>
      <c r="G21" s="606"/>
      <c r="H21" s="134"/>
      <c r="I21" s="603"/>
      <c r="J21" s="601"/>
      <c r="K21" s="83"/>
      <c r="L21" s="83"/>
      <c r="M21" s="83"/>
      <c r="N21" s="83"/>
      <c r="O21" s="83"/>
      <c r="P21" s="106"/>
      <c r="Q21" s="484"/>
    </row>
    <row r="22" spans="1:17" ht="13.9" customHeight="1" x14ac:dyDescent="0.3">
      <c r="A22" s="254"/>
      <c r="B22" s="127"/>
      <c r="C22" s="124" t="s">
        <v>501</v>
      </c>
      <c r="D22" s="294" t="s">
        <v>275</v>
      </c>
      <c r="E22" s="256">
        <f>'Variable Management'!B98</f>
        <v>12.724708347190704</v>
      </c>
      <c r="F22" s="257" t="s">
        <v>1</v>
      </c>
      <c r="G22" s="606"/>
      <c r="H22" s="607"/>
      <c r="I22" s="603"/>
      <c r="J22" s="601"/>
      <c r="K22" s="83"/>
      <c r="L22" s="83"/>
      <c r="M22" s="83"/>
      <c r="N22" s="83"/>
      <c r="O22" s="83"/>
      <c r="P22" s="106"/>
      <c r="Q22" s="484"/>
    </row>
    <row r="23" spans="1:17" ht="13.5" customHeight="1" thickBot="1" x14ac:dyDescent="0.35">
      <c r="A23" s="273"/>
      <c r="B23" s="174"/>
      <c r="C23" s="174"/>
      <c r="D23" s="544" t="s">
        <v>276</v>
      </c>
      <c r="E23" s="545">
        <f>'Variable Management'!B99</f>
        <v>12.64840813391795</v>
      </c>
      <c r="F23" s="275" t="s">
        <v>1</v>
      </c>
      <c r="G23" s="610"/>
      <c r="H23" s="134"/>
      <c r="I23" s="603"/>
      <c r="J23" s="601"/>
      <c r="K23" s="83"/>
      <c r="L23" s="83"/>
      <c r="M23" s="83"/>
      <c r="N23" s="83"/>
      <c r="O23" s="83"/>
      <c r="P23" s="106"/>
      <c r="Q23" s="484"/>
    </row>
    <row r="24" spans="1:17" ht="17.25" customHeight="1" x14ac:dyDescent="0.2">
      <c r="A24" s="572"/>
      <c r="B24" s="253"/>
      <c r="C24" s="255"/>
      <c r="D24" s="589"/>
      <c r="E24" s="589"/>
      <c r="F24" s="590"/>
      <c r="G24" s="606"/>
      <c r="H24" s="134"/>
      <c r="I24" s="112"/>
      <c r="J24" s="112"/>
      <c r="K24" s="83"/>
      <c r="L24" s="83"/>
      <c r="M24" s="83"/>
      <c r="N24" s="83"/>
      <c r="O24" s="83"/>
      <c r="P24" s="106"/>
      <c r="Q24" s="484"/>
    </row>
    <row r="25" spans="1:17" ht="19.5" customHeight="1" thickBot="1" x14ac:dyDescent="0.35">
      <c r="A25" s="182" t="s">
        <v>754</v>
      </c>
      <c r="B25" s="131"/>
      <c r="C25" s="132"/>
      <c r="D25" s="132"/>
      <c r="E25" s="133"/>
      <c r="F25" s="132"/>
      <c r="G25" s="606"/>
      <c r="H25" s="134"/>
      <c r="I25" s="112"/>
      <c r="J25" s="112"/>
      <c r="K25" s="83"/>
      <c r="L25" s="83"/>
      <c r="M25" s="83"/>
      <c r="N25" s="83"/>
      <c r="O25" s="83"/>
      <c r="P25" s="106"/>
      <c r="Q25" s="484"/>
    </row>
    <row r="26" spans="1:17" ht="13.5" customHeight="1" x14ac:dyDescent="0.2">
      <c r="A26" s="183"/>
      <c r="B26" s="153"/>
      <c r="C26" s="154"/>
      <c r="D26" s="154" t="s">
        <v>946</v>
      </c>
      <c r="E26" s="541">
        <f>Lopt*1000000</f>
        <v>0.48205902079141516</v>
      </c>
      <c r="F26" s="161" t="s">
        <v>214</v>
      </c>
      <c r="G26" s="610"/>
      <c r="H26" s="134"/>
      <c r="I26" s="612"/>
      <c r="J26" s="134"/>
      <c r="K26" s="83"/>
      <c r="L26" s="83"/>
      <c r="M26" s="83"/>
      <c r="N26" s="83"/>
      <c r="O26" s="83"/>
      <c r="P26" s="106"/>
      <c r="Q26" s="484"/>
    </row>
    <row r="27" spans="1:17" ht="13.5" customHeight="1" x14ac:dyDescent="0.25">
      <c r="A27" s="126"/>
      <c r="B27" s="127"/>
      <c r="C27" s="124"/>
      <c r="D27" s="152" t="s">
        <v>748</v>
      </c>
      <c r="E27" s="128">
        <v>2.2000000000000002</v>
      </c>
      <c r="F27" s="157" t="s">
        <v>214</v>
      </c>
      <c r="G27" s="606"/>
      <c r="H27" s="607"/>
      <c r="I27" s="581"/>
      <c r="J27" s="581"/>
      <c r="K27" s="83"/>
      <c r="L27" s="83"/>
      <c r="M27" s="83"/>
      <c r="N27" s="83"/>
      <c r="O27" s="83"/>
      <c r="P27" s="106"/>
      <c r="Q27" s="484"/>
    </row>
    <row r="28" spans="1:17" ht="13.5" customHeight="1" x14ac:dyDescent="0.2">
      <c r="A28" s="126"/>
      <c r="B28" s="127"/>
      <c r="C28" s="124"/>
      <c r="D28" s="152" t="s">
        <v>740</v>
      </c>
      <c r="E28" s="128">
        <v>3.5</v>
      </c>
      <c r="F28" s="157" t="s">
        <v>49</v>
      </c>
      <c r="G28" s="606"/>
      <c r="H28" s="607"/>
      <c r="I28" s="581"/>
      <c r="J28" s="581"/>
      <c r="K28" s="83"/>
      <c r="L28" s="83"/>
      <c r="M28" s="83"/>
      <c r="N28" s="83"/>
      <c r="O28" s="83"/>
      <c r="P28" s="106"/>
      <c r="Q28" s="484"/>
    </row>
    <row r="29" spans="1:17" ht="13.5" customHeight="1" x14ac:dyDescent="0.2">
      <c r="A29" s="583"/>
      <c r="B29" s="127"/>
      <c r="C29" s="124"/>
      <c r="D29" s="255" t="s">
        <v>295</v>
      </c>
      <c r="E29" s="258">
        <f>'Variable Management'!B68*100</f>
        <v>7.9692478419714901</v>
      </c>
      <c r="F29" s="257" t="s">
        <v>153</v>
      </c>
      <c r="G29" s="606"/>
      <c r="H29" s="607"/>
      <c r="I29" s="581"/>
      <c r="J29" s="581"/>
      <c r="K29" s="83"/>
      <c r="L29" s="83"/>
      <c r="M29" s="83"/>
      <c r="N29" s="83"/>
      <c r="O29" s="83"/>
      <c r="P29" s="106"/>
      <c r="Q29" s="484"/>
    </row>
    <row r="30" spans="1:17" ht="16.5" customHeight="1" thickBot="1" x14ac:dyDescent="0.25">
      <c r="A30" s="273"/>
      <c r="B30" s="274"/>
      <c r="C30" s="272"/>
      <c r="D30" s="767" t="s">
        <v>947</v>
      </c>
      <c r="E30" s="781">
        <v>0.2</v>
      </c>
      <c r="F30" s="779" t="s">
        <v>116</v>
      </c>
      <c r="G30" s="610"/>
      <c r="H30" s="134"/>
      <c r="I30" s="602"/>
      <c r="J30" s="601"/>
      <c r="K30" s="83"/>
      <c r="L30" s="83"/>
      <c r="M30" s="83"/>
      <c r="N30" s="83"/>
      <c r="O30" s="83"/>
      <c r="P30" s="106"/>
      <c r="Q30" s="484"/>
    </row>
    <row r="31" spans="1:17" ht="14.1" customHeight="1" x14ac:dyDescent="0.2">
      <c r="A31" s="126"/>
      <c r="B31" s="127"/>
      <c r="C31" s="134"/>
      <c r="D31" s="134"/>
      <c r="E31" s="134"/>
      <c r="F31" s="134"/>
      <c r="G31" s="134"/>
      <c r="H31" s="134"/>
      <c r="I31" s="112"/>
      <c r="J31" s="112"/>
      <c r="K31" s="83"/>
      <c r="L31" s="83"/>
      <c r="M31" s="83"/>
      <c r="N31" s="83"/>
      <c r="O31" s="83"/>
      <c r="P31" s="106"/>
      <c r="Q31" s="484"/>
    </row>
    <row r="32" spans="1:17" ht="19.5" thickBot="1" x14ac:dyDescent="0.35">
      <c r="A32" s="182" t="s">
        <v>587</v>
      </c>
      <c r="B32" s="131"/>
      <c r="C32" s="132"/>
      <c r="D32" s="132"/>
      <c r="E32" s="133"/>
      <c r="F32" s="132"/>
      <c r="G32" s="134"/>
      <c r="H32" s="134"/>
      <c r="I32" s="112"/>
      <c r="J32" s="112"/>
      <c r="K32" s="83"/>
      <c r="L32" s="83"/>
      <c r="M32" s="83"/>
      <c r="N32" s="83"/>
      <c r="O32" s="83"/>
      <c r="P32" s="106"/>
      <c r="Q32" s="484"/>
    </row>
    <row r="33" spans="1:17" ht="15.75" customHeight="1" x14ac:dyDescent="0.25">
      <c r="A33" s="172"/>
      <c r="B33" s="163"/>
      <c r="C33" s="154"/>
      <c r="D33" s="164" t="s">
        <v>741</v>
      </c>
      <c r="E33" s="165">
        <v>50</v>
      </c>
      <c r="F33" s="156" t="s">
        <v>920</v>
      </c>
      <c r="G33" s="582"/>
      <c r="H33" s="134"/>
      <c r="I33" s="633"/>
      <c r="J33" s="581"/>
      <c r="K33" s="83"/>
      <c r="L33" s="83"/>
      <c r="M33" s="83"/>
      <c r="N33" s="83"/>
      <c r="O33" s="83"/>
      <c r="P33" s="106"/>
      <c r="Q33" s="484"/>
    </row>
    <row r="34" spans="1:17" ht="14.1" customHeight="1" x14ac:dyDescent="0.2">
      <c r="A34" s="126"/>
      <c r="B34" s="127"/>
      <c r="C34" s="124"/>
      <c r="D34" s="124" t="s">
        <v>742</v>
      </c>
      <c r="E34" s="511">
        <f>'Variable Management'!B121</f>
        <v>2.2000000000000002</v>
      </c>
      <c r="F34" s="162" t="s">
        <v>215</v>
      </c>
      <c r="G34" s="134"/>
      <c r="H34" s="134"/>
      <c r="I34" s="608"/>
      <c r="J34" s="134"/>
      <c r="K34" s="83"/>
      <c r="L34" s="83"/>
      <c r="M34" s="83"/>
      <c r="N34" s="83"/>
      <c r="O34" s="83"/>
      <c r="P34" s="106"/>
      <c r="Q34" s="484"/>
    </row>
    <row r="35" spans="1:17" ht="14.1" customHeight="1" x14ac:dyDescent="0.25">
      <c r="A35" s="126"/>
      <c r="B35" s="127"/>
      <c r="C35" s="124"/>
      <c r="D35" s="123" t="s">
        <v>758</v>
      </c>
      <c r="E35" s="130">
        <v>200</v>
      </c>
      <c r="F35" s="157" t="s">
        <v>215</v>
      </c>
      <c r="G35" s="606"/>
      <c r="H35" s="134"/>
      <c r="I35" s="633"/>
      <c r="J35" s="581"/>
      <c r="K35" s="791" t="str">
        <f>CHOOSE(SCH_MODE, "", "** For Single-Output Operation in 2-Phase Mode, tie MODE to VDDA and use FB1 to set VOUT **", "** For Single-Output Operation in 3-Phase Mode, tie both MODE pins to VDDA. Use FB1 of master IC to set VOUT. Connect FB2 of master IC to AGND. Connect FB2 of slave IC to VDDA to configure it as a slave **", "** For Single-Output Operation in 4-Phase Mode, tie both MODE pins to VDDA. Use FB1 of master IC to set VOUT. Connect FB2 of master IC to AGND. Connect FB2 of slave IC to VDDA to configure it as a slave **")</f>
        <v/>
      </c>
      <c r="L35" s="791"/>
      <c r="M35" s="791"/>
      <c r="N35" s="791"/>
      <c r="O35" s="791"/>
      <c r="P35" s="792"/>
      <c r="Q35" s="484"/>
    </row>
    <row r="36" spans="1:17" ht="14.1" customHeight="1" x14ac:dyDescent="0.2">
      <c r="A36" s="126"/>
      <c r="B36" s="127"/>
      <c r="C36" s="124"/>
      <c r="D36" s="124" t="s">
        <v>726</v>
      </c>
      <c r="E36" s="560">
        <f>'Variable Management'!B125</f>
        <v>78.425908194764844</v>
      </c>
      <c r="F36" s="162" t="s">
        <v>49</v>
      </c>
      <c r="G36" s="606"/>
      <c r="H36" s="134"/>
      <c r="I36" s="144"/>
      <c r="J36" s="134"/>
      <c r="K36" s="791"/>
      <c r="L36" s="791"/>
      <c r="M36" s="791"/>
      <c r="N36" s="791"/>
      <c r="O36" s="791"/>
      <c r="P36" s="792"/>
      <c r="Q36" s="484"/>
    </row>
    <row r="37" spans="1:17" ht="14.1" customHeight="1" x14ac:dyDescent="0.2">
      <c r="A37" s="126"/>
      <c r="B37" s="127"/>
      <c r="C37" s="124"/>
      <c r="D37" s="123" t="s">
        <v>466</v>
      </c>
      <c r="E37" s="130">
        <v>1</v>
      </c>
      <c r="F37" s="157" t="s">
        <v>49</v>
      </c>
      <c r="G37" s="606"/>
      <c r="H37" s="134"/>
      <c r="I37" s="633"/>
      <c r="J37" s="581"/>
      <c r="K37" s="586" t="str">
        <f>CHOOSE(SCH_MODE,  "", "** Tie VCCX to GND if not used **", "** Slave controller (CNTRL2) not shown **","** Slave controller (CNTRL2) not shown **")</f>
        <v/>
      </c>
      <c r="L37" s="132"/>
      <c r="M37" s="83"/>
      <c r="N37" s="83"/>
      <c r="O37" s="83"/>
      <c r="P37" s="661" t="str">
        <f>IF(SCH_MODE=1,  "** Tie VCCX to GND if not used **", "")</f>
        <v>** Tie VCCX to GND if not used **</v>
      </c>
      <c r="Q37" s="484"/>
    </row>
    <row r="38" spans="1:17" ht="14.1" customHeight="1" x14ac:dyDescent="0.3">
      <c r="A38" s="126"/>
      <c r="B38" s="127"/>
      <c r="C38" s="127"/>
      <c r="D38" s="124" t="s">
        <v>539</v>
      </c>
      <c r="E38" s="151">
        <f>'Variable Management'!B127*1000</f>
        <v>0.66517652963364171</v>
      </c>
      <c r="F38" s="162" t="s">
        <v>921</v>
      </c>
      <c r="G38" s="606"/>
      <c r="H38" s="134"/>
      <c r="I38" s="609"/>
      <c r="J38" s="134"/>
      <c r="K38" s="270" t="str">
        <f>IF(OR(SCH_MODE=3, SCH_MODE=4),"** Tie VCCX to GND if not used **", "")</f>
        <v/>
      </c>
      <c r="L38" s="112"/>
      <c r="M38" s="83"/>
      <c r="N38" s="83"/>
      <c r="O38" s="83"/>
      <c r="P38" s="106"/>
      <c r="Q38" s="484"/>
    </row>
    <row r="39" spans="1:17" ht="14.1" customHeight="1" thickBot="1" x14ac:dyDescent="0.35">
      <c r="A39" s="158"/>
      <c r="B39" s="159"/>
      <c r="C39" s="159"/>
      <c r="D39" s="125" t="s">
        <v>540</v>
      </c>
      <c r="E39" s="554">
        <f>'Variable Management'!B114</f>
        <v>0.22809384414429382</v>
      </c>
      <c r="F39" s="160" t="s">
        <v>922</v>
      </c>
      <c r="G39" s="611"/>
      <c r="H39" s="134"/>
      <c r="I39" s="514"/>
      <c r="J39" s="134"/>
      <c r="K39" s="112"/>
      <c r="L39" s="83"/>
      <c r="M39" s="83"/>
      <c r="N39" s="83"/>
      <c r="O39" s="83"/>
      <c r="P39" s="570"/>
      <c r="Q39" s="484"/>
    </row>
    <row r="40" spans="1:17" ht="13.5" customHeight="1" x14ac:dyDescent="0.2">
      <c r="A40" s="184"/>
      <c r="B40" s="134"/>
      <c r="C40" s="134"/>
      <c r="D40" s="134"/>
      <c r="E40" s="134"/>
      <c r="F40" s="134"/>
      <c r="G40" s="134"/>
      <c r="H40" s="127"/>
      <c r="I40" s="83"/>
      <c r="J40" s="83"/>
      <c r="K40" s="83"/>
      <c r="L40" s="112"/>
      <c r="M40" s="112"/>
      <c r="N40" s="112"/>
      <c r="O40" s="112"/>
      <c r="P40" s="106"/>
      <c r="Q40" s="484"/>
    </row>
    <row r="41" spans="1:17" ht="19.5" thickBot="1" x14ac:dyDescent="0.35">
      <c r="A41" s="182" t="s">
        <v>918</v>
      </c>
      <c r="B41" s="131"/>
      <c r="C41" s="132"/>
      <c r="D41" s="132"/>
      <c r="E41" s="127"/>
      <c r="F41" s="134"/>
      <c r="G41" s="134"/>
      <c r="H41" s="134"/>
      <c r="I41" s="83"/>
      <c r="J41" s="83"/>
      <c r="K41" s="108"/>
      <c r="L41" s="112"/>
      <c r="M41" s="112"/>
      <c r="N41" s="83"/>
      <c r="O41" s="83"/>
      <c r="P41" s="106"/>
      <c r="Q41" s="484"/>
    </row>
    <row r="42" spans="1:17" ht="14.1" customHeight="1" x14ac:dyDescent="0.25">
      <c r="A42" s="172"/>
      <c r="B42" s="163"/>
      <c r="C42" s="153"/>
      <c r="D42" s="155" t="s">
        <v>545</v>
      </c>
      <c r="E42" s="165">
        <v>400</v>
      </c>
      <c r="F42" s="156" t="s">
        <v>923</v>
      </c>
      <c r="G42" s="127"/>
      <c r="H42" s="127"/>
      <c r="I42" s="109"/>
      <c r="J42" s="83"/>
      <c r="K42" s="83"/>
      <c r="L42" s="83"/>
      <c r="M42" s="83"/>
      <c r="N42" s="83"/>
      <c r="O42" s="83"/>
      <c r="P42" s="106"/>
      <c r="Q42" s="484"/>
    </row>
    <row r="43" spans="1:17" ht="14.1" customHeight="1" x14ac:dyDescent="0.2">
      <c r="A43" s="135"/>
      <c r="B43" s="132"/>
      <c r="C43" s="127"/>
      <c r="D43" s="124" t="s">
        <v>546</v>
      </c>
      <c r="E43" s="560">
        <f>'Variable Management'!B148</f>
        <v>2.3809523809523809</v>
      </c>
      <c r="F43" s="162" t="s">
        <v>215</v>
      </c>
      <c r="G43" s="611"/>
      <c r="H43" s="134"/>
      <c r="I43" s="109"/>
      <c r="J43" s="83"/>
      <c r="K43" s="83"/>
      <c r="L43" s="265"/>
      <c r="M43" s="290"/>
      <c r="N43" s="83"/>
      <c r="O43" s="83"/>
      <c r="P43" s="106"/>
      <c r="Q43" s="484"/>
    </row>
    <row r="44" spans="1:17" ht="14.1" customHeight="1" x14ac:dyDescent="0.25">
      <c r="A44" s="126"/>
      <c r="B44" s="127"/>
      <c r="C44" s="132"/>
      <c r="D44" s="152" t="s">
        <v>759</v>
      </c>
      <c r="E44" s="128">
        <v>30</v>
      </c>
      <c r="F44" s="157" t="s">
        <v>215</v>
      </c>
      <c r="G44" s="127"/>
      <c r="H44" s="127"/>
      <c r="I44" s="109"/>
      <c r="J44" s="83"/>
      <c r="K44" s="83"/>
      <c r="L44" s="83"/>
      <c r="M44" s="83"/>
      <c r="N44" s="83"/>
      <c r="O44" s="83"/>
      <c r="P44" s="106"/>
      <c r="Q44" s="484"/>
    </row>
    <row r="45" spans="1:17" ht="14.1" customHeight="1" x14ac:dyDescent="0.2">
      <c r="A45" s="126"/>
      <c r="B45" s="127"/>
      <c r="C45" s="132"/>
      <c r="D45" s="124" t="s">
        <v>726</v>
      </c>
      <c r="E45" s="510">
        <f>'Variable Management'!B155</f>
        <v>43.865502334724063</v>
      </c>
      <c r="F45" s="162" t="s">
        <v>49</v>
      </c>
      <c r="G45" s="611"/>
      <c r="H45" s="127"/>
      <c r="I45" s="110"/>
      <c r="J45" s="83"/>
      <c r="K45" s="83"/>
      <c r="L45" s="83"/>
      <c r="M45" s="83"/>
      <c r="N45" s="83"/>
      <c r="O45" s="83"/>
      <c r="P45" s="106" t="s">
        <v>175</v>
      </c>
      <c r="Q45" s="484"/>
    </row>
    <row r="46" spans="1:17" ht="14.1" customHeight="1" x14ac:dyDescent="0.2">
      <c r="A46" s="126"/>
      <c r="B46" s="127"/>
      <c r="C46" s="132"/>
      <c r="D46" s="152" t="s">
        <v>464</v>
      </c>
      <c r="E46" s="128">
        <v>1</v>
      </c>
      <c r="F46" s="157" t="s">
        <v>49</v>
      </c>
      <c r="G46" s="127"/>
      <c r="H46" s="127"/>
      <c r="I46" s="110"/>
      <c r="J46" s="83"/>
      <c r="K46" s="83"/>
      <c r="L46" s="83"/>
      <c r="M46" s="83"/>
      <c r="N46" s="83"/>
      <c r="O46" s="83"/>
      <c r="P46" s="106"/>
      <c r="Q46" s="484"/>
    </row>
    <row r="47" spans="1:17" ht="14.1" customHeight="1" x14ac:dyDescent="0.2">
      <c r="A47" s="126"/>
      <c r="B47" s="127"/>
      <c r="C47" s="132"/>
      <c r="D47" s="255" t="s">
        <v>727</v>
      </c>
      <c r="E47" s="258">
        <f>'Variable Management'!B162*1000</f>
        <v>40.141101872983356</v>
      </c>
      <c r="F47" s="257" t="s">
        <v>921</v>
      </c>
      <c r="G47" s="611"/>
      <c r="H47" s="127"/>
      <c r="I47" s="110"/>
      <c r="J47" s="83"/>
      <c r="K47" s="83"/>
      <c r="L47" s="83"/>
      <c r="M47" s="83"/>
      <c r="N47" s="83"/>
      <c r="O47" s="83"/>
      <c r="P47" s="106"/>
      <c r="Q47" s="484"/>
    </row>
    <row r="48" spans="1:17" ht="15.75" customHeight="1" thickBot="1" x14ac:dyDescent="0.25">
      <c r="A48" s="693"/>
      <c r="B48" s="694"/>
      <c r="C48" s="694"/>
      <c r="D48" s="695" t="s">
        <v>541</v>
      </c>
      <c r="E48" s="772">
        <f>'Variable Management'!B138</f>
        <v>4</v>
      </c>
      <c r="F48" s="782" t="s">
        <v>922</v>
      </c>
      <c r="G48" s="611"/>
      <c r="H48" s="127"/>
      <c r="I48" s="110"/>
      <c r="J48" s="83"/>
      <c r="K48" s="83"/>
      <c r="L48" s="83"/>
      <c r="M48" s="83"/>
      <c r="N48" s="83"/>
      <c r="O48" s="83"/>
      <c r="P48" s="106"/>
      <c r="Q48" s="484"/>
    </row>
    <row r="49" spans="1:34" ht="15.75" customHeight="1" x14ac:dyDescent="0.2">
      <c r="A49" s="583"/>
      <c r="B49" s="127"/>
      <c r="C49" s="134"/>
      <c r="D49" s="152" t="s">
        <v>814</v>
      </c>
      <c r="E49" s="776">
        <v>0.68</v>
      </c>
      <c r="F49" s="700" t="s">
        <v>214</v>
      </c>
      <c r="G49" s="699"/>
      <c r="H49" s="127"/>
      <c r="I49" s="110"/>
      <c r="J49" s="83"/>
      <c r="K49" s="83"/>
      <c r="L49" s="83"/>
      <c r="M49" s="83"/>
      <c r="N49" s="83"/>
      <c r="O49" s="83"/>
      <c r="P49" s="106"/>
      <c r="Q49" s="484"/>
    </row>
    <row r="50" spans="1:34" ht="19.5" thickBot="1" x14ac:dyDescent="0.35">
      <c r="A50" s="182" t="s">
        <v>945</v>
      </c>
      <c r="B50" s="131"/>
      <c r="C50" s="127"/>
      <c r="D50" s="124"/>
      <c r="E50" s="127"/>
      <c r="F50" s="127"/>
      <c r="G50" s="127"/>
      <c r="H50" s="136"/>
      <c r="I50" s="112"/>
      <c r="J50" s="112"/>
      <c r="K50" s="112"/>
      <c r="L50" s="112"/>
      <c r="M50" s="83"/>
      <c r="N50" s="83"/>
      <c r="O50" s="83"/>
      <c r="P50" s="106"/>
      <c r="Q50" s="484"/>
    </row>
    <row r="51" spans="1:34" ht="13.9" customHeight="1" x14ac:dyDescent="0.2">
      <c r="A51" s="261"/>
      <c r="B51" s="262"/>
      <c r="C51" s="262"/>
      <c r="D51" s="269"/>
      <c r="E51" s="269"/>
      <c r="F51" s="264"/>
      <c r="G51" s="127"/>
      <c r="H51" s="134"/>
      <c r="I51" s="112"/>
      <c r="J51" s="112"/>
      <c r="K51" s="112"/>
      <c r="L51" s="112"/>
      <c r="M51" s="83"/>
      <c r="N51" s="83"/>
      <c r="O51" s="83"/>
      <c r="P51" s="106"/>
      <c r="Q51" s="484"/>
    </row>
    <row r="52" spans="1:34" ht="13.9" customHeight="1" x14ac:dyDescent="0.2">
      <c r="A52" s="254"/>
      <c r="B52" s="253"/>
      <c r="C52" s="253"/>
      <c r="D52" s="112"/>
      <c r="E52" s="112"/>
      <c r="F52" s="267"/>
      <c r="G52" s="127"/>
      <c r="H52" s="134"/>
      <c r="I52" s="112"/>
      <c r="J52" s="112"/>
      <c r="K52" s="112"/>
      <c r="L52" s="112"/>
      <c r="M52" s="83"/>
      <c r="N52" s="83"/>
      <c r="O52" s="83"/>
      <c r="P52" s="106"/>
      <c r="Q52" s="484"/>
    </row>
    <row r="53" spans="1:34" ht="13.9" customHeight="1" x14ac:dyDescent="0.2">
      <c r="A53" s="254"/>
      <c r="B53" s="253"/>
      <c r="C53" s="270"/>
      <c r="D53" s="271" t="s">
        <v>924</v>
      </c>
      <c r="E53" s="266">
        <v>22</v>
      </c>
      <c r="F53" s="267" t="s">
        <v>0</v>
      </c>
      <c r="G53" s="127"/>
      <c r="H53" s="134"/>
      <c r="I53" s="112"/>
      <c r="J53" s="112"/>
      <c r="K53" s="112"/>
      <c r="L53" s="112"/>
      <c r="M53" s="83"/>
      <c r="N53" s="83"/>
      <c r="O53" s="83"/>
      <c r="P53" s="106"/>
      <c r="Q53" s="484"/>
    </row>
    <row r="54" spans="1:34" ht="13.9" customHeight="1" x14ac:dyDescent="0.2">
      <c r="A54" s="254"/>
      <c r="B54" s="253"/>
      <c r="C54" s="253"/>
      <c r="D54" s="271" t="s">
        <v>925</v>
      </c>
      <c r="E54" s="266">
        <v>20</v>
      </c>
      <c r="F54" s="267" t="s">
        <v>0</v>
      </c>
      <c r="G54" s="127"/>
      <c r="H54" s="134"/>
      <c r="I54" s="112"/>
      <c r="J54" s="112"/>
      <c r="K54" s="112"/>
      <c r="L54" s="112"/>
      <c r="M54" s="83"/>
      <c r="N54" s="83"/>
      <c r="O54" s="83"/>
      <c r="P54" s="106"/>
      <c r="Q54" s="484"/>
    </row>
    <row r="55" spans="1:34" ht="15.75" customHeight="1" x14ac:dyDescent="0.3">
      <c r="A55" s="254"/>
      <c r="B55" s="253"/>
      <c r="C55" s="253"/>
      <c r="D55" s="607" t="s">
        <v>892</v>
      </c>
      <c r="E55" s="255">
        <f>IF(UVLO_TYPE=1,'Variable Management'!B188,0)</f>
        <v>200</v>
      </c>
      <c r="F55" s="257" t="s">
        <v>50</v>
      </c>
      <c r="G55" s="127"/>
      <c r="H55" s="127"/>
      <c r="I55" s="81"/>
      <c r="J55" s="122"/>
      <c r="K55" s="83"/>
      <c r="L55" s="112"/>
      <c r="M55" s="83"/>
      <c r="N55" s="83"/>
      <c r="O55" s="83"/>
      <c r="P55" s="106"/>
      <c r="Q55" s="484"/>
    </row>
    <row r="56" spans="1:34" ht="13.9" customHeight="1" x14ac:dyDescent="0.3">
      <c r="A56" s="254"/>
      <c r="B56" s="253"/>
      <c r="C56" s="253"/>
      <c r="D56" s="607" t="s">
        <v>893</v>
      </c>
      <c r="E56" s="511">
        <f>IF(UVLO_TYPE=1,'Variable Management'!B189,"DNP")</f>
        <v>9.5299999999999994</v>
      </c>
      <c r="F56" s="257" t="s">
        <v>50</v>
      </c>
      <c r="G56" s="127"/>
      <c r="H56" s="127"/>
      <c r="I56" s="81"/>
      <c r="J56" s="122"/>
      <c r="K56" s="83"/>
      <c r="L56" s="112"/>
      <c r="M56" s="83"/>
      <c r="N56" s="83"/>
      <c r="O56" s="83"/>
      <c r="P56" s="106"/>
      <c r="Q56" s="484"/>
    </row>
    <row r="57" spans="1:34" ht="15.75" customHeight="1" x14ac:dyDescent="0.3">
      <c r="A57" s="254"/>
      <c r="B57" s="253"/>
      <c r="C57" s="270"/>
      <c r="D57" s="607" t="s">
        <v>858</v>
      </c>
      <c r="E57" s="44" t="str">
        <f>IF(DITHER=1,"41.2","29.4")</f>
        <v>41.2</v>
      </c>
      <c r="F57" s="257" t="s">
        <v>50</v>
      </c>
      <c r="G57" s="127"/>
      <c r="H57" s="127"/>
      <c r="I57" s="81"/>
      <c r="J57" s="122"/>
      <c r="K57" s="83"/>
      <c r="L57" s="112"/>
      <c r="M57" s="83"/>
      <c r="N57" s="83"/>
      <c r="O57" s="83"/>
      <c r="P57" s="106"/>
      <c r="Q57" s="484"/>
    </row>
    <row r="58" spans="1:34" ht="15" customHeight="1" thickBot="1" x14ac:dyDescent="0.25">
      <c r="A58" s="273"/>
      <c r="B58" s="274"/>
      <c r="C58" s="274"/>
      <c r="D58" s="558" t="str">
        <f>IF(DEMB=1, "* Tie PFM to GND", "* Tie PFM to VDDA")</f>
        <v>* Tie PFM to GND</v>
      </c>
      <c r="E58" s="552"/>
      <c r="F58" s="275"/>
      <c r="G58" s="127"/>
      <c r="H58" s="127"/>
      <c r="I58" s="81"/>
      <c r="J58" s="122"/>
      <c r="K58" s="83"/>
      <c r="L58" s="112"/>
      <c r="M58" s="83"/>
      <c r="N58" s="83"/>
      <c r="O58" s="83"/>
      <c r="P58" s="106"/>
      <c r="Q58" s="484"/>
    </row>
    <row r="59" spans="1:34" ht="14.1" customHeight="1" x14ac:dyDescent="0.2">
      <c r="A59" s="126"/>
      <c r="B59" s="127"/>
      <c r="C59" s="127"/>
      <c r="D59" s="124"/>
      <c r="E59" s="137"/>
      <c r="F59" s="127"/>
      <c r="G59" s="127"/>
      <c r="H59" s="127"/>
      <c r="I59" s="81"/>
      <c r="J59" s="122"/>
      <c r="K59" s="83"/>
      <c r="L59" s="112"/>
      <c r="M59" s="83"/>
      <c r="N59" s="83"/>
      <c r="O59" s="83"/>
      <c r="P59" s="106"/>
      <c r="Q59" s="484"/>
    </row>
    <row r="60" spans="1:34" ht="19.5" customHeight="1" thickBot="1" x14ac:dyDescent="0.25">
      <c r="A60" s="182" t="s">
        <v>230</v>
      </c>
      <c r="B60" s="139"/>
      <c r="C60" s="132"/>
      <c r="D60" s="537"/>
      <c r="E60" s="133"/>
      <c r="F60" s="132"/>
      <c r="G60" s="127"/>
      <c r="H60" s="127"/>
      <c r="I60" s="83"/>
      <c r="J60" s="83"/>
      <c r="K60" s="83"/>
      <c r="L60" s="83"/>
      <c r="M60" s="83"/>
      <c r="N60" s="83"/>
      <c r="O60" s="83"/>
      <c r="P60" s="106"/>
      <c r="Q60" s="483"/>
      <c r="R60" s="54"/>
      <c r="S60" s="54"/>
      <c r="V60" s="54"/>
      <c r="W60" s="54"/>
      <c r="X60" s="54"/>
      <c r="AA60" s="54"/>
      <c r="AB60" s="54"/>
      <c r="AC60" s="54"/>
      <c r="AF60" s="54"/>
      <c r="AG60" s="54"/>
      <c r="AH60" s="54"/>
    </row>
    <row r="61" spans="1:34" ht="15" customHeight="1" x14ac:dyDescent="0.2">
      <c r="A61" s="261"/>
      <c r="B61" s="262"/>
      <c r="C61" s="263"/>
      <c r="D61" s="263" t="s">
        <v>738</v>
      </c>
      <c r="E61" s="356">
        <f>Fp_dominant</f>
        <v>1612.2183364797347</v>
      </c>
      <c r="F61" s="276" t="s">
        <v>9</v>
      </c>
      <c r="G61" s="582"/>
      <c r="H61" s="134"/>
      <c r="I61" s="602"/>
      <c r="J61" s="601"/>
      <c r="K61" s="83"/>
      <c r="L61" s="83"/>
      <c r="M61" s="83"/>
      <c r="N61" s="83"/>
      <c r="O61" s="83"/>
      <c r="P61" s="106"/>
      <c r="Q61" s="483"/>
      <c r="R61" s="54"/>
      <c r="S61" s="54"/>
      <c r="V61" s="54"/>
      <c r="W61" s="54"/>
      <c r="X61" s="54"/>
      <c r="AA61" s="54"/>
      <c r="AB61" s="54"/>
      <c r="AC61" s="54"/>
      <c r="AF61" s="54"/>
      <c r="AG61" s="54"/>
      <c r="AH61" s="54"/>
    </row>
    <row r="62" spans="1:34" ht="15" customHeight="1" x14ac:dyDescent="0.2">
      <c r="A62" s="254"/>
      <c r="B62" s="253"/>
      <c r="C62" s="255"/>
      <c r="D62" s="255" t="s">
        <v>739</v>
      </c>
      <c r="E62" s="258">
        <f>Fesr/1000</f>
        <v>795.77471636878192</v>
      </c>
      <c r="F62" s="257" t="s">
        <v>2</v>
      </c>
      <c r="G62" s="134"/>
      <c r="H62" s="134"/>
      <c r="I62" s="602"/>
      <c r="J62" s="601"/>
      <c r="K62" s="83"/>
      <c r="L62" s="83"/>
      <c r="M62" s="83"/>
      <c r="N62" s="83"/>
      <c r="O62" s="83"/>
      <c r="P62" s="106"/>
      <c r="Q62" s="483"/>
      <c r="R62" s="54"/>
      <c r="S62" s="54"/>
      <c r="V62" s="54"/>
      <c r="W62" s="54"/>
      <c r="X62" s="54"/>
      <c r="AA62" s="54"/>
      <c r="AB62" s="54"/>
      <c r="AC62" s="54"/>
      <c r="AF62" s="54"/>
      <c r="AG62" s="54"/>
      <c r="AH62" s="54"/>
    </row>
    <row r="63" spans="1:34" ht="15" customHeight="1" x14ac:dyDescent="0.2">
      <c r="A63" s="254"/>
      <c r="B63" s="253"/>
      <c r="C63" s="255"/>
      <c r="D63" s="271" t="s">
        <v>395</v>
      </c>
      <c r="E63" s="277">
        <v>40</v>
      </c>
      <c r="F63" s="278" t="str">
        <f>"     kHz "</f>
        <v xml:space="preserve">     kHz </v>
      </c>
      <c r="G63" s="134"/>
      <c r="H63" s="134"/>
      <c r="I63" s="634"/>
      <c r="J63" s="604"/>
      <c r="K63" s="83"/>
      <c r="L63" s="83"/>
      <c r="M63" s="83"/>
      <c r="N63" s="83"/>
      <c r="O63" s="83"/>
      <c r="P63" s="106"/>
      <c r="Q63" s="483"/>
      <c r="R63" s="54"/>
      <c r="S63" s="54"/>
      <c r="V63" s="54"/>
      <c r="W63" s="54"/>
      <c r="X63" s="54"/>
      <c r="AA63" s="54"/>
      <c r="AB63" s="54"/>
      <c r="AC63" s="54"/>
      <c r="AF63" s="54"/>
      <c r="AG63" s="54"/>
      <c r="AH63" s="54"/>
    </row>
    <row r="64" spans="1:34" ht="15" customHeight="1" x14ac:dyDescent="0.2">
      <c r="A64" s="254"/>
      <c r="B64" s="253"/>
      <c r="C64" s="255"/>
      <c r="D64" s="255" t="s">
        <v>830</v>
      </c>
      <c r="E64" s="784">
        <f>Fp1_u</f>
        <v>0.75343209626019259</v>
      </c>
      <c r="F64" s="257" t="s">
        <v>9</v>
      </c>
      <c r="G64" s="134"/>
      <c r="H64" s="134"/>
      <c r="I64" s="603"/>
      <c r="J64" s="601"/>
      <c r="K64" s="83"/>
      <c r="L64" s="83"/>
      <c r="M64" s="83"/>
      <c r="N64" s="83"/>
      <c r="O64" s="83"/>
      <c r="P64" s="106"/>
      <c r="Q64" s="483"/>
      <c r="R64" s="54"/>
      <c r="S64" s="54"/>
      <c r="V64" s="54"/>
      <c r="W64" s="54"/>
      <c r="X64" s="54"/>
      <c r="AA64" s="54"/>
      <c r="AB64" s="54"/>
      <c r="AC64" s="54"/>
      <c r="AF64" s="54"/>
      <c r="AG64" s="54"/>
      <c r="AH64" s="54"/>
    </row>
    <row r="65" spans="1:34" ht="15" customHeight="1" x14ac:dyDescent="0.2">
      <c r="A65" s="254"/>
      <c r="B65" s="253"/>
      <c r="C65" s="255"/>
      <c r="D65" s="271" t="str">
        <f>CHOOSE(VOUT_setting, "Upper Feedback Resistor","","","")</f>
        <v/>
      </c>
      <c r="E65" s="279">
        <v>78.7</v>
      </c>
      <c r="F65" s="267" t="s">
        <v>50</v>
      </c>
      <c r="G65" s="134"/>
      <c r="H65" s="134"/>
      <c r="I65" s="635"/>
      <c r="J65" s="590"/>
      <c r="K65" s="83"/>
      <c r="L65" s="83"/>
      <c r="M65" s="83"/>
      <c r="N65" s="83"/>
      <c r="O65" s="83"/>
      <c r="P65" s="106"/>
      <c r="Q65" s="483"/>
      <c r="R65" s="54"/>
      <c r="S65" s="54"/>
      <c r="V65" s="54"/>
      <c r="W65" s="54"/>
      <c r="X65" s="54"/>
      <c r="AA65" s="54"/>
      <c r="AB65" s="54"/>
      <c r="AC65" s="54"/>
      <c r="AF65" s="54"/>
      <c r="AG65" s="54"/>
      <c r="AH65" s="54"/>
    </row>
    <row r="66" spans="1:34" ht="15" customHeight="1" x14ac:dyDescent="0.2">
      <c r="A66" s="572"/>
      <c r="B66" s="253"/>
      <c r="C66" s="255"/>
      <c r="D66" s="255" t="str">
        <f>CHOOSE(VOUT_setting, "Lower Feedback Resistor", "* Connect "&amp;'Variable Management'!D419&amp;" from FB to VDDA","* Tie FB to VDDA","* Connect "&amp;'Variable Management'!D419&amp;" from FB to VDDA")</f>
        <v>* Connect 24.9kΩ from FB to VDDA</v>
      </c>
      <c r="E66" s="255">
        <f>IF(Vout=Vref,"OPEN",Rfb2_u/1000)</f>
        <v>471</v>
      </c>
      <c r="F66" s="257" t="str">
        <f>IF(Vout=Vref,"","kΩ")</f>
        <v>kΩ</v>
      </c>
      <c r="G66" s="582"/>
      <c r="H66" s="134"/>
      <c r="I66" s="605"/>
      <c r="J66" s="601"/>
      <c r="K66" s="83"/>
      <c r="L66" s="83"/>
      <c r="M66" s="83"/>
      <c r="N66" s="83"/>
      <c r="O66" s="83"/>
      <c r="P66" s="106"/>
      <c r="Q66" s="483"/>
      <c r="R66" s="54"/>
      <c r="S66" s="54"/>
      <c r="V66" s="54"/>
      <c r="W66" s="54"/>
      <c r="X66" s="54"/>
      <c r="AA66" s="54"/>
      <c r="AB66" s="54"/>
      <c r="AC66" s="54"/>
      <c r="AF66" s="54"/>
      <c r="AG66" s="54"/>
      <c r="AH66" s="54"/>
    </row>
    <row r="67" spans="1:34" ht="15" customHeight="1" thickBot="1" x14ac:dyDescent="0.25">
      <c r="A67" s="273"/>
      <c r="B67" s="274"/>
      <c r="C67" s="272"/>
      <c r="D67" s="272" t="str">
        <f>CHOOSE(VOUT_setting, "Actual Output Voltage Setpoint","","","")</f>
        <v/>
      </c>
      <c r="E67" s="783">
        <f>0.8/E66*(E65+E66)</f>
        <v>0.93367303609341834</v>
      </c>
      <c r="F67" s="275" t="s">
        <v>0</v>
      </c>
      <c r="G67" s="134"/>
      <c r="H67" s="134"/>
      <c r="I67" s="605"/>
      <c r="J67" s="601"/>
      <c r="K67" s="83"/>
      <c r="L67" s="83"/>
      <c r="M67" s="83"/>
      <c r="N67" s="83"/>
      <c r="O67" s="83"/>
      <c r="P67" s="106"/>
      <c r="Q67" s="483"/>
      <c r="R67" s="54"/>
      <c r="S67" s="54"/>
      <c r="V67" s="54"/>
      <c r="W67" s="54"/>
      <c r="X67" s="54"/>
      <c r="AA67" s="54"/>
      <c r="AB67" s="54"/>
      <c r="AC67" s="54"/>
      <c r="AF67" s="54"/>
      <c r="AG67" s="54"/>
      <c r="AH67" s="54"/>
    </row>
    <row r="68" spans="1:34" ht="13.5" customHeight="1" x14ac:dyDescent="0.2">
      <c r="A68" s="185"/>
      <c r="B68" s="532"/>
      <c r="C68" s="145"/>
      <c r="D68" s="134"/>
      <c r="E68" s="134"/>
      <c r="F68" s="134"/>
      <c r="G68" s="144"/>
      <c r="H68" s="143"/>
      <c r="I68" s="83"/>
      <c r="J68" s="83"/>
      <c r="K68" s="83"/>
      <c r="L68" s="83"/>
      <c r="M68" s="83"/>
      <c r="N68" s="83"/>
      <c r="O68" s="83"/>
      <c r="P68" s="106"/>
      <c r="Q68" s="483"/>
      <c r="R68" s="54"/>
      <c r="S68" s="54"/>
      <c r="V68" s="54"/>
      <c r="W68" s="54"/>
      <c r="X68" s="54"/>
      <c r="AA68" s="54"/>
      <c r="AB68" s="54"/>
      <c r="AC68" s="54"/>
      <c r="AF68" s="54"/>
      <c r="AG68" s="54"/>
      <c r="AH68" s="54"/>
    </row>
    <row r="69" spans="1:34" ht="15.75" customHeight="1" x14ac:dyDescent="0.25">
      <c r="A69" s="461" t="s">
        <v>225</v>
      </c>
      <c r="B69" s="146"/>
      <c r="C69" s="124"/>
      <c r="D69" s="140"/>
      <c r="E69" s="141"/>
      <c r="F69" s="142"/>
      <c r="G69" s="147"/>
      <c r="H69" s="127"/>
      <c r="I69" s="83"/>
      <c r="J69" s="83"/>
      <c r="K69" s="83"/>
      <c r="L69" s="83"/>
      <c r="M69" s="83"/>
      <c r="N69" s="83"/>
      <c r="O69" s="83"/>
      <c r="P69" s="106"/>
      <c r="Q69" s="483"/>
      <c r="R69" s="188"/>
      <c r="S69" s="188"/>
      <c r="T69" s="189"/>
      <c r="U69" s="189"/>
      <c r="V69" s="188"/>
      <c r="W69" s="188"/>
      <c r="X69" s="188"/>
      <c r="Y69" s="189"/>
      <c r="Z69" s="189"/>
      <c r="AA69" s="188"/>
      <c r="AB69" s="188"/>
      <c r="AC69" s="188"/>
      <c r="AD69" s="189"/>
      <c r="AE69" s="189"/>
      <c r="AF69" s="54"/>
      <c r="AG69" s="54"/>
      <c r="AH69" s="54"/>
    </row>
    <row r="70" spans="1:34" s="200" customFormat="1" ht="13.5" customHeight="1" thickBot="1" x14ac:dyDescent="0.25">
      <c r="A70" s="205"/>
      <c r="B70" s="206" t="s">
        <v>231</v>
      </c>
      <c r="C70" s="207" t="s">
        <v>224</v>
      </c>
      <c r="D70" s="575" t="str">
        <f>C70</f>
        <v>Std Values</v>
      </c>
      <c r="E70" s="537"/>
      <c r="F70" s="785" t="s">
        <v>226</v>
      </c>
      <c r="G70" s="785"/>
      <c r="H70" s="785"/>
      <c r="I70" s="195"/>
      <c r="J70" s="195"/>
      <c r="K70" s="195"/>
      <c r="L70" s="195"/>
      <c r="M70" s="195"/>
      <c r="N70" s="195"/>
      <c r="O70" s="195"/>
      <c r="P70" s="196"/>
      <c r="Q70" s="485"/>
      <c r="R70" s="197"/>
      <c r="S70" s="197"/>
      <c r="T70" s="198"/>
      <c r="U70" s="198"/>
      <c r="V70" s="197"/>
      <c r="W70" s="197"/>
      <c r="X70" s="197"/>
      <c r="Y70" s="198"/>
      <c r="Z70" s="198"/>
      <c r="AA70" s="197"/>
      <c r="AB70" s="197"/>
      <c r="AC70" s="197"/>
      <c r="AD70" s="198"/>
      <c r="AE70" s="198"/>
      <c r="AF70" s="199"/>
      <c r="AG70" s="199"/>
      <c r="AH70" s="199"/>
    </row>
    <row r="71" spans="1:34" ht="15.75" x14ac:dyDescent="0.3">
      <c r="A71" s="170" t="s">
        <v>643</v>
      </c>
      <c r="B71" s="180">
        <f>Rcea1/1000</f>
        <v>12.22032745454503</v>
      </c>
      <c r="C71" s="166">
        <f>'Standard Value Calculator'!S32</f>
        <v>12.1</v>
      </c>
      <c r="D71" s="167">
        <f>C71</f>
        <v>12.1</v>
      </c>
      <c r="E71" s="168" t="s">
        <v>50</v>
      </c>
      <c r="F71" s="778">
        <f>Fp1_u</f>
        <v>0.75343209626019259</v>
      </c>
      <c r="G71" s="418" t="s">
        <v>647</v>
      </c>
      <c r="H71" s="134"/>
      <c r="I71" s="478"/>
      <c r="J71" s="127"/>
      <c r="K71" s="83"/>
      <c r="L71" s="83"/>
      <c r="M71" s="83"/>
      <c r="N71" s="83"/>
      <c r="O71" s="83"/>
      <c r="P71" s="106"/>
      <c r="Q71" s="483"/>
      <c r="R71" s="188"/>
      <c r="S71" s="188"/>
      <c r="T71" s="189"/>
      <c r="U71" s="189"/>
      <c r="V71" s="188"/>
      <c r="W71" s="188"/>
      <c r="X71" s="188"/>
      <c r="Y71" s="189"/>
      <c r="Z71" s="189"/>
      <c r="AA71" s="188"/>
      <c r="AB71" s="188"/>
      <c r="AC71" s="188"/>
      <c r="AD71" s="189"/>
      <c r="AE71" s="189"/>
      <c r="AF71" s="54"/>
      <c r="AG71" s="54"/>
      <c r="AH71" s="54"/>
    </row>
    <row r="72" spans="1:34" ht="15.75" x14ac:dyDescent="0.3">
      <c r="A72" s="171" t="s">
        <v>227</v>
      </c>
      <c r="B72" s="470">
        <f>Cc1ea*1000000000</f>
        <v>3.2559467793672514</v>
      </c>
      <c r="C72" s="143">
        <f>'Standard Value Calculator'!S33</f>
        <v>3.3000000000000003</v>
      </c>
      <c r="D72" s="148">
        <f>C72</f>
        <v>3.3000000000000003</v>
      </c>
      <c r="E72" s="169" t="s">
        <v>141</v>
      </c>
      <c r="F72" s="419">
        <f>Fz1_u/1000</f>
        <v>3.9858488172741384</v>
      </c>
      <c r="G72" s="420" t="s">
        <v>495</v>
      </c>
      <c r="H72" s="134"/>
      <c r="I72" s="478"/>
      <c r="J72" s="127"/>
      <c r="K72" s="83"/>
      <c r="L72" s="83"/>
      <c r="M72" s="83"/>
      <c r="N72" s="83"/>
      <c r="O72" s="83"/>
      <c r="P72" s="106"/>
      <c r="Q72" s="483"/>
      <c r="R72" s="188"/>
      <c r="S72" s="188"/>
      <c r="T72" s="189"/>
      <c r="U72" s="189"/>
      <c r="V72" s="188"/>
      <c r="W72" s="188"/>
      <c r="X72" s="188"/>
      <c r="Y72" s="189"/>
      <c r="Z72" s="189"/>
      <c r="AA72" s="188"/>
      <c r="AB72" s="188"/>
      <c r="AC72" s="188"/>
      <c r="AD72" s="189"/>
      <c r="AE72" s="189"/>
      <c r="AF72" s="54"/>
      <c r="AG72" s="54"/>
      <c r="AH72" s="54"/>
    </row>
    <row r="73" spans="1:34" ht="16.5" thickBot="1" x14ac:dyDescent="0.35">
      <c r="A73" s="357" t="s">
        <v>228</v>
      </c>
      <c r="B73" s="181" t="str">
        <f>IF(Cc2ea&lt;0, "N/A", Cc2ea*1000000000000)</f>
        <v>N/A</v>
      </c>
      <c r="C73" s="177">
        <f>'Standard Value Calculator'!S34</f>
        <v>0</v>
      </c>
      <c r="D73" s="178">
        <f>C73</f>
        <v>0</v>
      </c>
      <c r="E73" s="179" t="s">
        <v>30</v>
      </c>
      <c r="F73" s="423">
        <f>Fp2_u/1000</f>
        <v>413.22314049586788</v>
      </c>
      <c r="G73" s="421" t="s">
        <v>496</v>
      </c>
      <c r="H73" s="134"/>
      <c r="I73" s="83"/>
      <c r="J73" s="83"/>
      <c r="K73" s="83"/>
      <c r="L73" s="83"/>
      <c r="M73" s="83"/>
      <c r="N73" s="83"/>
      <c r="O73" s="83"/>
      <c r="P73" s="106"/>
      <c r="Q73" s="483"/>
      <c r="R73" s="188"/>
      <c r="S73" s="188"/>
      <c r="T73" s="189"/>
      <c r="U73" s="189"/>
      <c r="V73" s="188"/>
      <c r="W73" s="188"/>
      <c r="X73" s="188"/>
      <c r="Y73" s="189"/>
      <c r="Z73" s="189"/>
      <c r="AA73" s="188"/>
      <c r="AB73" s="188"/>
      <c r="AC73" s="188"/>
      <c r="AD73" s="189"/>
      <c r="AE73" s="189"/>
      <c r="AF73" s="54"/>
      <c r="AG73" s="54"/>
      <c r="AH73" s="54"/>
    </row>
    <row r="74" spans="1:34" x14ac:dyDescent="0.2">
      <c r="A74" s="170"/>
      <c r="B74" s="180"/>
      <c r="C74" s="636"/>
      <c r="D74" s="642"/>
      <c r="E74" s="637"/>
      <c r="F74" s="638"/>
      <c r="G74" s="639"/>
      <c r="H74" s="134"/>
      <c r="I74" s="83"/>
      <c r="J74" s="83"/>
      <c r="K74" s="83"/>
      <c r="L74" s="83"/>
      <c r="M74" s="123"/>
      <c r="N74" s="780"/>
      <c r="O74" s="132"/>
      <c r="P74" s="106"/>
      <c r="Q74" s="483"/>
      <c r="R74" s="188"/>
      <c r="S74" s="188"/>
      <c r="T74" s="189"/>
      <c r="U74" s="189"/>
      <c r="V74" s="188"/>
      <c r="W74" s="188"/>
      <c r="X74" s="188"/>
      <c r="Y74" s="189"/>
      <c r="Z74" s="189"/>
      <c r="AA74" s="188"/>
      <c r="AB74" s="188"/>
      <c r="AC74" s="188"/>
      <c r="AD74" s="189"/>
      <c r="AE74" s="189"/>
      <c r="AF74" s="54"/>
      <c r="AG74" s="54"/>
      <c r="AH74" s="54"/>
    </row>
    <row r="75" spans="1:34" ht="13.5" thickBot="1" x14ac:dyDescent="0.25">
      <c r="A75" s="126"/>
      <c r="B75" s="124"/>
      <c r="C75" s="640"/>
      <c r="D75" s="641"/>
      <c r="E75" s="641"/>
      <c r="F75" s="641"/>
      <c r="G75" s="641"/>
      <c r="H75" s="127"/>
      <c r="I75" s="83"/>
      <c r="J75" s="83"/>
      <c r="K75" s="83"/>
      <c r="L75" s="83"/>
      <c r="M75" s="83"/>
      <c r="N75" s="83"/>
      <c r="O75" s="83"/>
      <c r="P75" s="106"/>
      <c r="Q75" s="483"/>
      <c r="R75" s="188"/>
      <c r="S75" s="188"/>
      <c r="T75" s="189"/>
      <c r="U75" s="189"/>
      <c r="V75" s="188"/>
      <c r="W75" s="188"/>
      <c r="X75" s="188"/>
      <c r="Y75" s="189"/>
      <c r="Z75" s="189"/>
      <c r="AA75" s="188"/>
      <c r="AB75" s="188"/>
      <c r="AC75" s="188"/>
      <c r="AD75" s="189"/>
      <c r="AE75" s="189"/>
      <c r="AF75" s="54"/>
      <c r="AG75" s="54"/>
      <c r="AH75" s="54"/>
    </row>
    <row r="76" spans="1:34" s="86" customFormat="1" ht="18.75" thickBot="1" x14ac:dyDescent="0.3">
      <c r="A76" s="186" t="s">
        <v>229</v>
      </c>
      <c r="B76" s="138"/>
      <c r="C76" s="149"/>
      <c r="D76" s="149"/>
      <c r="E76" s="149"/>
      <c r="F76" s="149"/>
      <c r="G76" s="149"/>
      <c r="H76" s="149"/>
      <c r="I76" s="84"/>
      <c r="J76" s="84"/>
      <c r="K76" s="84"/>
      <c r="L76" s="84"/>
      <c r="M76" s="84"/>
      <c r="N76" s="84"/>
      <c r="O76" s="84"/>
      <c r="P76" s="85"/>
      <c r="Q76" s="486"/>
      <c r="R76" s="190"/>
      <c r="S76" s="190"/>
      <c r="T76" s="191"/>
      <c r="U76" s="191"/>
      <c r="V76" s="190"/>
      <c r="W76" s="190"/>
      <c r="X76" s="190"/>
      <c r="Y76" s="191"/>
      <c r="Z76" s="191"/>
      <c r="AA76" s="190"/>
      <c r="AB76" s="190"/>
      <c r="AC76" s="190"/>
      <c r="AD76" s="191"/>
      <c r="AE76" s="191"/>
      <c r="AF76" s="55"/>
      <c r="AG76" s="55"/>
      <c r="AH76" s="55"/>
    </row>
    <row r="77" spans="1:34" x14ac:dyDescent="0.2">
      <c r="A77" s="184"/>
      <c r="B77" s="134"/>
      <c r="C77" s="127"/>
      <c r="D77" s="127"/>
      <c r="E77" s="127"/>
      <c r="F77" s="127"/>
      <c r="G77" s="127"/>
      <c r="H77" s="127"/>
      <c r="I77" s="83"/>
      <c r="J77" s="83"/>
      <c r="K77" s="83"/>
      <c r="L77" s="83"/>
      <c r="M77" s="83"/>
      <c r="N77" s="83"/>
      <c r="O77" s="83"/>
      <c r="P77" s="106"/>
      <c r="Q77" s="483"/>
      <c r="R77" s="188"/>
      <c r="S77" s="188"/>
      <c r="T77" s="189"/>
      <c r="U77" s="189"/>
      <c r="V77" s="188"/>
      <c r="W77" s="188"/>
      <c r="X77" s="188"/>
      <c r="Y77" s="189"/>
      <c r="Z77" s="189"/>
      <c r="AA77" s="188"/>
      <c r="AB77" s="188"/>
      <c r="AC77" s="188"/>
      <c r="AD77" s="189"/>
      <c r="AE77" s="189"/>
      <c r="AF77" s="54"/>
      <c r="AG77" s="54"/>
      <c r="AH77" s="54"/>
    </row>
    <row r="78" spans="1:34" ht="19.5" thickBot="1" x14ac:dyDescent="0.35">
      <c r="A78" s="150" t="s">
        <v>190</v>
      </c>
      <c r="B78" s="131"/>
      <c r="C78" s="127"/>
      <c r="D78" s="127"/>
      <c r="E78" s="127"/>
      <c r="F78" s="127"/>
      <c r="G78" s="127"/>
      <c r="H78" s="127"/>
      <c r="I78" s="83"/>
      <c r="J78" s="83"/>
      <c r="K78" s="83"/>
      <c r="L78" s="83"/>
      <c r="M78" s="83"/>
      <c r="N78" s="83"/>
      <c r="O78" s="83"/>
      <c r="P78" s="106"/>
      <c r="Q78" s="483"/>
      <c r="R78" s="188"/>
      <c r="S78" s="188"/>
      <c r="T78" s="189"/>
      <c r="U78" s="189"/>
      <c r="V78" s="188"/>
      <c r="W78" s="188"/>
      <c r="X78" s="188"/>
      <c r="Y78" s="189"/>
      <c r="Z78" s="189"/>
      <c r="AA78" s="188"/>
      <c r="AB78" s="188"/>
      <c r="AC78" s="188"/>
      <c r="AD78" s="189"/>
      <c r="AE78" s="189"/>
      <c r="AF78" s="54"/>
      <c r="AG78" s="54"/>
      <c r="AH78" s="54"/>
    </row>
    <row r="79" spans="1:34" ht="18" customHeight="1" x14ac:dyDescent="0.25">
      <c r="A79" s="172"/>
      <c r="B79" s="173"/>
      <c r="C79" s="542"/>
      <c r="D79" s="542"/>
      <c r="E79" s="542"/>
      <c r="F79" s="201" t="s">
        <v>737</v>
      </c>
      <c r="G79" s="579" t="s">
        <v>683</v>
      </c>
      <c r="H79" s="588"/>
      <c r="I79" s="600"/>
      <c r="J79" s="83"/>
      <c r="K79" s="83"/>
      <c r="L79" s="83"/>
      <c r="M79" s="83"/>
      <c r="N79" s="83"/>
      <c r="O79" s="83"/>
      <c r="P79" s="106"/>
      <c r="Q79" s="483"/>
      <c r="R79" s="188"/>
      <c r="S79" s="120"/>
      <c r="T79" s="120"/>
      <c r="U79" s="189"/>
      <c r="V79" s="188"/>
      <c r="W79" s="188"/>
      <c r="X79" s="188"/>
      <c r="Y79" s="189"/>
      <c r="Z79" s="189"/>
      <c r="AA79" s="188"/>
      <c r="AB79" s="188"/>
      <c r="AC79" s="188"/>
      <c r="AD79" s="189"/>
      <c r="AE79" s="189"/>
      <c r="AF79" s="54"/>
      <c r="AG79" s="54"/>
      <c r="AH79" s="54"/>
    </row>
    <row r="80" spans="1:34" ht="14.25" customHeight="1" x14ac:dyDescent="0.2">
      <c r="A80" s="576"/>
      <c r="B80" s="132"/>
      <c r="C80" s="577"/>
      <c r="D80" s="578"/>
      <c r="E80" s="777" t="s">
        <v>944</v>
      </c>
      <c r="F80" s="127"/>
      <c r="G80" s="162"/>
      <c r="H80" s="662"/>
      <c r="I80" s="134"/>
      <c r="J80" s="83"/>
      <c r="K80" s="83"/>
      <c r="L80" s="83"/>
      <c r="M80" s="83"/>
      <c r="N80" s="83"/>
      <c r="O80" s="83"/>
      <c r="P80" s="106"/>
      <c r="Q80" s="483"/>
      <c r="R80" s="188"/>
      <c r="S80" s="120"/>
      <c r="T80" s="120"/>
      <c r="U80" s="189"/>
      <c r="V80" s="188"/>
      <c r="W80" s="188"/>
      <c r="X80" s="188"/>
      <c r="Y80" s="189"/>
      <c r="Z80" s="189"/>
      <c r="AA80" s="188"/>
      <c r="AB80" s="188"/>
      <c r="AC80" s="188"/>
      <c r="AD80" s="189"/>
      <c r="AE80" s="189"/>
      <c r="AF80" s="54"/>
      <c r="AG80" s="54"/>
      <c r="AH80" s="54"/>
    </row>
    <row r="81" spans="1:34" ht="14.65" customHeight="1" x14ac:dyDescent="0.2">
      <c r="A81" s="468"/>
      <c r="B81" s="112"/>
      <c r="C81" s="112"/>
      <c r="D81" s="112"/>
      <c r="E81" s="469" t="s">
        <v>676</v>
      </c>
      <c r="F81" s="789" t="s">
        <v>528</v>
      </c>
      <c r="G81" s="790"/>
      <c r="H81" s="599"/>
      <c r="I81" s="601"/>
      <c r="J81" s="83"/>
      <c r="K81" s="83"/>
      <c r="L81" s="83"/>
      <c r="M81" s="83"/>
      <c r="N81" s="83"/>
      <c r="O81" s="83"/>
      <c r="P81" s="106"/>
      <c r="Q81" s="483"/>
      <c r="R81" s="188"/>
      <c r="S81" s="120"/>
      <c r="T81" s="120"/>
      <c r="U81" s="189"/>
      <c r="V81" s="188"/>
      <c r="W81" s="188"/>
      <c r="X81" s="188"/>
      <c r="Y81" s="189"/>
      <c r="Z81" s="189"/>
      <c r="AA81" s="188"/>
      <c r="AB81" s="188"/>
      <c r="AC81" s="188"/>
      <c r="AD81" s="189"/>
      <c r="AE81" s="189"/>
      <c r="AF81" s="54"/>
      <c r="AG81" s="54"/>
      <c r="AH81" s="54"/>
    </row>
    <row r="82" spans="1:34" ht="14.65" customHeight="1" x14ac:dyDescent="0.25">
      <c r="A82" s="126"/>
      <c r="B82" s="127"/>
      <c r="C82" s="132"/>
      <c r="D82" s="123" t="s">
        <v>264</v>
      </c>
      <c r="E82" s="250">
        <v>12</v>
      </c>
      <c r="F82" s="128">
        <v>4.0999999999999996</v>
      </c>
      <c r="G82" s="162" t="s">
        <v>49</v>
      </c>
      <c r="H82" s="581"/>
      <c r="I82" s="134"/>
      <c r="J82" s="83"/>
      <c r="K82" s="83"/>
      <c r="L82" s="83"/>
      <c r="M82" s="83"/>
      <c r="N82" s="83"/>
      <c r="O82" s="83"/>
      <c r="P82" s="106"/>
      <c r="Q82" s="483"/>
      <c r="R82" s="188"/>
      <c r="S82" s="120"/>
      <c r="T82" s="120"/>
      <c r="U82" s="189"/>
      <c r="V82" s="188"/>
      <c r="W82" s="188"/>
      <c r="X82" s="188"/>
      <c r="Y82" s="189"/>
      <c r="Z82" s="189"/>
      <c r="AA82" s="188"/>
      <c r="AB82" s="188"/>
      <c r="AC82" s="188"/>
      <c r="AD82" s="189"/>
      <c r="AE82" s="189"/>
      <c r="AF82" s="54"/>
      <c r="AG82" s="54"/>
      <c r="AH82" s="54"/>
    </row>
    <row r="83" spans="1:34" ht="14.65" customHeight="1" x14ac:dyDescent="0.25">
      <c r="A83" s="126"/>
      <c r="B83" s="127"/>
      <c r="C83" s="132"/>
      <c r="D83" s="123" t="s">
        <v>265</v>
      </c>
      <c r="E83" s="128">
        <v>8</v>
      </c>
      <c r="F83" s="128">
        <v>25</v>
      </c>
      <c r="G83" s="162" t="s">
        <v>65</v>
      </c>
      <c r="H83" s="581"/>
      <c r="I83" s="134"/>
      <c r="J83" s="83"/>
      <c r="K83" s="83"/>
      <c r="L83" s="83"/>
      <c r="M83" s="83"/>
      <c r="N83" s="83"/>
      <c r="O83" s="83"/>
      <c r="P83" s="106"/>
      <c r="Q83" s="483"/>
      <c r="R83" s="188"/>
      <c r="S83" s="120"/>
      <c r="T83" s="120"/>
      <c r="U83" s="189"/>
      <c r="V83" s="188"/>
      <c r="W83" s="188"/>
      <c r="X83" s="188"/>
      <c r="Y83" s="189"/>
      <c r="Z83" s="189"/>
      <c r="AA83" s="188"/>
      <c r="AB83" s="188"/>
      <c r="AC83" s="188"/>
      <c r="AD83" s="189"/>
      <c r="AE83" s="189"/>
      <c r="AF83" s="54"/>
      <c r="AG83" s="54"/>
      <c r="AH83" s="54"/>
    </row>
    <row r="84" spans="1:34" ht="14.65" customHeight="1" x14ac:dyDescent="0.25">
      <c r="A84" s="126"/>
      <c r="B84" s="127"/>
      <c r="C84" s="132"/>
      <c r="D84" s="123" t="s">
        <v>266</v>
      </c>
      <c r="E84" s="128">
        <v>2.9</v>
      </c>
      <c r="F84" s="128">
        <v>9</v>
      </c>
      <c r="G84" s="162" t="s">
        <v>65</v>
      </c>
      <c r="H84" s="581"/>
      <c r="I84" s="134"/>
      <c r="J84" s="83"/>
      <c r="K84" s="83"/>
      <c r="L84" s="83"/>
      <c r="M84" s="83"/>
      <c r="N84" s="83"/>
      <c r="O84" s="83"/>
      <c r="P84" s="106"/>
      <c r="Q84" s="483"/>
      <c r="R84" s="188"/>
      <c r="S84" s="120"/>
      <c r="T84" s="120"/>
      <c r="U84" s="189"/>
      <c r="V84" s="188"/>
      <c r="W84" s="188"/>
      <c r="X84" s="188"/>
      <c r="Y84" s="189"/>
      <c r="Z84" s="189"/>
      <c r="AA84" s="188"/>
      <c r="AB84" s="188"/>
      <c r="AC84" s="188"/>
      <c r="AD84" s="189"/>
      <c r="AE84" s="189"/>
      <c r="AF84" s="54"/>
      <c r="AG84" s="54"/>
      <c r="AH84" s="54"/>
    </row>
    <row r="85" spans="1:34" ht="14.65" customHeight="1" x14ac:dyDescent="0.25">
      <c r="A85" s="126"/>
      <c r="B85" s="127"/>
      <c r="C85" s="132"/>
      <c r="D85" s="123" t="s">
        <v>267</v>
      </c>
      <c r="E85" s="128">
        <v>3.1</v>
      </c>
      <c r="F85" s="128">
        <v>8.6999999999999993</v>
      </c>
      <c r="G85" s="162" t="s">
        <v>65</v>
      </c>
      <c r="H85" s="581"/>
      <c r="I85" s="134"/>
      <c r="J85" s="83"/>
      <c r="K85" s="83"/>
      <c r="L85" s="83"/>
      <c r="M85" s="83"/>
      <c r="N85" s="83"/>
      <c r="O85" s="83"/>
      <c r="P85" s="106"/>
      <c r="Q85" s="483"/>
      <c r="R85" s="188"/>
      <c r="S85" s="120"/>
      <c r="T85" s="120"/>
      <c r="U85" s="189"/>
      <c r="V85" s="188"/>
      <c r="W85" s="188"/>
      <c r="X85" s="188"/>
      <c r="Y85" s="189"/>
      <c r="Z85" s="189"/>
      <c r="AA85" s="188"/>
      <c r="AB85" s="188"/>
      <c r="AC85" s="188"/>
      <c r="AD85" s="189"/>
      <c r="AE85" s="189"/>
      <c r="AF85" s="54"/>
      <c r="AG85" s="54"/>
      <c r="AH85" s="54"/>
    </row>
    <row r="86" spans="1:34" ht="14.65" customHeight="1" x14ac:dyDescent="0.25">
      <c r="A86" s="468"/>
      <c r="B86" s="112"/>
      <c r="C86" s="112"/>
      <c r="D86" s="123" t="s">
        <v>714</v>
      </c>
      <c r="E86" s="581"/>
      <c r="F86" s="128">
        <v>30</v>
      </c>
      <c r="G86" s="162" t="s">
        <v>65</v>
      </c>
      <c r="H86" s="581"/>
      <c r="I86" s="134"/>
      <c r="J86" s="83"/>
      <c r="K86" s="83"/>
      <c r="L86" s="83"/>
      <c r="M86" s="83"/>
      <c r="N86" s="83"/>
      <c r="O86" s="83"/>
      <c r="P86" s="106"/>
      <c r="Q86" s="483"/>
      <c r="R86" s="188"/>
      <c r="S86" s="120"/>
      <c r="T86" s="120"/>
      <c r="U86" s="189"/>
      <c r="V86" s="188"/>
      <c r="W86" s="188"/>
      <c r="X86" s="188"/>
      <c r="Y86" s="189"/>
      <c r="Z86" s="189"/>
      <c r="AA86" s="188"/>
      <c r="AB86" s="188"/>
      <c r="AC86" s="188"/>
      <c r="AD86" s="189"/>
      <c r="AE86" s="189"/>
      <c r="AF86" s="54"/>
      <c r="AG86" s="54"/>
      <c r="AH86" s="54"/>
    </row>
    <row r="87" spans="1:34" ht="14.65" customHeight="1" x14ac:dyDescent="0.25">
      <c r="A87" s="468"/>
      <c r="B87" s="112"/>
      <c r="C87" s="112"/>
      <c r="D87" s="123" t="s">
        <v>713</v>
      </c>
      <c r="E87" s="128">
        <v>116</v>
      </c>
      <c r="F87" s="128">
        <v>366</v>
      </c>
      <c r="G87" s="162" t="s">
        <v>30</v>
      </c>
      <c r="H87" s="581"/>
      <c r="I87" s="134"/>
      <c r="J87" s="83"/>
      <c r="K87" s="83"/>
      <c r="L87" s="83"/>
      <c r="M87" s="83"/>
      <c r="N87" s="83"/>
      <c r="O87" s="83"/>
      <c r="P87" s="106"/>
      <c r="Q87" s="483"/>
      <c r="R87" s="188"/>
      <c r="S87" s="120"/>
      <c r="T87" s="120"/>
      <c r="U87" s="189"/>
      <c r="V87" s="188"/>
      <c r="W87" s="188"/>
      <c r="X87" s="188"/>
      <c r="Y87" s="189"/>
      <c r="Z87" s="189"/>
      <c r="AA87" s="188"/>
      <c r="AB87" s="188"/>
      <c r="AC87" s="188"/>
      <c r="AD87" s="189"/>
      <c r="AE87" s="189"/>
      <c r="AF87" s="54"/>
      <c r="AG87" s="54"/>
      <c r="AH87" s="54"/>
    </row>
    <row r="88" spans="1:34" ht="14.65" customHeight="1" x14ac:dyDescent="0.25">
      <c r="A88" s="126"/>
      <c r="B88" s="127"/>
      <c r="C88" s="132"/>
      <c r="D88" s="123" t="s">
        <v>268</v>
      </c>
      <c r="E88" s="128">
        <v>1.2</v>
      </c>
      <c r="F88" s="128">
        <v>1.2</v>
      </c>
      <c r="G88" s="162" t="s">
        <v>138</v>
      </c>
      <c r="H88" s="581"/>
      <c r="I88" s="134"/>
      <c r="J88" s="83"/>
      <c r="K88" s="83"/>
      <c r="L88" s="83"/>
      <c r="M88" s="83"/>
      <c r="N88" s="83"/>
      <c r="O88" s="83"/>
      <c r="P88" s="106"/>
      <c r="Q88" s="483"/>
      <c r="R88" s="188"/>
      <c r="S88" s="120"/>
      <c r="T88" s="120"/>
      <c r="U88" s="189"/>
      <c r="V88" s="188"/>
      <c r="W88" s="188"/>
      <c r="X88" s="188"/>
      <c r="Y88" s="189"/>
      <c r="Z88" s="189"/>
      <c r="AA88" s="188"/>
      <c r="AB88" s="188"/>
      <c r="AC88" s="188"/>
      <c r="AD88" s="189"/>
      <c r="AE88" s="189"/>
      <c r="AF88" s="54"/>
      <c r="AG88" s="54"/>
      <c r="AH88" s="54"/>
    </row>
    <row r="89" spans="1:34" ht="14.65" customHeight="1" x14ac:dyDescent="0.25">
      <c r="A89" s="126"/>
      <c r="B89" s="127"/>
      <c r="C89" s="132"/>
      <c r="D89" s="123" t="s">
        <v>269</v>
      </c>
      <c r="E89" s="128">
        <v>55</v>
      </c>
      <c r="F89" s="128">
        <v>178</v>
      </c>
      <c r="G89" s="162" t="s">
        <v>66</v>
      </c>
      <c r="H89" s="581"/>
      <c r="I89" s="134"/>
      <c r="J89" s="83"/>
      <c r="K89" s="83"/>
      <c r="L89" s="83"/>
      <c r="M89" s="83"/>
      <c r="N89" s="83"/>
      <c r="O89" s="83"/>
      <c r="P89" s="106"/>
      <c r="Q89" s="483"/>
      <c r="R89" s="188"/>
      <c r="S89" s="120"/>
      <c r="T89" s="120"/>
      <c r="U89" s="189"/>
      <c r="V89" s="188"/>
      <c r="W89" s="188"/>
      <c r="X89" s="188"/>
      <c r="Y89" s="189"/>
      <c r="Z89" s="189"/>
      <c r="AA89" s="188"/>
      <c r="AB89" s="188"/>
      <c r="AC89" s="188"/>
      <c r="AD89" s="189"/>
      <c r="AE89" s="189"/>
      <c r="AF89" s="54"/>
      <c r="AG89" s="54"/>
      <c r="AH89" s="54"/>
    </row>
    <row r="90" spans="1:34" ht="14.65" customHeight="1" x14ac:dyDescent="0.25">
      <c r="A90" s="126"/>
      <c r="B90" s="127"/>
      <c r="C90" s="132"/>
      <c r="D90" s="123" t="s">
        <v>526</v>
      </c>
      <c r="E90" s="128">
        <v>3.1</v>
      </c>
      <c r="F90" s="128">
        <v>3</v>
      </c>
      <c r="G90" s="162" t="s">
        <v>0</v>
      </c>
      <c r="H90" s="581"/>
      <c r="I90" s="134"/>
      <c r="J90" s="83"/>
      <c r="K90" s="83"/>
      <c r="L90" s="83"/>
      <c r="M90" s="83"/>
      <c r="N90" s="83"/>
      <c r="O90" s="83"/>
      <c r="P90" s="106"/>
      <c r="Q90" s="483"/>
      <c r="R90" s="188"/>
      <c r="S90" s="120"/>
      <c r="T90" s="120"/>
      <c r="U90" s="189"/>
      <c r="V90" s="188"/>
      <c r="W90" s="188"/>
      <c r="X90" s="188"/>
      <c r="Y90" s="189"/>
      <c r="Z90" s="189"/>
      <c r="AA90" s="188"/>
      <c r="AB90" s="188"/>
      <c r="AC90" s="188"/>
      <c r="AD90" s="189"/>
      <c r="AE90" s="189"/>
      <c r="AF90" s="54"/>
      <c r="AG90" s="54"/>
      <c r="AH90" s="54"/>
    </row>
    <row r="91" spans="1:34" ht="14.65" customHeight="1" x14ac:dyDescent="0.25">
      <c r="A91" s="126"/>
      <c r="B91" s="127"/>
      <c r="C91" s="132"/>
      <c r="D91" s="123" t="s">
        <v>523</v>
      </c>
      <c r="E91" s="128">
        <v>0.7</v>
      </c>
      <c r="F91" s="128">
        <v>0.7</v>
      </c>
      <c r="G91" s="162" t="s">
        <v>0</v>
      </c>
      <c r="H91" s="581"/>
      <c r="I91" s="134"/>
      <c r="J91" s="83"/>
      <c r="K91" s="83"/>
      <c r="L91" s="83"/>
      <c r="M91" s="83"/>
      <c r="N91" s="83"/>
      <c r="O91" s="83"/>
      <c r="P91" s="106"/>
      <c r="Q91" s="483"/>
      <c r="R91" s="188"/>
      <c r="S91" s="120"/>
      <c r="T91" s="120"/>
      <c r="U91" s="189"/>
      <c r="V91" s="188"/>
      <c r="W91" s="188"/>
      <c r="X91" s="188"/>
      <c r="Y91" s="189"/>
      <c r="Z91" s="189"/>
      <c r="AA91" s="188"/>
      <c r="AB91" s="188"/>
      <c r="AC91" s="188"/>
      <c r="AD91" s="189"/>
      <c r="AE91" s="189"/>
      <c r="AF91" s="54"/>
      <c r="AG91" s="54"/>
      <c r="AH91" s="54"/>
    </row>
    <row r="92" spans="1:34" ht="14.25" customHeight="1" x14ac:dyDescent="0.25">
      <c r="A92" s="126"/>
      <c r="B92" s="127"/>
      <c r="C92" s="127"/>
      <c r="D92" s="123" t="s">
        <v>525</v>
      </c>
      <c r="E92" s="2"/>
      <c r="F92" s="128">
        <v>59</v>
      </c>
      <c r="G92" s="162" t="s">
        <v>65</v>
      </c>
      <c r="H92" s="588"/>
      <c r="I92" s="134"/>
      <c r="J92" s="83"/>
      <c r="K92" s="83"/>
      <c r="L92" s="83"/>
      <c r="M92" s="83"/>
      <c r="N92" s="83"/>
      <c r="O92" s="83"/>
      <c r="P92" s="106"/>
      <c r="Q92" s="483"/>
      <c r="R92" s="188"/>
      <c r="S92" s="120"/>
      <c r="T92" s="120"/>
      <c r="U92" s="189"/>
      <c r="V92" s="188"/>
      <c r="W92" s="188"/>
      <c r="X92" s="188"/>
      <c r="Y92" s="189"/>
      <c r="Z92" s="189"/>
      <c r="AA92" s="188"/>
      <c r="AB92" s="188"/>
      <c r="AC92" s="188"/>
      <c r="AD92" s="189"/>
      <c r="AE92" s="189"/>
      <c r="AF92" s="54"/>
      <c r="AG92" s="54"/>
      <c r="AH92" s="54"/>
    </row>
    <row r="93" spans="1:34" ht="14.65" customHeight="1" thickBot="1" x14ac:dyDescent="0.3">
      <c r="A93" s="192"/>
      <c r="B93" s="174"/>
      <c r="C93" s="193"/>
      <c r="D93" s="175" t="s">
        <v>270</v>
      </c>
      <c r="E93" s="246">
        <v>42</v>
      </c>
      <c r="F93" s="246">
        <v>40.700000000000003</v>
      </c>
      <c r="G93" s="176" t="s">
        <v>202</v>
      </c>
      <c r="H93" s="632"/>
      <c r="I93" s="134"/>
      <c r="J93" s="83"/>
      <c r="K93" s="83"/>
      <c r="L93" s="83"/>
      <c r="M93" s="83"/>
      <c r="N93" s="83"/>
      <c r="O93" s="83"/>
      <c r="P93" s="106"/>
      <c r="Q93" s="483"/>
      <c r="R93" s="188"/>
      <c r="S93" s="120"/>
      <c r="T93" s="120"/>
      <c r="U93" s="189"/>
      <c r="V93" s="188"/>
      <c r="W93" s="188"/>
      <c r="X93" s="188"/>
      <c r="Y93" s="189"/>
      <c r="Z93" s="189"/>
      <c r="AA93" s="188"/>
      <c r="AB93" s="188"/>
      <c r="AC93" s="188"/>
      <c r="AD93" s="189"/>
      <c r="AE93" s="189"/>
      <c r="AF93" s="54"/>
      <c r="AG93" s="54"/>
      <c r="AH93" s="54"/>
    </row>
    <row r="94" spans="1:34" ht="14.65" customHeight="1" thickBot="1" x14ac:dyDescent="0.25">
      <c r="A94" s="126"/>
      <c r="B94" s="127"/>
      <c r="C94" s="132"/>
      <c r="D94" s="123"/>
      <c r="E94" s="134"/>
      <c r="F94" s="194"/>
      <c r="G94" s="127"/>
      <c r="H94" s="127"/>
      <c r="I94" s="83"/>
      <c r="J94" s="83"/>
      <c r="K94" s="83"/>
      <c r="L94" s="83"/>
      <c r="M94" s="83"/>
      <c r="N94" s="83"/>
      <c r="O94" s="83"/>
      <c r="P94" s="106"/>
      <c r="Q94" s="483"/>
      <c r="R94" s="188"/>
      <c r="S94" s="120"/>
      <c r="T94" s="120"/>
      <c r="U94" s="189"/>
      <c r="V94" s="188"/>
      <c r="W94" s="188"/>
      <c r="X94" s="188"/>
      <c r="Y94" s="189"/>
      <c r="Z94" s="189"/>
      <c r="AA94" s="188"/>
      <c r="AB94" s="188"/>
      <c r="AC94" s="188"/>
      <c r="AD94" s="189"/>
      <c r="AE94" s="189"/>
      <c r="AF94" s="54"/>
      <c r="AG94" s="54"/>
      <c r="AH94" s="54"/>
    </row>
    <row r="95" spans="1:34" ht="14.65" customHeight="1" x14ac:dyDescent="0.2">
      <c r="A95" s="571" t="s">
        <v>494</v>
      </c>
      <c r="B95" s="458"/>
      <c r="C95" s="459"/>
      <c r="D95" s="471"/>
      <c r="E95" s="564"/>
      <c r="F95" s="565"/>
      <c r="G95" s="460"/>
      <c r="H95" s="127"/>
      <c r="I95" s="83"/>
      <c r="J95" s="83"/>
      <c r="K95" s="83"/>
      <c r="L95" s="83"/>
      <c r="M95" s="83"/>
      <c r="N95" s="83"/>
      <c r="O95" s="83"/>
      <c r="P95" s="106"/>
      <c r="Q95" s="483"/>
      <c r="R95" s="188"/>
      <c r="S95" s="120"/>
      <c r="T95" s="120"/>
      <c r="U95" s="189"/>
      <c r="V95" s="188"/>
      <c r="W95" s="188"/>
      <c r="X95" s="188"/>
      <c r="Y95" s="189"/>
      <c r="Z95" s="189"/>
      <c r="AA95" s="188"/>
      <c r="AB95" s="188"/>
      <c r="AC95" s="188"/>
      <c r="AD95" s="189"/>
      <c r="AE95" s="189"/>
      <c r="AF95" s="54"/>
      <c r="AG95" s="54"/>
      <c r="AH95" s="54"/>
    </row>
    <row r="96" spans="1:34" ht="14.65" customHeight="1" x14ac:dyDescent="0.25">
      <c r="A96" s="126"/>
      <c r="B96" s="127"/>
      <c r="C96" s="127"/>
      <c r="D96" s="123" t="s">
        <v>527</v>
      </c>
      <c r="E96" s="112"/>
      <c r="F96" s="247">
        <v>0</v>
      </c>
      <c r="G96" s="162" t="s">
        <v>0</v>
      </c>
      <c r="H96" s="127"/>
      <c r="I96" s="83"/>
      <c r="J96" s="83"/>
      <c r="K96" s="83"/>
      <c r="L96" s="83"/>
      <c r="M96" s="83"/>
      <c r="N96" s="83"/>
      <c r="O96" s="83"/>
      <c r="P96" s="106"/>
      <c r="Q96" s="483"/>
      <c r="R96" s="188"/>
      <c r="S96" s="120"/>
      <c r="T96" s="120"/>
      <c r="U96" s="189"/>
      <c r="V96" s="188"/>
      <c r="W96" s="188"/>
      <c r="X96" s="188"/>
      <c r="Y96" s="189"/>
      <c r="Z96" s="189"/>
      <c r="AA96" s="188"/>
      <c r="AB96" s="188"/>
      <c r="AC96" s="188"/>
      <c r="AD96" s="189"/>
      <c r="AE96" s="189"/>
      <c r="AF96" s="54"/>
      <c r="AG96" s="54"/>
      <c r="AH96" s="54"/>
    </row>
    <row r="97" spans="1:34" ht="14.65" customHeight="1" thickBot="1" x14ac:dyDescent="0.3">
      <c r="A97" s="192"/>
      <c r="B97" s="174"/>
      <c r="C97" s="174"/>
      <c r="D97" s="175" t="s">
        <v>524</v>
      </c>
      <c r="E97" s="543"/>
      <c r="F97" s="248">
        <v>0</v>
      </c>
      <c r="G97" s="176" t="s">
        <v>65</v>
      </c>
      <c r="H97" s="127"/>
      <c r="I97" s="83"/>
      <c r="J97" s="83"/>
      <c r="K97" s="83"/>
      <c r="L97" s="83"/>
      <c r="M97" s="83"/>
      <c r="N97" s="83"/>
      <c r="O97" s="83"/>
      <c r="P97" s="106"/>
      <c r="Q97" s="483"/>
      <c r="R97" s="188"/>
      <c r="S97" s="120"/>
      <c r="T97" s="120"/>
      <c r="U97" s="189"/>
      <c r="V97" s="188"/>
      <c r="W97" s="188"/>
      <c r="X97" s="188"/>
      <c r="Y97" s="189"/>
      <c r="Z97" s="189"/>
      <c r="AA97" s="188"/>
      <c r="AB97" s="188"/>
      <c r="AC97" s="188"/>
      <c r="AD97" s="189"/>
      <c r="AE97" s="189"/>
      <c r="AF97" s="54"/>
      <c r="AG97" s="54"/>
      <c r="AH97" s="54"/>
    </row>
    <row r="98" spans="1:34" ht="14.65" customHeight="1" x14ac:dyDescent="0.2">
      <c r="A98" s="184"/>
      <c r="B98" s="134"/>
      <c r="C98" s="134"/>
      <c r="D98" s="580"/>
      <c r="E98" s="112"/>
      <c r="F98" s="112"/>
      <c r="G98" s="112"/>
      <c r="H98" s="127"/>
      <c r="I98" s="83"/>
      <c r="J98" s="83"/>
      <c r="K98" s="83"/>
      <c r="L98" s="83"/>
      <c r="M98" s="83"/>
      <c r="N98" s="83"/>
      <c r="O98" s="83"/>
      <c r="P98" s="106"/>
      <c r="Q98" s="483"/>
      <c r="R98" s="188"/>
      <c r="S98" s="120"/>
      <c r="T98" s="120"/>
      <c r="U98" s="189"/>
      <c r="V98" s="188"/>
      <c r="W98" s="188"/>
      <c r="X98" s="188"/>
      <c r="Y98" s="189"/>
      <c r="Z98" s="189"/>
      <c r="AA98" s="188"/>
      <c r="AB98" s="188"/>
      <c r="AC98" s="188"/>
      <c r="AD98" s="189"/>
      <c r="AE98" s="189"/>
      <c r="AF98" s="54"/>
      <c r="AG98" s="54"/>
      <c r="AH98" s="54"/>
    </row>
    <row r="99" spans="1:34" ht="19.5" customHeight="1" x14ac:dyDescent="0.2">
      <c r="A99" s="184"/>
      <c r="B99" s="134"/>
      <c r="C99" s="581"/>
      <c r="D99" s="580"/>
      <c r="E99" s="112"/>
      <c r="F99" s="112"/>
      <c r="G99" s="112"/>
      <c r="H99" s="127"/>
      <c r="I99" s="83"/>
      <c r="J99" s="83"/>
      <c r="K99" s="83"/>
      <c r="L99" s="83"/>
      <c r="M99" s="83"/>
      <c r="N99" s="83"/>
      <c r="O99" s="83"/>
      <c r="P99" s="106"/>
      <c r="Q99" s="483"/>
      <c r="R99" s="188"/>
      <c r="S99" s="120"/>
      <c r="T99" s="120"/>
      <c r="U99" s="189"/>
      <c r="V99" s="188"/>
      <c r="W99" s="188"/>
      <c r="X99" s="188"/>
      <c r="Y99" s="189"/>
      <c r="Z99" s="189"/>
      <c r="AA99" s="188"/>
      <c r="AB99" s="188"/>
      <c r="AC99" s="188"/>
      <c r="AD99" s="189"/>
      <c r="AE99" s="189"/>
      <c r="AF99" s="54"/>
      <c r="AG99" s="54"/>
      <c r="AH99" s="54"/>
    </row>
    <row r="100" spans="1:34" ht="15" customHeight="1" x14ac:dyDescent="0.2">
      <c r="A100" s="184"/>
      <c r="B100" s="134"/>
      <c r="C100" s="581"/>
      <c r="D100" s="580"/>
      <c r="E100" s="112"/>
      <c r="F100" s="112"/>
      <c r="G100" s="112"/>
      <c r="H100" s="127"/>
      <c r="I100" s="83"/>
      <c r="J100" s="83"/>
      <c r="K100" s="83"/>
      <c r="L100" s="83"/>
      <c r="M100" s="83"/>
      <c r="N100" s="83"/>
      <c r="O100" s="83"/>
      <c r="P100" s="106"/>
      <c r="Q100" s="483"/>
      <c r="R100" s="54"/>
      <c r="S100" s="6"/>
      <c r="T100" s="6"/>
      <c r="V100" s="54"/>
      <c r="W100" s="54"/>
      <c r="X100" s="54"/>
      <c r="AA100" s="54"/>
      <c r="AB100" s="54"/>
      <c r="AC100" s="54"/>
      <c r="AF100" s="54"/>
      <c r="AG100" s="54"/>
      <c r="AH100" s="54"/>
    </row>
    <row r="101" spans="1:34" ht="19.5" customHeight="1" thickBot="1" x14ac:dyDescent="0.3">
      <c r="A101" s="150" t="s">
        <v>701</v>
      </c>
      <c r="B101" s="134"/>
      <c r="C101" s="581"/>
      <c r="D101" s="580"/>
      <c r="E101" s="112"/>
      <c r="F101" s="112"/>
      <c r="G101" s="112"/>
      <c r="H101" s="127"/>
      <c r="I101" s="83"/>
      <c r="J101" s="83"/>
      <c r="K101" s="83"/>
      <c r="L101" s="83"/>
      <c r="M101" s="83"/>
      <c r="N101" s="83"/>
      <c r="O101" s="83"/>
      <c r="P101" s="106"/>
      <c r="Q101" s="483"/>
      <c r="R101" s="54"/>
      <c r="S101" s="54"/>
      <c r="V101" s="54"/>
      <c r="W101" s="54"/>
      <c r="X101" s="54"/>
      <c r="AA101" s="54"/>
      <c r="AB101" s="54"/>
      <c r="AC101" s="54"/>
      <c r="AF101" s="54"/>
      <c r="AG101" s="54"/>
      <c r="AH101" s="54"/>
    </row>
    <row r="102" spans="1:34" ht="15.75" customHeight="1" x14ac:dyDescent="0.2">
      <c r="A102" s="183"/>
      <c r="B102" s="153"/>
      <c r="C102" s="154"/>
      <c r="D102" s="154" t="s">
        <v>712</v>
      </c>
      <c r="E102" s="541">
        <f>'Variable Management'!B362</f>
        <v>0.34650000000000003</v>
      </c>
      <c r="F102" s="161" t="s">
        <v>116</v>
      </c>
      <c r="G102" s="112"/>
      <c r="H102" s="127"/>
      <c r="I102" s="83"/>
      <c r="J102" s="83"/>
      <c r="K102" s="83"/>
      <c r="L102" s="83"/>
      <c r="M102" s="83"/>
      <c r="N102" s="83"/>
      <c r="O102" s="83"/>
      <c r="P102" s="106"/>
      <c r="Q102" s="483"/>
      <c r="R102" s="54"/>
      <c r="S102" s="54"/>
      <c r="V102" s="54"/>
      <c r="W102" s="54"/>
      <c r="X102" s="54"/>
      <c r="AA102" s="54"/>
      <c r="AB102" s="54"/>
      <c r="AC102" s="54"/>
      <c r="AF102" s="54"/>
      <c r="AG102" s="54"/>
      <c r="AH102" s="54"/>
    </row>
    <row r="103" spans="1:34" ht="15.75" customHeight="1" x14ac:dyDescent="0.2">
      <c r="A103" s="583"/>
      <c r="B103" s="127"/>
      <c r="C103" s="127"/>
      <c r="D103" s="255" t="s">
        <v>702</v>
      </c>
      <c r="E103" s="256">
        <f>'Variable Management'!B364</f>
        <v>36.815650000000005</v>
      </c>
      <c r="F103" s="257" t="s">
        <v>223</v>
      </c>
      <c r="G103" s="112"/>
      <c r="H103" s="127"/>
      <c r="I103" s="83"/>
      <c r="J103" s="83"/>
      <c r="K103" s="83"/>
      <c r="L103" s="83"/>
      <c r="M103" s="83"/>
      <c r="N103" s="83"/>
      <c r="O103" s="83"/>
      <c r="P103" s="106"/>
      <c r="Q103" s="483"/>
      <c r="R103" s="54"/>
      <c r="S103" s="54"/>
      <c r="V103" s="54"/>
      <c r="W103" s="54"/>
      <c r="X103" s="54"/>
      <c r="AA103" s="54"/>
      <c r="AB103" s="54"/>
      <c r="AC103" s="54"/>
      <c r="AF103" s="54"/>
      <c r="AG103" s="54"/>
      <c r="AH103" s="54"/>
    </row>
    <row r="104" spans="1:34" ht="14.25" customHeight="1" thickBot="1" x14ac:dyDescent="0.25">
      <c r="A104" s="643"/>
      <c r="B104" s="644"/>
      <c r="C104" s="644"/>
      <c r="D104" s="645"/>
      <c r="E104" s="645" t="str">
        <f>CHOOSE(Ext_VCC, "", "* Tie VCCX to PGND")</f>
        <v/>
      </c>
      <c r="F104" s="646"/>
      <c r="G104" s="112"/>
      <c r="H104" s="127"/>
      <c r="I104" s="83"/>
      <c r="J104" s="83"/>
      <c r="K104" s="83"/>
      <c r="L104" s="83"/>
      <c r="M104" s="83"/>
      <c r="N104" s="83"/>
      <c r="O104" s="83"/>
      <c r="P104" s="106"/>
      <c r="Q104" s="483"/>
      <c r="R104" s="54"/>
      <c r="S104" s="54"/>
      <c r="V104" s="54"/>
      <c r="W104" s="54"/>
      <c r="X104" s="54"/>
      <c r="AA104" s="54"/>
      <c r="AB104" s="54"/>
      <c r="AC104" s="54"/>
      <c r="AF104" s="54"/>
      <c r="AG104" s="54"/>
      <c r="AH104" s="54"/>
    </row>
    <row r="105" spans="1:34" ht="14.65" customHeight="1" x14ac:dyDescent="0.2">
      <c r="A105" s="583"/>
      <c r="B105" s="127"/>
      <c r="C105" s="127"/>
      <c r="D105" s="123"/>
      <c r="E105" s="2"/>
      <c r="F105" s="127"/>
      <c r="G105" s="127"/>
      <c r="H105" s="127"/>
      <c r="I105" s="87"/>
      <c r="J105" s="83"/>
      <c r="K105" s="83"/>
      <c r="L105" s="83"/>
      <c r="M105" s="83"/>
      <c r="N105" s="83"/>
      <c r="O105" s="83"/>
      <c r="P105" s="106"/>
      <c r="Q105" s="483"/>
      <c r="R105" s="54"/>
      <c r="S105" s="54"/>
      <c r="V105" s="54"/>
      <c r="W105" s="54"/>
      <c r="X105" s="54"/>
      <c r="AA105" s="54"/>
      <c r="AB105" s="54"/>
      <c r="AC105" s="54"/>
      <c r="AF105" s="54"/>
      <c r="AG105" s="54"/>
      <c r="AH105" s="54"/>
    </row>
    <row r="106" spans="1:34" ht="13.5" thickBot="1" x14ac:dyDescent="0.25">
      <c r="A106" s="158"/>
      <c r="B106" s="159"/>
      <c r="C106" s="159"/>
      <c r="D106" s="159"/>
      <c r="E106" s="202"/>
      <c r="F106" s="159"/>
      <c r="G106" s="159"/>
      <c r="H106" s="159"/>
      <c r="I106" s="203"/>
      <c r="J106" s="203"/>
      <c r="K106" s="203"/>
      <c r="L106" s="203"/>
      <c r="M106" s="203"/>
      <c r="N106" s="203"/>
      <c r="O106" s="203"/>
      <c r="P106" s="204"/>
      <c r="Q106" s="483"/>
      <c r="R106" s="54"/>
      <c r="S106" s="54"/>
      <c r="V106" s="54"/>
      <c r="W106" s="54"/>
      <c r="X106" s="54"/>
      <c r="AA106" s="54"/>
      <c r="AB106" s="54"/>
      <c r="AC106" s="54"/>
      <c r="AF106" s="54"/>
      <c r="AG106" s="54"/>
      <c r="AH106" s="54"/>
    </row>
    <row r="107" spans="1:34" x14ac:dyDescent="0.2">
      <c r="A107" s="480"/>
      <c r="B107" s="481"/>
      <c r="C107" s="482"/>
      <c r="D107" s="482"/>
      <c r="E107" s="482"/>
      <c r="F107" s="482"/>
      <c r="G107" s="482"/>
      <c r="H107" s="482"/>
      <c r="I107" s="482"/>
      <c r="J107" s="482"/>
      <c r="K107" s="482"/>
      <c r="L107" s="482"/>
      <c r="M107" s="482"/>
      <c r="N107" s="482"/>
      <c r="O107" s="482"/>
      <c r="P107" s="482"/>
      <c r="Q107" s="483"/>
      <c r="R107" s="54"/>
      <c r="S107" s="54"/>
      <c r="V107" s="54"/>
      <c r="W107" s="54"/>
      <c r="X107" s="54"/>
      <c r="AA107" s="54"/>
      <c r="AB107" s="54"/>
      <c r="AC107" s="54"/>
      <c r="AF107" s="54"/>
      <c r="AG107" s="54"/>
      <c r="AH107" s="54"/>
    </row>
    <row r="108" spans="1:34" x14ac:dyDescent="0.2">
      <c r="A108" s="79"/>
      <c r="Q108" s="54"/>
      <c r="R108" s="54"/>
      <c r="S108" s="54"/>
      <c r="V108" s="54"/>
      <c r="W108" s="54"/>
      <c r="X108" s="54"/>
      <c r="AA108" s="54"/>
      <c r="AB108" s="54"/>
      <c r="AC108" s="54"/>
      <c r="AF108" s="54"/>
      <c r="AG108" s="54"/>
      <c r="AH108" s="54"/>
    </row>
    <row r="109" spans="1:34" x14ac:dyDescent="0.2">
      <c r="Q109" s="54"/>
      <c r="R109" s="54"/>
      <c r="S109" s="54"/>
      <c r="V109" s="54"/>
      <c r="W109" s="54"/>
      <c r="X109" s="54"/>
      <c r="AA109" s="54"/>
      <c r="AB109" s="54"/>
      <c r="AC109" s="54"/>
      <c r="AF109" s="54"/>
      <c r="AG109" s="54"/>
      <c r="AH109" s="54"/>
    </row>
    <row r="110" spans="1:34" x14ac:dyDescent="0.2">
      <c r="Q110" s="54"/>
      <c r="R110" s="54"/>
      <c r="S110" s="54"/>
      <c r="V110" s="54"/>
      <c r="W110" s="54"/>
      <c r="X110" s="54"/>
      <c r="AA110" s="54"/>
      <c r="AB110" s="54"/>
      <c r="AC110" s="54"/>
      <c r="AF110" s="54"/>
      <c r="AG110" s="54"/>
      <c r="AH110" s="54"/>
    </row>
    <row r="111" spans="1:34" x14ac:dyDescent="0.2">
      <c r="Q111" s="54"/>
      <c r="R111" s="54"/>
      <c r="S111" s="54"/>
      <c r="V111" s="54"/>
      <c r="W111" s="54"/>
      <c r="X111" s="54"/>
      <c r="AA111" s="54"/>
      <c r="AB111" s="54"/>
      <c r="AC111" s="54"/>
      <c r="AF111" s="54"/>
      <c r="AG111" s="54"/>
      <c r="AH111" s="54"/>
    </row>
    <row r="112" spans="1:34" x14ac:dyDescent="0.2">
      <c r="Q112" s="54"/>
      <c r="R112" s="54"/>
      <c r="S112" s="54"/>
      <c r="V112" s="54"/>
      <c r="W112" s="54"/>
      <c r="X112" s="54"/>
      <c r="AA112" s="54"/>
      <c r="AB112" s="54"/>
      <c r="AC112" s="54"/>
      <c r="AF112" s="54"/>
      <c r="AG112" s="54"/>
      <c r="AH112" s="54"/>
    </row>
    <row r="113" spans="17:34" x14ac:dyDescent="0.2">
      <c r="Q113" s="54"/>
      <c r="R113" s="54"/>
      <c r="S113" s="54"/>
      <c r="V113" s="54"/>
      <c r="W113" s="54"/>
      <c r="X113" s="54"/>
      <c r="AA113" s="54"/>
      <c r="AB113" s="54"/>
      <c r="AC113" s="54"/>
      <c r="AF113" s="54"/>
      <c r="AG113" s="54"/>
      <c r="AH113" s="54"/>
    </row>
    <row r="114" spans="17:34" x14ac:dyDescent="0.2">
      <c r="Q114" s="54"/>
      <c r="R114" s="54"/>
      <c r="S114" s="54"/>
      <c r="V114" s="54"/>
      <c r="W114" s="54"/>
      <c r="X114" s="54"/>
      <c r="AA114" s="54"/>
      <c r="AB114" s="54"/>
      <c r="AC114" s="54"/>
      <c r="AF114" s="54"/>
      <c r="AG114" s="54"/>
      <c r="AH114" s="54"/>
    </row>
    <row r="115" spans="17:34" x14ac:dyDescent="0.2">
      <c r="Q115" s="54"/>
      <c r="R115" s="54"/>
      <c r="S115" s="54"/>
      <c r="V115" s="54"/>
      <c r="W115" s="54"/>
      <c r="X115" s="54"/>
      <c r="AA115" s="54"/>
      <c r="AB115" s="54"/>
      <c r="AC115" s="54"/>
      <c r="AF115" s="54"/>
      <c r="AG115" s="54"/>
      <c r="AH115" s="54"/>
    </row>
    <row r="116" spans="17:34" x14ac:dyDescent="0.2">
      <c r="Q116" s="54"/>
      <c r="R116" s="54"/>
      <c r="S116" s="54"/>
      <c r="V116" s="54"/>
      <c r="W116" s="54"/>
      <c r="X116" s="54"/>
      <c r="AA116" s="54"/>
      <c r="AB116" s="54"/>
      <c r="AC116" s="54"/>
      <c r="AF116" s="54"/>
      <c r="AG116" s="54"/>
      <c r="AH116" s="54"/>
    </row>
    <row r="117" spans="17:34" x14ac:dyDescent="0.2">
      <c r="Q117" s="54"/>
      <c r="R117" s="54"/>
      <c r="S117" s="54"/>
      <c r="V117" s="54"/>
      <c r="W117" s="54"/>
      <c r="X117" s="54"/>
      <c r="AA117" s="54"/>
      <c r="AB117" s="54"/>
      <c r="AC117" s="54"/>
      <c r="AF117" s="54"/>
      <c r="AG117" s="54"/>
      <c r="AH117" s="54"/>
    </row>
    <row r="118" spans="17:34" x14ac:dyDescent="0.2">
      <c r="Q118" s="54"/>
      <c r="R118" s="54"/>
      <c r="S118" s="54"/>
      <c r="V118" s="54"/>
      <c r="W118" s="54"/>
      <c r="X118" s="54"/>
      <c r="AA118" s="54"/>
      <c r="AB118" s="54"/>
      <c r="AC118" s="54"/>
      <c r="AF118" s="54"/>
      <c r="AG118" s="54"/>
      <c r="AH118" s="54"/>
    </row>
    <row r="119" spans="17:34" x14ac:dyDescent="0.2">
      <c r="Q119" s="54"/>
      <c r="R119" s="54"/>
      <c r="S119" s="54"/>
      <c r="V119" s="54"/>
      <c r="W119" s="54"/>
      <c r="X119" s="54"/>
      <c r="AA119" s="54"/>
      <c r="AB119" s="54"/>
      <c r="AC119" s="54"/>
      <c r="AF119" s="54"/>
      <c r="AG119" s="54"/>
      <c r="AH119" s="54"/>
    </row>
    <row r="120" spans="17:34" x14ac:dyDescent="0.2">
      <c r="Q120" s="54"/>
      <c r="R120" s="54"/>
      <c r="S120" s="54"/>
      <c r="V120" s="54"/>
      <c r="W120" s="54"/>
      <c r="X120" s="54"/>
      <c r="AA120" s="54"/>
      <c r="AB120" s="54"/>
      <c r="AC120" s="54"/>
      <c r="AF120" s="54"/>
      <c r="AG120" s="54"/>
      <c r="AH120" s="54"/>
    </row>
    <row r="121" spans="17:34" x14ac:dyDescent="0.2">
      <c r="Q121" s="54"/>
      <c r="R121" s="54"/>
      <c r="S121" s="54"/>
      <c r="V121" s="54"/>
      <c r="W121" s="54"/>
      <c r="X121" s="54"/>
      <c r="AA121" s="54"/>
      <c r="AB121" s="54"/>
      <c r="AC121" s="54"/>
      <c r="AF121" s="54"/>
      <c r="AG121" s="54"/>
      <c r="AH121" s="54"/>
    </row>
    <row r="122" spans="17:34" x14ac:dyDescent="0.2">
      <c r="Q122" s="54"/>
      <c r="R122" s="54"/>
      <c r="S122" s="54"/>
      <c r="V122" s="54"/>
      <c r="W122" s="54"/>
      <c r="X122" s="54"/>
      <c r="AA122" s="54"/>
      <c r="AB122" s="54"/>
      <c r="AC122" s="54"/>
      <c r="AF122" s="54"/>
      <c r="AG122" s="54"/>
      <c r="AH122" s="54"/>
    </row>
    <row r="123" spans="17:34" x14ac:dyDescent="0.2">
      <c r="Q123" s="54"/>
      <c r="R123" s="54"/>
      <c r="S123" s="54"/>
      <c r="V123" s="54"/>
      <c r="W123" s="54"/>
      <c r="X123" s="54"/>
      <c r="AA123" s="54"/>
      <c r="AB123" s="54"/>
      <c r="AC123" s="54"/>
      <c r="AF123" s="54"/>
      <c r="AG123" s="54"/>
      <c r="AH123" s="54"/>
    </row>
    <row r="124" spans="17:34" x14ac:dyDescent="0.2">
      <c r="Q124" s="54"/>
      <c r="R124" s="54"/>
      <c r="S124" s="54"/>
      <c r="V124" s="54"/>
      <c r="W124" s="54"/>
      <c r="X124" s="54"/>
      <c r="AA124" s="54"/>
      <c r="AB124" s="54"/>
      <c r="AC124" s="54"/>
      <c r="AF124" s="54"/>
      <c r="AG124" s="54"/>
      <c r="AH124" s="54"/>
    </row>
    <row r="125" spans="17:34" x14ac:dyDescent="0.2">
      <c r="Q125" s="54"/>
      <c r="R125" s="54"/>
      <c r="S125" s="54"/>
      <c r="V125" s="54"/>
      <c r="W125" s="54"/>
      <c r="X125" s="54"/>
      <c r="AA125" s="54"/>
      <c r="AB125" s="54"/>
      <c r="AC125" s="54"/>
      <c r="AF125" s="54"/>
      <c r="AG125" s="54"/>
      <c r="AH125" s="54"/>
    </row>
    <row r="126" spans="17:34" x14ac:dyDescent="0.2">
      <c r="Q126" s="54"/>
      <c r="R126" s="54"/>
      <c r="S126" s="54"/>
      <c r="V126" s="54"/>
      <c r="W126" s="54"/>
      <c r="X126" s="54"/>
      <c r="AA126" s="54"/>
      <c r="AB126" s="54"/>
      <c r="AC126" s="54"/>
      <c r="AF126" s="54"/>
      <c r="AG126" s="54"/>
      <c r="AH126" s="54"/>
    </row>
    <row r="127" spans="17:34" x14ac:dyDescent="0.2">
      <c r="Q127" s="54"/>
      <c r="R127" s="54"/>
      <c r="S127" s="54"/>
      <c r="V127" s="54"/>
      <c r="W127" s="54"/>
      <c r="X127" s="54"/>
      <c r="AA127" s="54"/>
      <c r="AB127" s="54"/>
      <c r="AC127" s="54"/>
      <c r="AF127" s="54"/>
      <c r="AG127" s="54"/>
      <c r="AH127" s="54"/>
    </row>
    <row r="128" spans="17:34" x14ac:dyDescent="0.2">
      <c r="Q128" s="54"/>
      <c r="R128" s="54"/>
      <c r="S128" s="54"/>
      <c r="V128" s="54"/>
      <c r="W128" s="54"/>
      <c r="X128" s="54"/>
      <c r="AA128" s="54"/>
      <c r="AB128" s="54"/>
      <c r="AC128" s="54"/>
      <c r="AF128" s="54"/>
      <c r="AG128" s="54"/>
      <c r="AH128" s="54"/>
    </row>
    <row r="129" spans="17:34" x14ac:dyDescent="0.2">
      <c r="Q129" s="54"/>
      <c r="R129" s="54"/>
      <c r="S129" s="54"/>
      <c r="V129" s="54"/>
      <c r="W129" s="54"/>
      <c r="X129" s="54"/>
      <c r="AA129" s="54"/>
      <c r="AB129" s="54"/>
      <c r="AC129" s="54"/>
      <c r="AF129" s="54"/>
      <c r="AG129" s="54"/>
      <c r="AH129" s="54"/>
    </row>
    <row r="130" spans="17:34" x14ac:dyDescent="0.2">
      <c r="Q130" s="54"/>
      <c r="R130" s="54"/>
      <c r="S130" s="54"/>
      <c r="V130" s="54"/>
      <c r="W130" s="54"/>
      <c r="X130" s="54"/>
      <c r="AA130" s="54"/>
      <c r="AB130" s="54"/>
      <c r="AC130" s="54"/>
      <c r="AF130" s="54"/>
      <c r="AG130" s="54"/>
      <c r="AH130" s="54"/>
    </row>
    <row r="131" spans="17:34" x14ac:dyDescent="0.2">
      <c r="Q131" s="54"/>
      <c r="R131" s="54"/>
      <c r="S131" s="54"/>
      <c r="V131" s="54"/>
      <c r="W131" s="54"/>
      <c r="X131" s="54"/>
      <c r="AA131" s="54"/>
      <c r="AB131" s="54"/>
      <c r="AC131" s="54"/>
      <c r="AF131" s="54"/>
      <c r="AG131" s="54"/>
      <c r="AH131" s="54"/>
    </row>
    <row r="132" spans="17:34" x14ac:dyDescent="0.2">
      <c r="Q132" s="54"/>
      <c r="R132" s="54"/>
      <c r="S132" s="54"/>
      <c r="V132" s="54"/>
      <c r="W132" s="54"/>
      <c r="X132" s="54"/>
      <c r="AA132" s="54"/>
      <c r="AB132" s="54"/>
      <c r="AC132" s="54"/>
      <c r="AF132" s="54"/>
      <c r="AG132" s="54"/>
      <c r="AH132" s="54"/>
    </row>
    <row r="133" spans="17:34" x14ac:dyDescent="0.2">
      <c r="Q133" s="54"/>
      <c r="R133" s="54"/>
      <c r="S133" s="54"/>
      <c r="V133" s="54"/>
      <c r="W133" s="54"/>
      <c r="X133" s="54"/>
      <c r="AA133" s="54"/>
      <c r="AB133" s="54"/>
      <c r="AC133" s="54"/>
      <c r="AF133" s="54"/>
      <c r="AG133" s="54"/>
      <c r="AH133" s="54"/>
    </row>
    <row r="134" spans="17:34" x14ac:dyDescent="0.2">
      <c r="Q134" s="54"/>
      <c r="R134" s="54"/>
      <c r="S134" s="54"/>
      <c r="V134" s="54"/>
      <c r="W134" s="54"/>
      <c r="X134" s="54"/>
      <c r="AA134" s="54"/>
      <c r="AB134" s="54"/>
      <c r="AC134" s="54"/>
      <c r="AF134" s="54"/>
      <c r="AG134" s="54"/>
      <c r="AH134" s="54"/>
    </row>
    <row r="135" spans="17:34" x14ac:dyDescent="0.2">
      <c r="Q135" s="54"/>
      <c r="R135" s="54"/>
      <c r="S135" s="54"/>
      <c r="V135" s="54"/>
      <c r="W135" s="54"/>
      <c r="X135" s="54"/>
      <c r="AA135" s="54"/>
      <c r="AB135" s="54"/>
      <c r="AC135" s="54"/>
      <c r="AF135" s="54"/>
      <c r="AG135" s="54"/>
      <c r="AH135" s="54"/>
    </row>
    <row r="136" spans="17:34" x14ac:dyDescent="0.2">
      <c r="Q136" s="54"/>
      <c r="R136" s="54"/>
      <c r="S136" s="54"/>
      <c r="V136" s="54"/>
      <c r="W136" s="54"/>
      <c r="X136" s="54"/>
      <c r="AA136" s="54"/>
      <c r="AB136" s="54"/>
      <c r="AC136" s="54"/>
      <c r="AF136" s="54"/>
      <c r="AG136" s="54"/>
      <c r="AH136" s="54"/>
    </row>
    <row r="137" spans="17:34" x14ac:dyDescent="0.2">
      <c r="Q137" s="54"/>
      <c r="R137" s="54"/>
      <c r="S137" s="54"/>
      <c r="V137" s="54"/>
      <c r="W137" s="54"/>
      <c r="X137" s="54"/>
      <c r="AA137" s="54"/>
      <c r="AB137" s="54"/>
      <c r="AC137" s="54"/>
      <c r="AF137" s="54"/>
      <c r="AG137" s="54"/>
      <c r="AH137" s="54"/>
    </row>
    <row r="138" spans="17:34" x14ac:dyDescent="0.2">
      <c r="Q138" s="54"/>
      <c r="R138" s="54"/>
      <c r="S138" s="54"/>
      <c r="V138" s="54"/>
      <c r="W138" s="54"/>
      <c r="X138" s="54"/>
      <c r="AA138" s="54"/>
      <c r="AB138" s="54"/>
      <c r="AC138" s="54"/>
      <c r="AF138" s="54"/>
      <c r="AG138" s="54"/>
      <c r="AH138" s="54"/>
    </row>
    <row r="139" spans="17:34" x14ac:dyDescent="0.2">
      <c r="Q139" s="54"/>
      <c r="R139" s="54"/>
      <c r="S139" s="54"/>
      <c r="V139" s="54"/>
      <c r="W139" s="54"/>
      <c r="X139" s="54"/>
      <c r="AA139" s="54"/>
      <c r="AB139" s="54"/>
      <c r="AC139" s="54"/>
      <c r="AF139" s="54"/>
      <c r="AG139" s="54"/>
      <c r="AH139" s="54"/>
    </row>
    <row r="140" spans="17:34" x14ac:dyDescent="0.2">
      <c r="Q140" s="54"/>
      <c r="R140" s="54"/>
      <c r="S140" s="54"/>
      <c r="V140" s="54"/>
      <c r="W140" s="54"/>
      <c r="X140" s="54"/>
      <c r="AA140" s="54"/>
      <c r="AB140" s="54"/>
      <c r="AC140" s="54"/>
      <c r="AF140" s="54"/>
      <c r="AG140" s="54"/>
      <c r="AH140" s="54"/>
    </row>
    <row r="141" spans="17:34" x14ac:dyDescent="0.2">
      <c r="Q141" s="54"/>
      <c r="R141" s="54"/>
      <c r="S141" s="54"/>
      <c r="V141" s="54"/>
      <c r="W141" s="54"/>
      <c r="X141" s="54"/>
      <c r="AA141" s="54"/>
      <c r="AB141" s="54"/>
      <c r="AC141" s="54"/>
      <c r="AF141" s="54"/>
      <c r="AG141" s="54"/>
      <c r="AH141" s="54"/>
    </row>
    <row r="142" spans="17:34" x14ac:dyDescent="0.2">
      <c r="Q142" s="54"/>
      <c r="R142" s="54"/>
      <c r="S142" s="54"/>
      <c r="V142" s="54"/>
      <c r="W142" s="54"/>
      <c r="X142" s="54"/>
      <c r="AA142" s="54"/>
      <c r="AB142" s="54"/>
      <c r="AC142" s="54"/>
      <c r="AF142" s="54"/>
      <c r="AG142" s="54"/>
      <c r="AH142" s="54"/>
    </row>
    <row r="143" spans="17:34" x14ac:dyDescent="0.2">
      <c r="Q143" s="54"/>
      <c r="R143" s="54"/>
      <c r="S143" s="54"/>
      <c r="V143" s="54"/>
      <c r="W143" s="54"/>
      <c r="X143" s="54"/>
      <c r="AA143" s="54"/>
      <c r="AB143" s="54"/>
      <c r="AC143" s="54"/>
      <c r="AF143" s="54"/>
      <c r="AG143" s="54"/>
      <c r="AH143" s="54"/>
    </row>
    <row r="144" spans="17:34" x14ac:dyDescent="0.2">
      <c r="Q144" s="54"/>
      <c r="R144" s="54"/>
      <c r="S144" s="54"/>
      <c r="V144" s="54"/>
      <c r="W144" s="54"/>
      <c r="X144" s="54"/>
      <c r="AA144" s="54"/>
      <c r="AB144" s="54"/>
      <c r="AC144" s="54"/>
      <c r="AF144" s="54"/>
      <c r="AG144" s="54"/>
      <c r="AH144" s="54"/>
    </row>
    <row r="145" spans="17:34" x14ac:dyDescent="0.2">
      <c r="Q145" s="54"/>
      <c r="R145" s="54"/>
      <c r="S145" s="54"/>
      <c r="V145" s="54"/>
      <c r="W145" s="54"/>
      <c r="X145" s="54"/>
      <c r="AA145" s="54"/>
      <c r="AB145" s="54"/>
      <c r="AC145" s="54"/>
      <c r="AF145" s="54"/>
      <c r="AG145" s="54"/>
      <c r="AH145" s="54"/>
    </row>
    <row r="146" spans="17:34" x14ac:dyDescent="0.2">
      <c r="Q146" s="54"/>
      <c r="R146" s="54"/>
      <c r="S146" s="54"/>
      <c r="V146" s="54"/>
      <c r="W146" s="54"/>
      <c r="X146" s="54"/>
      <c r="AA146" s="54"/>
      <c r="AB146" s="54"/>
      <c r="AC146" s="54"/>
      <c r="AF146" s="54"/>
      <c r="AG146" s="54"/>
      <c r="AH146" s="54"/>
    </row>
    <row r="147" spans="17:34" x14ac:dyDescent="0.2">
      <c r="Q147" s="54"/>
      <c r="R147" s="54"/>
      <c r="S147" s="54"/>
      <c r="V147" s="54"/>
      <c r="W147" s="54"/>
      <c r="X147" s="54"/>
      <c r="AA147" s="54"/>
      <c r="AB147" s="54"/>
      <c r="AC147" s="54"/>
      <c r="AF147" s="54"/>
      <c r="AG147" s="54"/>
      <c r="AH147" s="54"/>
    </row>
    <row r="148" spans="17:34" x14ac:dyDescent="0.2">
      <c r="Q148" s="54"/>
      <c r="R148" s="54"/>
      <c r="S148" s="54"/>
      <c r="V148" s="54"/>
      <c r="W148" s="54"/>
      <c r="X148" s="54"/>
      <c r="AA148" s="54"/>
      <c r="AB148" s="54"/>
      <c r="AC148" s="54"/>
      <c r="AF148" s="54"/>
      <c r="AG148" s="54"/>
      <c r="AH148" s="54"/>
    </row>
    <row r="149" spans="17:34" x14ac:dyDescent="0.2">
      <c r="Q149" s="54"/>
      <c r="R149" s="54"/>
      <c r="S149" s="54"/>
      <c r="V149" s="54"/>
      <c r="W149" s="54"/>
      <c r="X149" s="54"/>
      <c r="AA149" s="54"/>
      <c r="AB149" s="54"/>
      <c r="AC149" s="54"/>
      <c r="AF149" s="54"/>
      <c r="AG149" s="54"/>
      <c r="AH149" s="54"/>
    </row>
    <row r="150" spans="17:34" x14ac:dyDescent="0.2">
      <c r="Q150" s="54"/>
      <c r="R150" s="54"/>
      <c r="S150" s="54"/>
      <c r="V150" s="54"/>
      <c r="W150" s="54"/>
      <c r="X150" s="54"/>
      <c r="AA150" s="54"/>
      <c r="AB150" s="54"/>
      <c r="AC150" s="54"/>
      <c r="AF150" s="54"/>
      <c r="AG150" s="54"/>
      <c r="AH150" s="54"/>
    </row>
    <row r="151" spans="17:34" x14ac:dyDescent="0.2">
      <c r="Q151" s="54"/>
      <c r="R151" s="54"/>
      <c r="S151" s="54"/>
      <c r="V151" s="54"/>
      <c r="W151" s="54"/>
      <c r="X151" s="54"/>
      <c r="AA151" s="54"/>
      <c r="AB151" s="54"/>
      <c r="AC151" s="54"/>
      <c r="AF151" s="54"/>
      <c r="AG151" s="54"/>
      <c r="AH151" s="54"/>
    </row>
    <row r="152" spans="17:34" x14ac:dyDescent="0.2">
      <c r="Q152" s="54"/>
      <c r="R152" s="54"/>
      <c r="S152" s="54"/>
      <c r="V152" s="54"/>
      <c r="W152" s="54"/>
      <c r="X152" s="54"/>
      <c r="AA152" s="54"/>
      <c r="AB152" s="54"/>
      <c r="AC152" s="54"/>
      <c r="AF152" s="54"/>
      <c r="AG152" s="54"/>
      <c r="AH152" s="54"/>
    </row>
    <row r="153" spans="17:34" x14ac:dyDescent="0.2">
      <c r="Q153" s="54"/>
      <c r="R153" s="54"/>
      <c r="S153" s="54"/>
      <c r="V153" s="54"/>
      <c r="W153" s="54"/>
      <c r="X153" s="54"/>
      <c r="AA153" s="54"/>
      <c r="AB153" s="54"/>
      <c r="AC153" s="54"/>
      <c r="AF153" s="54"/>
      <c r="AG153" s="54"/>
      <c r="AH153" s="54"/>
    </row>
    <row r="154" spans="17:34" x14ac:dyDescent="0.2">
      <c r="Q154" s="54"/>
      <c r="R154" s="54"/>
      <c r="S154" s="54"/>
      <c r="V154" s="54"/>
      <c r="W154" s="54"/>
      <c r="X154" s="54"/>
      <c r="AA154" s="54"/>
      <c r="AB154" s="54"/>
      <c r="AC154" s="54"/>
      <c r="AF154" s="54"/>
      <c r="AG154" s="54"/>
      <c r="AH154" s="54"/>
    </row>
    <row r="155" spans="17:34" x14ac:dyDescent="0.2">
      <c r="Q155" s="54"/>
      <c r="R155" s="54"/>
      <c r="S155" s="54"/>
      <c r="V155" s="54"/>
      <c r="W155" s="54"/>
      <c r="X155" s="54"/>
      <c r="AA155" s="54"/>
      <c r="AB155" s="54"/>
      <c r="AC155" s="54"/>
      <c r="AF155" s="54"/>
      <c r="AG155" s="54"/>
      <c r="AH155" s="54"/>
    </row>
    <row r="156" spans="17:34" x14ac:dyDescent="0.2">
      <c r="Q156" s="54"/>
      <c r="R156" s="54"/>
      <c r="S156" s="54"/>
      <c r="V156" s="54"/>
      <c r="W156" s="54"/>
      <c r="X156" s="54"/>
      <c r="AA156" s="54"/>
      <c r="AB156" s="54"/>
      <c r="AC156" s="54"/>
      <c r="AF156" s="54"/>
      <c r="AG156" s="54"/>
      <c r="AH156" s="54"/>
    </row>
    <row r="157" spans="17:34" x14ac:dyDescent="0.2">
      <c r="Q157" s="54"/>
      <c r="R157" s="54"/>
      <c r="S157" s="54"/>
      <c r="V157" s="54"/>
      <c r="W157" s="54"/>
      <c r="X157" s="54"/>
      <c r="AA157" s="54"/>
      <c r="AB157" s="54"/>
      <c r="AC157" s="54"/>
      <c r="AF157" s="54"/>
      <c r="AG157" s="54"/>
      <c r="AH157" s="54"/>
    </row>
    <row r="158" spans="17:34" x14ac:dyDescent="0.2">
      <c r="Q158" s="54"/>
      <c r="R158" s="54"/>
      <c r="S158" s="54"/>
      <c r="V158" s="54"/>
      <c r="W158" s="54"/>
      <c r="X158" s="54"/>
      <c r="AA158" s="54"/>
      <c r="AB158" s="54"/>
      <c r="AC158" s="54"/>
      <c r="AF158" s="54"/>
      <c r="AG158" s="54"/>
      <c r="AH158" s="54"/>
    </row>
    <row r="159" spans="17:34" x14ac:dyDescent="0.2">
      <c r="Q159" s="54"/>
      <c r="R159" s="54"/>
      <c r="S159" s="54"/>
      <c r="V159" s="54"/>
      <c r="W159" s="54"/>
      <c r="X159" s="54"/>
      <c r="AA159" s="54"/>
      <c r="AB159" s="54"/>
      <c r="AC159" s="54"/>
      <c r="AF159" s="54"/>
      <c r="AG159" s="54"/>
      <c r="AH159" s="54"/>
    </row>
    <row r="160" spans="17:34" x14ac:dyDescent="0.2">
      <c r="Q160" s="54"/>
      <c r="R160" s="54"/>
      <c r="S160" s="54"/>
      <c r="V160" s="54"/>
      <c r="W160" s="54"/>
      <c r="X160" s="54"/>
      <c r="AA160" s="54"/>
      <c r="AB160" s="54"/>
      <c r="AC160" s="54"/>
      <c r="AF160" s="54"/>
      <c r="AG160" s="54"/>
      <c r="AH160" s="54"/>
    </row>
    <row r="161" spans="17:34" x14ac:dyDescent="0.2">
      <c r="Q161" s="54"/>
      <c r="R161" s="54"/>
      <c r="S161" s="54"/>
      <c r="V161" s="54"/>
      <c r="W161" s="54"/>
      <c r="X161" s="54"/>
      <c r="AA161" s="54"/>
      <c r="AB161" s="54"/>
      <c r="AC161" s="54"/>
      <c r="AF161" s="54"/>
      <c r="AG161" s="54"/>
      <c r="AH161" s="54"/>
    </row>
    <row r="162" spans="17:34" x14ac:dyDescent="0.2">
      <c r="Q162" s="54"/>
      <c r="R162" s="54"/>
      <c r="S162" s="54"/>
      <c r="V162" s="54"/>
      <c r="W162" s="54"/>
      <c r="X162" s="54"/>
      <c r="AA162" s="54"/>
      <c r="AB162" s="54"/>
      <c r="AC162" s="54"/>
      <c r="AF162" s="54"/>
      <c r="AG162" s="54"/>
      <c r="AH162" s="54"/>
    </row>
    <row r="163" spans="17:34" x14ac:dyDescent="0.2">
      <c r="Q163" s="54"/>
      <c r="R163" s="54"/>
      <c r="S163" s="54"/>
      <c r="V163" s="54"/>
      <c r="W163" s="54"/>
      <c r="X163" s="54"/>
      <c r="AA163" s="54"/>
      <c r="AB163" s="54"/>
      <c r="AC163" s="54"/>
      <c r="AF163" s="54"/>
      <c r="AG163" s="54"/>
      <c r="AH163" s="54"/>
    </row>
    <row r="164" spans="17:34" x14ac:dyDescent="0.2">
      <c r="Q164" s="54"/>
      <c r="R164" s="54"/>
      <c r="S164" s="54"/>
      <c r="V164" s="54"/>
      <c r="W164" s="54"/>
      <c r="X164" s="54"/>
      <c r="AA164" s="54"/>
      <c r="AB164" s="54"/>
      <c r="AC164" s="54"/>
      <c r="AF164" s="54"/>
      <c r="AG164" s="54"/>
      <c r="AH164" s="54"/>
    </row>
    <row r="165" spans="17:34" x14ac:dyDescent="0.2">
      <c r="Q165" s="54"/>
      <c r="R165" s="54"/>
      <c r="S165" s="54"/>
      <c r="V165" s="54"/>
      <c r="W165" s="54"/>
      <c r="X165" s="54"/>
      <c r="AA165" s="54"/>
      <c r="AB165" s="54"/>
      <c r="AC165" s="54"/>
      <c r="AF165" s="54"/>
      <c r="AG165" s="54"/>
      <c r="AH165" s="54"/>
    </row>
    <row r="166" spans="17:34" x14ac:dyDescent="0.2">
      <c r="Q166" s="54"/>
      <c r="R166" s="54"/>
      <c r="S166" s="54"/>
      <c r="V166" s="54"/>
      <c r="W166" s="54"/>
      <c r="X166" s="54"/>
      <c r="AA166" s="54"/>
      <c r="AB166" s="54"/>
      <c r="AC166" s="54"/>
      <c r="AF166" s="54"/>
      <c r="AG166" s="54"/>
      <c r="AH166" s="54"/>
    </row>
    <row r="167" spans="17:34" x14ac:dyDescent="0.2">
      <c r="Q167" s="54"/>
      <c r="R167" s="54"/>
      <c r="S167" s="54"/>
      <c r="V167" s="54"/>
      <c r="W167" s="54"/>
      <c r="X167" s="54"/>
      <c r="AA167" s="54"/>
      <c r="AB167" s="54"/>
      <c r="AC167" s="54"/>
      <c r="AF167" s="54"/>
      <c r="AG167" s="54"/>
      <c r="AH167" s="54"/>
    </row>
    <row r="168" spans="17:34" x14ac:dyDescent="0.2">
      <c r="Q168" s="54"/>
      <c r="R168" s="54"/>
      <c r="S168" s="54"/>
      <c r="V168" s="54"/>
      <c r="W168" s="54"/>
      <c r="X168" s="54"/>
      <c r="AA168" s="54"/>
      <c r="AB168" s="54"/>
      <c r="AC168" s="54"/>
      <c r="AF168" s="54"/>
      <c r="AG168" s="54"/>
      <c r="AH168" s="54"/>
    </row>
    <row r="169" spans="17:34" x14ac:dyDescent="0.2">
      <c r="Q169" s="54"/>
      <c r="R169" s="54"/>
      <c r="S169" s="54"/>
      <c r="V169" s="54"/>
      <c r="W169" s="54"/>
      <c r="X169" s="54"/>
      <c r="AA169" s="54"/>
      <c r="AB169" s="54"/>
      <c r="AC169" s="54"/>
      <c r="AF169" s="54"/>
      <c r="AG169" s="54"/>
      <c r="AH169" s="54"/>
    </row>
    <row r="170" spans="17:34" x14ac:dyDescent="0.2">
      <c r="Q170" s="54"/>
      <c r="R170" s="54"/>
      <c r="S170" s="54"/>
      <c r="V170" s="54"/>
      <c r="W170" s="54"/>
      <c r="X170" s="54"/>
      <c r="AA170" s="54"/>
      <c r="AB170" s="54"/>
      <c r="AC170" s="54"/>
      <c r="AF170" s="54"/>
      <c r="AG170" s="54"/>
      <c r="AH170" s="54"/>
    </row>
    <row r="171" spans="17:34" x14ac:dyDescent="0.2">
      <c r="Q171" s="54"/>
      <c r="R171" s="54"/>
      <c r="S171" s="54"/>
      <c r="V171" s="54"/>
      <c r="W171" s="54"/>
      <c r="X171" s="54"/>
      <c r="AA171" s="54"/>
      <c r="AB171" s="54"/>
      <c r="AC171" s="54"/>
      <c r="AF171" s="54"/>
      <c r="AG171" s="54"/>
      <c r="AH171" s="54"/>
    </row>
    <row r="172" spans="17:34" x14ac:dyDescent="0.2">
      <c r="Q172" s="54"/>
      <c r="R172" s="54"/>
      <c r="S172" s="54"/>
      <c r="V172" s="54"/>
      <c r="W172" s="54"/>
      <c r="X172" s="54"/>
      <c r="AA172" s="54"/>
      <c r="AB172" s="54"/>
      <c r="AC172" s="54"/>
      <c r="AF172" s="54"/>
      <c r="AG172" s="54"/>
      <c r="AH172" s="54"/>
    </row>
    <row r="173" spans="17:34" x14ac:dyDescent="0.2">
      <c r="Q173" s="54"/>
      <c r="R173" s="54"/>
      <c r="S173" s="54"/>
      <c r="V173" s="54"/>
      <c r="W173" s="54"/>
      <c r="X173" s="54"/>
      <c r="AA173" s="54"/>
      <c r="AB173" s="54"/>
      <c r="AC173" s="54"/>
      <c r="AF173" s="54"/>
      <c r="AG173" s="54"/>
      <c r="AH173" s="54"/>
    </row>
    <row r="174" spans="17:34" x14ac:dyDescent="0.2">
      <c r="Q174" s="54"/>
      <c r="R174" s="54"/>
      <c r="S174" s="54"/>
      <c r="V174" s="54"/>
      <c r="W174" s="54"/>
      <c r="X174" s="54"/>
      <c r="AA174" s="54"/>
      <c r="AB174" s="54"/>
      <c r="AC174" s="54"/>
      <c r="AF174" s="54"/>
      <c r="AG174" s="54"/>
      <c r="AH174" s="54"/>
    </row>
    <row r="175" spans="17:34" x14ac:dyDescent="0.2">
      <c r="Q175" s="54"/>
      <c r="R175" s="54"/>
      <c r="S175" s="54"/>
      <c r="V175" s="54"/>
      <c r="W175" s="54"/>
      <c r="X175" s="54"/>
      <c r="AA175" s="54"/>
      <c r="AB175" s="54"/>
      <c r="AC175" s="54"/>
      <c r="AF175" s="54"/>
      <c r="AG175" s="54"/>
      <c r="AH175" s="54"/>
    </row>
    <row r="176" spans="17:34" x14ac:dyDescent="0.2">
      <c r="Q176" s="54"/>
      <c r="R176" s="54"/>
      <c r="S176" s="54"/>
      <c r="V176" s="54"/>
      <c r="W176" s="54"/>
      <c r="X176" s="54"/>
      <c r="AA176" s="54"/>
      <c r="AB176" s="54"/>
      <c r="AC176" s="54"/>
      <c r="AF176" s="54"/>
      <c r="AG176" s="54"/>
      <c r="AH176" s="54"/>
    </row>
    <row r="177" spans="17:34" x14ac:dyDescent="0.2">
      <c r="Q177" s="54"/>
      <c r="R177" s="54"/>
      <c r="S177" s="54"/>
      <c r="V177" s="54"/>
      <c r="W177" s="54"/>
      <c r="X177" s="54"/>
      <c r="AA177" s="54"/>
      <c r="AB177" s="54"/>
      <c r="AC177" s="54"/>
      <c r="AF177" s="54"/>
      <c r="AG177" s="54"/>
      <c r="AH177" s="54"/>
    </row>
    <row r="178" spans="17:34" x14ac:dyDescent="0.2">
      <c r="Q178" s="54"/>
      <c r="R178" s="54"/>
      <c r="S178" s="54"/>
      <c r="V178" s="54"/>
      <c r="W178" s="54"/>
      <c r="X178" s="54"/>
      <c r="AA178" s="54"/>
      <c r="AB178" s="54"/>
      <c r="AC178" s="54"/>
      <c r="AF178" s="54"/>
      <c r="AG178" s="54"/>
      <c r="AH178" s="54"/>
    </row>
    <row r="179" spans="17:34" x14ac:dyDescent="0.2">
      <c r="Q179" s="54"/>
      <c r="R179" s="54"/>
      <c r="S179" s="54"/>
      <c r="V179" s="54"/>
      <c r="W179" s="54"/>
      <c r="X179" s="54"/>
      <c r="AA179" s="54"/>
      <c r="AB179" s="54"/>
      <c r="AC179" s="54"/>
      <c r="AF179" s="54"/>
      <c r="AG179" s="54"/>
      <c r="AH179" s="54"/>
    </row>
    <row r="180" spans="17:34" x14ac:dyDescent="0.2">
      <c r="Q180" s="54"/>
      <c r="R180" s="54"/>
      <c r="S180" s="54"/>
      <c r="V180" s="54"/>
      <c r="W180" s="54"/>
      <c r="X180" s="54"/>
      <c r="AA180" s="54"/>
      <c r="AB180" s="54"/>
      <c r="AC180" s="54"/>
      <c r="AF180" s="54"/>
      <c r="AG180" s="54"/>
      <c r="AH180" s="54"/>
    </row>
    <row r="181" spans="17:34" x14ac:dyDescent="0.2">
      <c r="Q181" s="54"/>
      <c r="R181" s="54"/>
      <c r="S181" s="54"/>
      <c r="V181" s="54"/>
      <c r="W181" s="54"/>
      <c r="X181" s="54"/>
      <c r="AA181" s="54"/>
      <c r="AB181" s="54"/>
      <c r="AC181" s="54"/>
      <c r="AF181" s="54"/>
      <c r="AG181" s="54"/>
      <c r="AH181" s="54"/>
    </row>
    <row r="182" spans="17:34" x14ac:dyDescent="0.2">
      <c r="Q182" s="54"/>
      <c r="R182" s="54"/>
      <c r="S182" s="54"/>
      <c r="V182" s="54"/>
      <c r="W182" s="54"/>
      <c r="X182" s="54"/>
      <c r="AA182" s="54"/>
      <c r="AB182" s="54"/>
      <c r="AC182" s="54"/>
      <c r="AF182" s="54"/>
      <c r="AG182" s="54"/>
      <c r="AH182" s="54"/>
    </row>
    <row r="183" spans="17:34" x14ac:dyDescent="0.2">
      <c r="Q183" s="54"/>
      <c r="R183" s="54"/>
      <c r="S183" s="54"/>
      <c r="V183" s="54"/>
      <c r="W183" s="54"/>
      <c r="X183" s="54"/>
      <c r="AA183" s="54"/>
      <c r="AB183" s="54"/>
      <c r="AC183" s="54"/>
      <c r="AF183" s="54"/>
      <c r="AG183" s="54"/>
      <c r="AH183" s="54"/>
    </row>
    <row r="184" spans="17:34" x14ac:dyDescent="0.2">
      <c r="Q184" s="54"/>
      <c r="R184" s="54"/>
      <c r="S184" s="54"/>
      <c r="V184" s="54"/>
      <c r="W184" s="54"/>
      <c r="X184" s="54"/>
      <c r="AA184" s="54"/>
      <c r="AB184" s="54"/>
      <c r="AC184" s="54"/>
      <c r="AF184" s="54"/>
      <c r="AG184" s="54"/>
      <c r="AH184" s="54"/>
    </row>
    <row r="185" spans="17:34" x14ac:dyDescent="0.2">
      <c r="Q185" s="54"/>
      <c r="R185" s="54"/>
      <c r="S185" s="54"/>
      <c r="V185" s="54"/>
      <c r="W185" s="54"/>
      <c r="X185" s="54"/>
      <c r="AA185" s="54"/>
      <c r="AB185" s="54"/>
      <c r="AC185" s="54"/>
      <c r="AF185" s="54"/>
      <c r="AG185" s="54"/>
      <c r="AH185" s="54"/>
    </row>
    <row r="186" spans="17:34" x14ac:dyDescent="0.2">
      <c r="Q186" s="54"/>
      <c r="R186" s="54"/>
      <c r="S186" s="54"/>
      <c r="V186" s="54"/>
      <c r="W186" s="54"/>
      <c r="X186" s="54"/>
      <c r="AA186" s="54"/>
      <c r="AB186" s="54"/>
      <c r="AC186" s="54"/>
      <c r="AF186" s="54"/>
      <c r="AG186" s="54"/>
      <c r="AH186" s="54"/>
    </row>
    <row r="187" spans="17:34" x14ac:dyDescent="0.2">
      <c r="Q187" s="54"/>
      <c r="R187" s="54"/>
      <c r="S187" s="54"/>
      <c r="V187" s="54"/>
      <c r="W187" s="54"/>
      <c r="X187" s="54"/>
      <c r="AA187" s="54"/>
      <c r="AB187" s="54"/>
      <c r="AC187" s="54"/>
      <c r="AF187" s="54"/>
      <c r="AG187" s="54"/>
      <c r="AH187" s="54"/>
    </row>
    <row r="188" spans="17:34" x14ac:dyDescent="0.2">
      <c r="Q188" s="54"/>
      <c r="R188" s="54"/>
      <c r="S188" s="54"/>
      <c r="V188" s="54"/>
      <c r="W188" s="54"/>
      <c r="X188" s="54"/>
      <c r="AA188" s="54"/>
      <c r="AB188" s="54"/>
      <c r="AC188" s="54"/>
      <c r="AF188" s="54"/>
      <c r="AG188" s="54"/>
      <c r="AH188" s="54"/>
    </row>
    <row r="189" spans="17:34" x14ac:dyDescent="0.2">
      <c r="Q189" s="54"/>
      <c r="R189" s="54"/>
      <c r="S189" s="54"/>
      <c r="V189" s="54"/>
      <c r="W189" s="54"/>
      <c r="X189" s="54"/>
      <c r="AA189" s="54"/>
      <c r="AB189" s="54"/>
      <c r="AC189" s="54"/>
      <c r="AF189" s="54"/>
      <c r="AG189" s="54"/>
      <c r="AH189" s="54"/>
    </row>
    <row r="190" spans="17:34" x14ac:dyDescent="0.2">
      <c r="Q190" s="54"/>
      <c r="R190" s="54"/>
      <c r="S190" s="54"/>
      <c r="V190" s="54"/>
      <c r="W190" s="54"/>
      <c r="X190" s="54"/>
      <c r="AA190" s="54"/>
      <c r="AB190" s="54"/>
      <c r="AC190" s="54"/>
      <c r="AF190" s="54"/>
      <c r="AG190" s="54"/>
      <c r="AH190" s="54"/>
    </row>
    <row r="191" spans="17:34" x14ac:dyDescent="0.2">
      <c r="Q191" s="54"/>
      <c r="R191" s="54"/>
      <c r="S191" s="54"/>
      <c r="V191" s="54"/>
      <c r="W191" s="54"/>
      <c r="X191" s="54"/>
      <c r="AA191" s="54"/>
      <c r="AB191" s="54"/>
      <c r="AC191" s="54"/>
      <c r="AF191" s="54"/>
      <c r="AG191" s="54"/>
      <c r="AH191" s="54"/>
    </row>
    <row r="192" spans="17:34" x14ac:dyDescent="0.2">
      <c r="Q192" s="54"/>
      <c r="R192" s="54"/>
      <c r="S192" s="54"/>
      <c r="V192" s="54"/>
      <c r="W192" s="54"/>
      <c r="X192" s="54"/>
      <c r="AA192" s="54"/>
      <c r="AB192" s="54"/>
      <c r="AC192" s="54"/>
      <c r="AF192" s="54"/>
      <c r="AG192" s="54"/>
      <c r="AH192" s="54"/>
    </row>
    <row r="193" spans="17:34" x14ac:dyDescent="0.2">
      <c r="Q193" s="54"/>
      <c r="R193" s="54"/>
      <c r="S193" s="54"/>
      <c r="V193" s="54"/>
      <c r="W193" s="54"/>
      <c r="X193" s="54"/>
      <c r="AA193" s="54"/>
      <c r="AB193" s="54"/>
      <c r="AC193" s="54"/>
      <c r="AF193" s="54"/>
      <c r="AG193" s="54"/>
      <c r="AH193" s="54"/>
    </row>
    <row r="194" spans="17:34" x14ac:dyDescent="0.2">
      <c r="Q194" s="54"/>
      <c r="R194" s="54"/>
      <c r="S194" s="54"/>
      <c r="V194" s="54"/>
      <c r="W194" s="54"/>
      <c r="X194" s="54"/>
      <c r="AA194" s="54"/>
      <c r="AB194" s="54"/>
      <c r="AC194" s="54"/>
      <c r="AF194" s="54"/>
      <c r="AG194" s="54"/>
      <c r="AH194" s="54"/>
    </row>
    <row r="195" spans="17:34" x14ac:dyDescent="0.2">
      <c r="Q195" s="54"/>
      <c r="R195" s="54"/>
      <c r="S195" s="54"/>
      <c r="V195" s="54"/>
      <c r="W195" s="54"/>
      <c r="X195" s="54"/>
      <c r="AA195" s="54"/>
      <c r="AB195" s="54"/>
      <c r="AC195" s="54"/>
      <c r="AF195" s="54"/>
      <c r="AG195" s="54"/>
      <c r="AH195" s="54"/>
    </row>
    <row r="196" spans="17:34" x14ac:dyDescent="0.2">
      <c r="Q196" s="54"/>
      <c r="R196" s="54"/>
      <c r="S196" s="54"/>
      <c r="V196" s="54"/>
      <c r="W196" s="54"/>
      <c r="X196" s="54"/>
      <c r="AA196" s="54"/>
      <c r="AB196" s="54"/>
      <c r="AC196" s="54"/>
      <c r="AF196" s="54"/>
      <c r="AG196" s="54"/>
      <c r="AH196" s="54"/>
    </row>
    <row r="197" spans="17:34" x14ac:dyDescent="0.2">
      <c r="Q197" s="54"/>
      <c r="R197" s="54"/>
      <c r="S197" s="54"/>
      <c r="V197" s="54"/>
      <c r="W197" s="54"/>
      <c r="X197" s="54"/>
      <c r="AA197" s="54"/>
      <c r="AB197" s="54"/>
      <c r="AC197" s="54"/>
      <c r="AF197" s="54"/>
      <c r="AG197" s="54"/>
      <c r="AH197" s="54"/>
    </row>
    <row r="198" spans="17:34" x14ac:dyDescent="0.2">
      <c r="Q198" s="54"/>
      <c r="R198" s="54"/>
      <c r="S198" s="54"/>
      <c r="V198" s="54"/>
      <c r="W198" s="54"/>
      <c r="X198" s="54"/>
      <c r="AA198" s="54"/>
      <c r="AB198" s="54"/>
      <c r="AC198" s="54"/>
      <c r="AF198" s="54"/>
      <c r="AG198" s="54"/>
      <c r="AH198" s="54"/>
    </row>
    <row r="199" spans="17:34" x14ac:dyDescent="0.2">
      <c r="Q199" s="54"/>
      <c r="R199" s="54"/>
      <c r="S199" s="54"/>
      <c r="V199" s="54"/>
      <c r="W199" s="54"/>
      <c r="X199" s="54"/>
      <c r="AA199" s="54"/>
      <c r="AB199" s="54"/>
      <c r="AC199" s="54"/>
      <c r="AF199" s="54"/>
      <c r="AG199" s="54"/>
      <c r="AH199" s="54"/>
    </row>
    <row r="200" spans="17:34" x14ac:dyDescent="0.2">
      <c r="Q200" s="54"/>
      <c r="R200" s="54"/>
      <c r="S200" s="54"/>
      <c r="V200" s="54"/>
      <c r="W200" s="54"/>
      <c r="X200" s="54"/>
      <c r="AA200" s="54"/>
      <c r="AB200" s="54"/>
      <c r="AC200" s="54"/>
      <c r="AF200" s="54"/>
      <c r="AG200" s="54"/>
      <c r="AH200" s="54"/>
    </row>
    <row r="201" spans="17:34" x14ac:dyDescent="0.2">
      <c r="Q201" s="54"/>
      <c r="R201" s="54"/>
      <c r="S201" s="54"/>
      <c r="V201" s="54"/>
      <c r="W201" s="54"/>
      <c r="X201" s="54"/>
      <c r="AA201" s="54"/>
      <c r="AB201" s="54"/>
      <c r="AC201" s="54"/>
      <c r="AF201" s="54"/>
      <c r="AG201" s="54"/>
      <c r="AH201" s="54"/>
    </row>
    <row r="202" spans="17:34" x14ac:dyDescent="0.2">
      <c r="Q202" s="54"/>
      <c r="R202" s="54"/>
      <c r="S202" s="54"/>
      <c r="V202" s="54"/>
      <c r="W202" s="54"/>
      <c r="X202" s="54"/>
      <c r="AA202" s="54"/>
      <c r="AB202" s="54"/>
      <c r="AC202" s="54"/>
      <c r="AF202" s="54"/>
      <c r="AG202" s="54"/>
      <c r="AH202" s="54"/>
    </row>
    <row r="203" spans="17:34" x14ac:dyDescent="0.2">
      <c r="Q203" s="54"/>
      <c r="R203" s="54"/>
      <c r="S203" s="54"/>
      <c r="V203" s="54"/>
      <c r="W203" s="54"/>
      <c r="X203" s="54"/>
      <c r="AA203" s="54"/>
      <c r="AB203" s="54"/>
      <c r="AC203" s="54"/>
      <c r="AF203" s="54"/>
      <c r="AG203" s="54"/>
      <c r="AH203" s="54"/>
    </row>
    <row r="204" spans="17:34" x14ac:dyDescent="0.2">
      <c r="Q204" s="54"/>
      <c r="R204" s="54"/>
      <c r="S204" s="54"/>
      <c r="V204" s="54"/>
      <c r="W204" s="54"/>
      <c r="X204" s="54"/>
      <c r="AA204" s="54"/>
      <c r="AB204" s="54"/>
      <c r="AC204" s="54"/>
      <c r="AF204" s="54"/>
      <c r="AG204" s="54"/>
      <c r="AH204" s="54"/>
    </row>
    <row r="205" spans="17:34" x14ac:dyDescent="0.2">
      <c r="Q205" s="54"/>
      <c r="R205" s="54"/>
      <c r="S205" s="54"/>
      <c r="V205" s="54"/>
      <c r="W205" s="54"/>
      <c r="X205" s="54"/>
      <c r="AA205" s="54"/>
      <c r="AB205" s="54"/>
      <c r="AC205" s="54"/>
      <c r="AF205" s="54"/>
      <c r="AG205" s="54"/>
      <c r="AH205" s="54"/>
    </row>
    <row r="206" spans="17:34" x14ac:dyDescent="0.2">
      <c r="Q206" s="54"/>
      <c r="R206" s="54"/>
      <c r="S206" s="54"/>
      <c r="V206" s="54"/>
      <c r="W206" s="54"/>
      <c r="X206" s="54"/>
      <c r="AA206" s="54"/>
      <c r="AB206" s="54"/>
      <c r="AC206" s="54"/>
      <c r="AF206" s="54"/>
      <c r="AG206" s="54"/>
      <c r="AH206" s="54"/>
    </row>
    <row r="207" spans="17:34" x14ac:dyDescent="0.2">
      <c r="Q207" s="54"/>
      <c r="R207" s="54"/>
      <c r="S207" s="54"/>
      <c r="V207" s="54"/>
      <c r="W207" s="54"/>
      <c r="X207" s="54"/>
      <c r="AA207" s="54"/>
      <c r="AB207" s="54"/>
      <c r="AC207" s="54"/>
      <c r="AF207" s="54"/>
      <c r="AG207" s="54"/>
      <c r="AH207" s="54"/>
    </row>
    <row r="208" spans="17:34" x14ac:dyDescent="0.2">
      <c r="Q208" s="54"/>
      <c r="R208" s="54"/>
      <c r="S208" s="54"/>
      <c r="V208" s="54"/>
      <c r="W208" s="54"/>
      <c r="X208" s="54"/>
      <c r="AA208" s="54"/>
      <c r="AB208" s="54"/>
      <c r="AC208" s="54"/>
      <c r="AF208" s="54"/>
      <c r="AG208" s="54"/>
      <c r="AH208" s="54"/>
    </row>
    <row r="209" spans="17:34" x14ac:dyDescent="0.2">
      <c r="Q209" s="54"/>
      <c r="R209" s="54"/>
      <c r="S209" s="54"/>
      <c r="V209" s="54"/>
      <c r="W209" s="54"/>
      <c r="X209" s="54"/>
      <c r="AA209" s="54"/>
      <c r="AB209" s="54"/>
      <c r="AC209" s="54"/>
      <c r="AF209" s="54"/>
      <c r="AG209" s="54"/>
      <c r="AH209" s="54"/>
    </row>
    <row r="210" spans="17:34" x14ac:dyDescent="0.2">
      <c r="Q210" s="54"/>
      <c r="R210" s="54"/>
      <c r="S210" s="54"/>
      <c r="V210" s="54"/>
      <c r="W210" s="54"/>
      <c r="X210" s="54"/>
      <c r="AA210" s="54"/>
      <c r="AB210" s="54"/>
      <c r="AC210" s="54"/>
      <c r="AF210" s="54"/>
      <c r="AG210" s="54"/>
      <c r="AH210" s="54"/>
    </row>
    <row r="211" spans="17:34" x14ac:dyDescent="0.2">
      <c r="Q211" s="54"/>
      <c r="R211" s="54"/>
      <c r="S211" s="54"/>
      <c r="V211" s="54"/>
      <c r="W211" s="54"/>
      <c r="X211" s="54"/>
      <c r="AA211" s="54"/>
      <c r="AB211" s="54"/>
      <c r="AC211" s="54"/>
      <c r="AF211" s="54"/>
      <c r="AG211" s="54"/>
      <c r="AH211" s="54"/>
    </row>
    <row r="212" spans="17:34" x14ac:dyDescent="0.2">
      <c r="Q212" s="54"/>
      <c r="R212" s="54"/>
      <c r="S212" s="54"/>
      <c r="V212" s="54"/>
      <c r="W212" s="54"/>
      <c r="X212" s="54"/>
      <c r="AA212" s="54"/>
      <c r="AB212" s="54"/>
      <c r="AC212" s="54"/>
      <c r="AF212" s="54"/>
      <c r="AG212" s="54"/>
      <c r="AH212" s="54"/>
    </row>
    <row r="213" spans="17:34" x14ac:dyDescent="0.2">
      <c r="Q213" s="54"/>
      <c r="R213" s="54"/>
      <c r="S213" s="54"/>
      <c r="V213" s="54"/>
      <c r="W213" s="54"/>
      <c r="X213" s="54"/>
      <c r="AA213" s="54"/>
      <c r="AB213" s="54"/>
      <c r="AC213" s="54"/>
      <c r="AF213" s="54"/>
      <c r="AG213" s="54"/>
      <c r="AH213" s="54"/>
    </row>
    <row r="214" spans="17:34" x14ac:dyDescent="0.2">
      <c r="Q214" s="54"/>
      <c r="R214" s="54"/>
      <c r="S214" s="54"/>
      <c r="V214" s="54"/>
      <c r="W214" s="54"/>
      <c r="X214" s="54"/>
      <c r="AA214" s="54"/>
      <c r="AB214" s="54"/>
      <c r="AC214" s="54"/>
      <c r="AF214" s="54"/>
      <c r="AG214" s="54"/>
      <c r="AH214" s="54"/>
    </row>
    <row r="215" spans="17:34" x14ac:dyDescent="0.2">
      <c r="Q215" s="54"/>
      <c r="R215" s="54"/>
      <c r="S215" s="54"/>
      <c r="V215" s="54"/>
      <c r="W215" s="54"/>
      <c r="X215" s="54"/>
      <c r="AA215" s="54"/>
      <c r="AB215" s="54"/>
      <c r="AC215" s="54"/>
      <c r="AF215" s="54"/>
      <c r="AG215" s="54"/>
      <c r="AH215" s="54"/>
    </row>
    <row r="216" spans="17:34" x14ac:dyDescent="0.2">
      <c r="Q216" s="54"/>
      <c r="R216" s="54"/>
      <c r="S216" s="54"/>
      <c r="V216" s="54"/>
      <c r="W216" s="54"/>
      <c r="X216" s="54"/>
      <c r="AA216" s="54"/>
      <c r="AB216" s="54"/>
      <c r="AC216" s="54"/>
      <c r="AF216" s="54"/>
      <c r="AG216" s="54"/>
      <c r="AH216" s="54"/>
    </row>
    <row r="217" spans="17:34" x14ac:dyDescent="0.2">
      <c r="Q217" s="54"/>
      <c r="R217" s="54"/>
      <c r="S217" s="54"/>
      <c r="V217" s="54"/>
      <c r="W217" s="54"/>
      <c r="X217" s="54"/>
      <c r="AA217" s="54"/>
      <c r="AB217" s="54"/>
      <c r="AC217" s="54"/>
      <c r="AF217" s="54"/>
      <c r="AG217" s="54"/>
      <c r="AH217" s="54"/>
    </row>
    <row r="218" spans="17:34" x14ac:dyDescent="0.2">
      <c r="Q218" s="54"/>
      <c r="R218" s="54"/>
      <c r="S218" s="54"/>
      <c r="V218" s="54"/>
      <c r="W218" s="54"/>
      <c r="X218" s="54"/>
      <c r="AA218" s="54"/>
      <c r="AB218" s="54"/>
      <c r="AC218" s="54"/>
      <c r="AF218" s="54"/>
      <c r="AG218" s="54"/>
      <c r="AH218" s="54"/>
    </row>
    <row r="219" spans="17:34" x14ac:dyDescent="0.2">
      <c r="Q219" s="54"/>
      <c r="R219" s="54"/>
      <c r="S219" s="54"/>
      <c r="V219" s="54"/>
      <c r="W219" s="54"/>
      <c r="X219" s="54"/>
      <c r="AA219" s="54"/>
      <c r="AB219" s="54"/>
      <c r="AC219" s="54"/>
      <c r="AF219" s="54"/>
      <c r="AG219" s="54"/>
      <c r="AH219" s="54"/>
    </row>
    <row r="220" spans="17:34" x14ac:dyDescent="0.2">
      <c r="Q220" s="54"/>
      <c r="R220" s="54"/>
      <c r="S220" s="54"/>
      <c r="V220" s="54"/>
      <c r="W220" s="54"/>
      <c r="X220" s="54"/>
      <c r="AA220" s="54"/>
      <c r="AB220" s="54"/>
      <c r="AC220" s="54"/>
      <c r="AF220" s="54"/>
      <c r="AG220" s="54"/>
      <c r="AH220" s="54"/>
    </row>
    <row r="221" spans="17:34" x14ac:dyDescent="0.2">
      <c r="Q221" s="54"/>
      <c r="R221" s="54"/>
      <c r="S221" s="54"/>
      <c r="V221" s="54"/>
      <c r="W221" s="54"/>
      <c r="X221" s="54"/>
      <c r="AA221" s="54"/>
      <c r="AB221" s="54"/>
      <c r="AC221" s="54"/>
      <c r="AF221" s="54"/>
      <c r="AG221" s="54"/>
      <c r="AH221" s="54"/>
    </row>
    <row r="222" spans="17:34" x14ac:dyDescent="0.2">
      <c r="Q222" s="54"/>
      <c r="R222" s="54"/>
      <c r="S222" s="54"/>
      <c r="V222" s="54"/>
      <c r="W222" s="54"/>
      <c r="X222" s="54"/>
      <c r="AA222" s="54"/>
      <c r="AB222" s="54"/>
      <c r="AC222" s="54"/>
      <c r="AF222" s="54"/>
      <c r="AG222" s="54"/>
      <c r="AH222" s="54"/>
    </row>
    <row r="223" spans="17:34" x14ac:dyDescent="0.2">
      <c r="Q223" s="54"/>
      <c r="R223" s="54"/>
      <c r="S223" s="54"/>
      <c r="V223" s="54"/>
      <c r="W223" s="54"/>
      <c r="X223" s="54"/>
      <c r="AA223" s="54"/>
      <c r="AB223" s="54"/>
      <c r="AC223" s="54"/>
      <c r="AF223" s="54"/>
      <c r="AG223" s="54"/>
      <c r="AH223" s="54"/>
    </row>
    <row r="224" spans="17:34" x14ac:dyDescent="0.2">
      <c r="Q224" s="54"/>
      <c r="R224" s="54"/>
      <c r="S224" s="54"/>
      <c r="V224" s="54"/>
      <c r="W224" s="54"/>
      <c r="X224" s="54"/>
      <c r="AA224" s="54"/>
      <c r="AB224" s="54"/>
      <c r="AC224" s="54"/>
      <c r="AF224" s="54"/>
      <c r="AG224" s="54"/>
      <c r="AH224" s="54"/>
    </row>
    <row r="225" spans="17:34" x14ac:dyDescent="0.2">
      <c r="Q225" s="54"/>
      <c r="R225" s="54"/>
      <c r="S225" s="54"/>
      <c r="V225" s="54"/>
      <c r="W225" s="54"/>
      <c r="X225" s="54"/>
      <c r="AA225" s="54"/>
      <c r="AB225" s="54"/>
      <c r="AC225" s="54"/>
      <c r="AF225" s="54"/>
      <c r="AG225" s="54"/>
      <c r="AH225" s="54"/>
    </row>
    <row r="226" spans="17:34" x14ac:dyDescent="0.2">
      <c r="Q226" s="54"/>
      <c r="R226" s="54"/>
      <c r="S226" s="54"/>
      <c r="V226" s="54"/>
      <c r="W226" s="54"/>
      <c r="X226" s="54"/>
      <c r="AA226" s="54"/>
      <c r="AB226" s="54"/>
      <c r="AC226" s="54"/>
      <c r="AF226" s="54"/>
      <c r="AG226" s="54"/>
      <c r="AH226" s="54"/>
    </row>
    <row r="227" spans="17:34" x14ac:dyDescent="0.2">
      <c r="Q227" s="54"/>
      <c r="R227" s="54"/>
      <c r="S227" s="54"/>
      <c r="V227" s="54"/>
      <c r="W227" s="54"/>
      <c r="X227" s="54"/>
      <c r="AA227" s="54"/>
      <c r="AB227" s="54"/>
      <c r="AC227" s="54"/>
      <c r="AF227" s="54"/>
      <c r="AG227" s="54"/>
      <c r="AH227" s="54"/>
    </row>
    <row r="228" spans="17:34" x14ac:dyDescent="0.2">
      <c r="Q228" s="54"/>
      <c r="R228" s="54"/>
      <c r="S228" s="54"/>
      <c r="V228" s="54"/>
      <c r="W228" s="54"/>
      <c r="X228" s="54"/>
      <c r="AA228" s="54"/>
      <c r="AB228" s="54"/>
      <c r="AC228" s="54"/>
      <c r="AF228" s="54"/>
      <c r="AG228" s="54"/>
      <c r="AH228" s="54"/>
    </row>
    <row r="229" spans="17:34" x14ac:dyDescent="0.2">
      <c r="Q229" s="54"/>
      <c r="R229" s="54"/>
      <c r="S229" s="54"/>
      <c r="V229" s="54"/>
      <c r="W229" s="54"/>
      <c r="X229" s="54"/>
      <c r="AA229" s="54"/>
      <c r="AB229" s="54"/>
      <c r="AC229" s="54"/>
      <c r="AF229" s="54"/>
      <c r="AG229" s="54"/>
      <c r="AH229" s="54"/>
    </row>
    <row r="230" spans="17:34" x14ac:dyDescent="0.2">
      <c r="Q230" s="54"/>
      <c r="R230" s="54"/>
      <c r="S230" s="54"/>
      <c r="V230" s="54"/>
      <c r="W230" s="54"/>
      <c r="X230" s="54"/>
      <c r="AA230" s="54"/>
      <c r="AB230" s="54"/>
      <c r="AC230" s="54"/>
      <c r="AF230" s="54"/>
      <c r="AG230" s="54"/>
      <c r="AH230" s="54"/>
    </row>
    <row r="231" spans="17:34" x14ac:dyDescent="0.2">
      <c r="Q231" s="54"/>
      <c r="R231" s="54"/>
      <c r="S231" s="54"/>
      <c r="V231" s="54"/>
      <c r="W231" s="54"/>
      <c r="X231" s="54"/>
      <c r="AA231" s="54"/>
      <c r="AB231" s="54"/>
      <c r="AC231" s="54"/>
      <c r="AF231" s="54"/>
      <c r="AG231" s="54"/>
      <c r="AH231" s="54"/>
    </row>
    <row r="232" spans="17:34" x14ac:dyDescent="0.2">
      <c r="Q232" s="54"/>
      <c r="R232" s="54"/>
      <c r="S232" s="54"/>
      <c r="V232" s="54"/>
      <c r="W232" s="54"/>
      <c r="X232" s="54"/>
      <c r="AA232" s="54"/>
      <c r="AB232" s="54"/>
      <c r="AC232" s="54"/>
      <c r="AF232" s="54"/>
      <c r="AG232" s="54"/>
      <c r="AH232" s="54"/>
    </row>
    <row r="233" spans="17:34" x14ac:dyDescent="0.2">
      <c r="Q233" s="54"/>
      <c r="R233" s="54"/>
      <c r="S233" s="54"/>
      <c r="V233" s="54"/>
      <c r="W233" s="54"/>
      <c r="X233" s="54"/>
      <c r="AA233" s="54"/>
      <c r="AB233" s="54"/>
      <c r="AC233" s="54"/>
      <c r="AF233" s="54"/>
      <c r="AG233" s="54"/>
      <c r="AH233" s="54"/>
    </row>
    <row r="234" spans="17:34" x14ac:dyDescent="0.2">
      <c r="Q234" s="54"/>
      <c r="R234" s="54"/>
      <c r="S234" s="54"/>
      <c r="V234" s="54"/>
      <c r="W234" s="54"/>
      <c r="X234" s="54"/>
      <c r="AA234" s="54"/>
      <c r="AB234" s="54"/>
      <c r="AC234" s="54"/>
      <c r="AF234" s="54"/>
      <c r="AG234" s="54"/>
      <c r="AH234" s="54"/>
    </row>
    <row r="235" spans="17:34" x14ac:dyDescent="0.2">
      <c r="Q235" s="54"/>
      <c r="R235" s="54"/>
      <c r="S235" s="54"/>
      <c r="V235" s="54"/>
      <c r="W235" s="54"/>
      <c r="X235" s="54"/>
      <c r="AA235" s="54"/>
      <c r="AB235" s="54"/>
      <c r="AC235" s="54"/>
      <c r="AF235" s="54"/>
      <c r="AG235" s="54"/>
      <c r="AH235" s="54"/>
    </row>
    <row r="236" spans="17:34" x14ac:dyDescent="0.2">
      <c r="Q236" s="54"/>
      <c r="R236" s="54"/>
      <c r="S236" s="54"/>
      <c r="V236" s="54"/>
      <c r="W236" s="54"/>
      <c r="X236" s="54"/>
      <c r="AA236" s="54"/>
      <c r="AB236" s="54"/>
      <c r="AC236" s="54"/>
      <c r="AF236" s="54"/>
      <c r="AG236" s="54"/>
      <c r="AH236" s="54"/>
    </row>
    <row r="237" spans="17:34" x14ac:dyDescent="0.2">
      <c r="Q237" s="54"/>
      <c r="R237" s="54"/>
      <c r="S237" s="54"/>
      <c r="V237" s="54"/>
      <c r="W237" s="54"/>
      <c r="X237" s="54"/>
      <c r="AA237" s="54"/>
      <c r="AB237" s="54"/>
      <c r="AC237" s="54"/>
      <c r="AF237" s="54"/>
      <c r="AG237" s="54"/>
      <c r="AH237" s="54"/>
    </row>
    <row r="238" spans="17:34" x14ac:dyDescent="0.2">
      <c r="Q238" s="54"/>
      <c r="R238" s="54"/>
      <c r="S238" s="54"/>
      <c r="V238" s="54"/>
      <c r="W238" s="54"/>
      <c r="X238" s="54"/>
      <c r="AA238" s="54"/>
      <c r="AB238" s="54"/>
      <c r="AC238" s="54"/>
      <c r="AF238" s="54"/>
      <c r="AG238" s="54"/>
      <c r="AH238" s="54"/>
    </row>
    <row r="239" spans="17:34" x14ac:dyDescent="0.2">
      <c r="Q239" s="54"/>
      <c r="R239" s="54"/>
      <c r="S239" s="54"/>
      <c r="V239" s="54"/>
      <c r="W239" s="54"/>
      <c r="X239" s="54"/>
      <c r="AA239" s="54"/>
      <c r="AB239" s="54"/>
      <c r="AC239" s="54"/>
      <c r="AF239" s="54"/>
      <c r="AG239" s="54"/>
      <c r="AH239" s="54"/>
    </row>
    <row r="240" spans="17:34" x14ac:dyDescent="0.2">
      <c r="Q240" s="54"/>
      <c r="R240" s="54"/>
      <c r="S240" s="54"/>
      <c r="V240" s="54"/>
      <c r="W240" s="54"/>
      <c r="X240" s="54"/>
      <c r="AA240" s="54"/>
      <c r="AB240" s="54"/>
      <c r="AC240" s="54"/>
      <c r="AF240" s="54"/>
      <c r="AG240" s="54"/>
      <c r="AH240" s="54"/>
    </row>
    <row r="241" spans="17:34" x14ac:dyDescent="0.2">
      <c r="Q241" s="54"/>
      <c r="R241" s="54"/>
      <c r="S241" s="54"/>
      <c r="V241" s="54"/>
      <c r="W241" s="54"/>
      <c r="X241" s="54"/>
      <c r="AA241" s="54"/>
      <c r="AB241" s="54"/>
      <c r="AC241" s="54"/>
      <c r="AF241" s="54"/>
      <c r="AG241" s="54"/>
      <c r="AH241" s="54"/>
    </row>
    <row r="242" spans="17:34" x14ac:dyDescent="0.2">
      <c r="Q242" s="54"/>
      <c r="R242" s="54"/>
      <c r="S242" s="54"/>
      <c r="V242" s="54"/>
      <c r="W242" s="54"/>
      <c r="X242" s="54"/>
      <c r="AA242" s="54"/>
      <c r="AB242" s="54"/>
      <c r="AC242" s="54"/>
      <c r="AF242" s="54"/>
      <c r="AG242" s="54"/>
      <c r="AH242" s="54"/>
    </row>
    <row r="243" spans="17:34" x14ac:dyDescent="0.2">
      <c r="Q243" s="54"/>
      <c r="R243" s="54"/>
      <c r="S243" s="54"/>
      <c r="V243" s="54"/>
      <c r="W243" s="54"/>
      <c r="X243" s="54"/>
      <c r="AA243" s="54"/>
      <c r="AB243" s="54"/>
      <c r="AC243" s="54"/>
      <c r="AF243" s="54"/>
      <c r="AG243" s="54"/>
      <c r="AH243" s="54"/>
    </row>
    <row r="244" spans="17:34" x14ac:dyDescent="0.2">
      <c r="Q244" s="54"/>
      <c r="R244" s="54"/>
      <c r="S244" s="54"/>
      <c r="V244" s="54"/>
      <c r="W244" s="54"/>
      <c r="X244" s="54"/>
      <c r="AA244" s="54"/>
      <c r="AB244" s="54"/>
      <c r="AC244" s="54"/>
      <c r="AF244" s="54"/>
      <c r="AG244" s="54"/>
      <c r="AH244" s="54"/>
    </row>
    <row r="245" spans="17:34" x14ac:dyDescent="0.2">
      <c r="Q245" s="54"/>
      <c r="R245" s="54"/>
      <c r="S245" s="54"/>
      <c r="V245" s="54"/>
      <c r="W245" s="54"/>
      <c r="X245" s="54"/>
      <c r="AA245" s="54"/>
      <c r="AB245" s="54"/>
      <c r="AC245" s="54"/>
      <c r="AF245" s="54"/>
      <c r="AG245" s="54"/>
      <c r="AH245" s="54"/>
    </row>
    <row r="246" spans="17:34" x14ac:dyDescent="0.2">
      <c r="Q246" s="54"/>
      <c r="R246" s="54"/>
      <c r="S246" s="54"/>
      <c r="V246" s="54"/>
      <c r="W246" s="54"/>
      <c r="X246" s="54"/>
      <c r="AA246" s="54"/>
      <c r="AB246" s="54"/>
      <c r="AC246" s="54"/>
      <c r="AF246" s="54"/>
      <c r="AG246" s="54"/>
      <c r="AH246" s="54"/>
    </row>
    <row r="247" spans="17:34" x14ac:dyDescent="0.2">
      <c r="Q247" s="54"/>
      <c r="R247" s="54"/>
      <c r="S247" s="54"/>
      <c r="V247" s="54"/>
      <c r="W247" s="54"/>
      <c r="X247" s="54"/>
      <c r="AA247" s="54"/>
      <c r="AB247" s="54"/>
      <c r="AC247" s="54"/>
      <c r="AF247" s="54"/>
      <c r="AG247" s="54"/>
      <c r="AH247" s="54"/>
    </row>
    <row r="248" spans="17:34" x14ac:dyDescent="0.2">
      <c r="Q248" s="54"/>
      <c r="R248" s="54"/>
      <c r="S248" s="54"/>
      <c r="V248" s="54"/>
      <c r="W248" s="54"/>
      <c r="X248" s="54"/>
      <c r="AA248" s="54"/>
      <c r="AB248" s="54"/>
      <c r="AC248" s="54"/>
      <c r="AF248" s="54"/>
      <c r="AG248" s="54"/>
      <c r="AH248" s="54"/>
    </row>
    <row r="249" spans="17:34" x14ac:dyDescent="0.2">
      <c r="Q249" s="54"/>
      <c r="R249" s="54"/>
      <c r="S249" s="54"/>
      <c r="V249" s="54"/>
      <c r="W249" s="54"/>
      <c r="X249" s="54"/>
      <c r="AA249" s="54"/>
      <c r="AB249" s="54"/>
      <c r="AC249" s="54"/>
      <c r="AF249" s="54"/>
      <c r="AG249" s="54"/>
      <c r="AH249" s="54"/>
    </row>
    <row r="250" spans="17:34" x14ac:dyDescent="0.2">
      <c r="Q250" s="54"/>
      <c r="R250" s="54"/>
      <c r="S250" s="54"/>
      <c r="V250" s="54"/>
      <c r="W250" s="54"/>
      <c r="X250" s="54"/>
      <c r="AA250" s="54"/>
      <c r="AB250" s="54"/>
      <c r="AC250" s="54"/>
      <c r="AF250" s="54"/>
      <c r="AG250" s="54"/>
      <c r="AH250" s="54"/>
    </row>
    <row r="251" spans="17:34" x14ac:dyDescent="0.2">
      <c r="Q251" s="54"/>
      <c r="R251" s="54"/>
      <c r="S251" s="54"/>
      <c r="V251" s="54"/>
      <c r="W251" s="54"/>
      <c r="X251" s="54"/>
      <c r="AA251" s="54"/>
      <c r="AB251" s="54"/>
      <c r="AC251" s="54"/>
      <c r="AF251" s="54"/>
      <c r="AG251" s="54"/>
      <c r="AH251" s="54"/>
    </row>
    <row r="252" spans="17:34" x14ac:dyDescent="0.2">
      <c r="Q252" s="54"/>
      <c r="R252" s="54"/>
      <c r="S252" s="54"/>
      <c r="V252" s="54"/>
      <c r="W252" s="54"/>
      <c r="X252" s="54"/>
      <c r="AA252" s="54"/>
      <c r="AB252" s="54"/>
      <c r="AC252" s="54"/>
      <c r="AF252" s="54"/>
      <c r="AG252" s="54"/>
      <c r="AH252" s="54"/>
    </row>
    <row r="253" spans="17:34" x14ac:dyDescent="0.2">
      <c r="Q253" s="54"/>
      <c r="R253" s="54"/>
      <c r="S253" s="54"/>
      <c r="V253" s="54"/>
      <c r="W253" s="54"/>
      <c r="X253" s="54"/>
      <c r="AA253" s="54"/>
      <c r="AB253" s="54"/>
      <c r="AC253" s="54"/>
      <c r="AF253" s="54"/>
      <c r="AG253" s="54"/>
      <c r="AH253" s="54"/>
    </row>
    <row r="254" spans="17:34" x14ac:dyDescent="0.2">
      <c r="Q254" s="54"/>
      <c r="R254" s="54"/>
      <c r="S254" s="54"/>
      <c r="V254" s="54"/>
      <c r="W254" s="54"/>
      <c r="X254" s="54"/>
      <c r="AA254" s="54"/>
      <c r="AB254" s="54"/>
      <c r="AC254" s="54"/>
      <c r="AF254" s="54"/>
      <c r="AG254" s="54"/>
      <c r="AH254" s="54"/>
    </row>
    <row r="255" spans="17:34" x14ac:dyDescent="0.2">
      <c r="Q255" s="54"/>
      <c r="R255" s="54"/>
      <c r="S255" s="54"/>
      <c r="V255" s="54"/>
      <c r="W255" s="54"/>
      <c r="X255" s="54"/>
      <c r="AA255" s="54"/>
      <c r="AB255" s="54"/>
      <c r="AC255" s="54"/>
      <c r="AF255" s="54"/>
      <c r="AG255" s="54"/>
      <c r="AH255" s="54"/>
    </row>
    <row r="256" spans="17:34" x14ac:dyDescent="0.2">
      <c r="Q256" s="54"/>
      <c r="R256" s="54"/>
      <c r="S256" s="54"/>
      <c r="V256" s="54"/>
      <c r="W256" s="54"/>
      <c r="X256" s="54"/>
      <c r="AA256" s="54"/>
      <c r="AB256" s="54"/>
      <c r="AC256" s="54"/>
      <c r="AF256" s="54"/>
      <c r="AG256" s="54"/>
      <c r="AH256" s="54"/>
    </row>
    <row r="257" spans="17:34" x14ac:dyDescent="0.2">
      <c r="Q257" s="54"/>
      <c r="R257" s="54"/>
      <c r="S257" s="54"/>
      <c r="V257" s="54"/>
      <c r="W257" s="54"/>
      <c r="X257" s="54"/>
      <c r="AA257" s="54"/>
      <c r="AB257" s="54"/>
      <c r="AC257" s="54"/>
      <c r="AF257" s="54"/>
      <c r="AG257" s="54"/>
      <c r="AH257" s="54"/>
    </row>
    <row r="258" spans="17:34" x14ac:dyDescent="0.2">
      <c r="Q258" s="54"/>
      <c r="R258" s="54"/>
      <c r="S258" s="54"/>
      <c r="V258" s="54"/>
      <c r="W258" s="54"/>
      <c r="X258" s="54"/>
      <c r="AA258" s="54"/>
      <c r="AB258" s="54"/>
      <c r="AC258" s="54"/>
      <c r="AF258" s="54"/>
      <c r="AG258" s="54"/>
      <c r="AH258" s="54"/>
    </row>
    <row r="259" spans="17:34" x14ac:dyDescent="0.2">
      <c r="Q259" s="54"/>
      <c r="R259" s="54"/>
      <c r="S259" s="54"/>
      <c r="V259" s="54"/>
      <c r="W259" s="54"/>
      <c r="X259" s="54"/>
      <c r="AA259" s="54"/>
      <c r="AB259" s="54"/>
      <c r="AC259" s="54"/>
      <c r="AF259" s="54"/>
      <c r="AG259" s="54"/>
      <c r="AH259" s="54"/>
    </row>
    <row r="260" spans="17:34" x14ac:dyDescent="0.2">
      <c r="Q260" s="54"/>
      <c r="R260" s="54"/>
      <c r="S260" s="54"/>
      <c r="V260" s="54"/>
      <c r="W260" s="54"/>
      <c r="X260" s="54"/>
      <c r="AA260" s="54"/>
      <c r="AB260" s="54"/>
      <c r="AC260" s="54"/>
      <c r="AF260" s="54"/>
      <c r="AG260" s="54"/>
      <c r="AH260" s="54"/>
    </row>
    <row r="261" spans="17:34" x14ac:dyDescent="0.2">
      <c r="Q261" s="54"/>
      <c r="R261" s="54"/>
      <c r="S261" s="54"/>
      <c r="V261" s="54"/>
      <c r="W261" s="54"/>
      <c r="X261" s="54"/>
      <c r="AA261" s="54"/>
      <c r="AB261" s="54"/>
      <c r="AC261" s="54"/>
      <c r="AF261" s="54"/>
      <c r="AG261" s="54"/>
      <c r="AH261" s="54"/>
    </row>
    <row r="262" spans="17:34" x14ac:dyDescent="0.2">
      <c r="Q262" s="54"/>
      <c r="R262" s="54"/>
      <c r="S262" s="54"/>
      <c r="V262" s="54"/>
      <c r="W262" s="54"/>
      <c r="X262" s="54"/>
      <c r="AA262" s="54"/>
      <c r="AB262" s="54"/>
      <c r="AC262" s="54"/>
      <c r="AF262" s="54"/>
      <c r="AG262" s="54"/>
      <c r="AH262" s="54"/>
    </row>
    <row r="263" spans="17:34" x14ac:dyDescent="0.2">
      <c r="Q263" s="54"/>
      <c r="R263" s="54"/>
      <c r="S263" s="54"/>
      <c r="V263" s="54"/>
      <c r="W263" s="54"/>
      <c r="X263" s="54"/>
      <c r="AA263" s="54"/>
      <c r="AB263" s="54"/>
      <c r="AC263" s="54"/>
      <c r="AF263" s="54"/>
      <c r="AG263" s="54"/>
      <c r="AH263" s="54"/>
    </row>
    <row r="264" spans="17:34" x14ac:dyDescent="0.2">
      <c r="Q264" s="54"/>
      <c r="R264" s="54"/>
      <c r="S264" s="54"/>
      <c r="V264" s="54"/>
      <c r="W264" s="54"/>
      <c r="X264" s="54"/>
      <c r="AA264" s="54"/>
      <c r="AB264" s="54"/>
      <c r="AC264" s="54"/>
      <c r="AF264" s="54"/>
      <c r="AG264" s="54"/>
      <c r="AH264" s="54"/>
    </row>
    <row r="265" spans="17:34" x14ac:dyDescent="0.2">
      <c r="Q265" s="54"/>
      <c r="R265" s="54"/>
      <c r="S265" s="54"/>
      <c r="V265" s="54"/>
      <c r="W265" s="54"/>
      <c r="X265" s="54"/>
      <c r="AA265" s="54"/>
      <c r="AB265" s="54"/>
      <c r="AC265" s="54"/>
      <c r="AF265" s="54"/>
      <c r="AG265" s="54"/>
      <c r="AH265" s="54"/>
    </row>
    <row r="266" spans="17:34" x14ac:dyDescent="0.2">
      <c r="Q266" s="54"/>
      <c r="R266" s="54"/>
      <c r="S266" s="54"/>
      <c r="V266" s="54"/>
      <c r="W266" s="54"/>
      <c r="X266" s="54"/>
      <c r="AA266" s="54"/>
      <c r="AB266" s="54"/>
      <c r="AC266" s="54"/>
      <c r="AF266" s="54"/>
      <c r="AG266" s="54"/>
      <c r="AH266" s="54"/>
    </row>
    <row r="267" spans="17:34" x14ac:dyDescent="0.2">
      <c r="Q267" s="54"/>
      <c r="R267" s="54"/>
      <c r="S267" s="54"/>
      <c r="V267" s="54"/>
      <c r="W267" s="54"/>
      <c r="X267" s="54"/>
      <c r="AA267" s="54"/>
      <c r="AB267" s="54"/>
      <c r="AC267" s="54"/>
      <c r="AF267" s="54"/>
      <c r="AG267" s="54"/>
      <c r="AH267" s="54"/>
    </row>
    <row r="268" spans="17:34" x14ac:dyDescent="0.2">
      <c r="Q268" s="54"/>
      <c r="R268" s="54"/>
      <c r="S268" s="54"/>
      <c r="V268" s="54"/>
      <c r="W268" s="54"/>
      <c r="X268" s="54"/>
      <c r="AA268" s="54"/>
      <c r="AB268" s="54"/>
      <c r="AC268" s="54"/>
      <c r="AF268" s="54"/>
      <c r="AG268" s="54"/>
      <c r="AH268" s="54"/>
    </row>
    <row r="269" spans="17:34" x14ac:dyDescent="0.2">
      <c r="Q269" s="54"/>
      <c r="R269" s="54"/>
      <c r="S269" s="54"/>
      <c r="V269" s="54"/>
      <c r="W269" s="54"/>
      <c r="X269" s="54"/>
      <c r="AA269" s="54"/>
      <c r="AB269" s="54"/>
      <c r="AC269" s="54"/>
      <c r="AF269" s="54"/>
      <c r="AG269" s="54"/>
      <c r="AH269" s="54"/>
    </row>
    <row r="270" spans="17:34" x14ac:dyDescent="0.2">
      <c r="Q270" s="54"/>
      <c r="R270" s="54"/>
      <c r="S270" s="54"/>
      <c r="V270" s="54"/>
      <c r="W270" s="54"/>
      <c r="X270" s="54"/>
      <c r="AA270" s="54"/>
      <c r="AB270" s="54"/>
      <c r="AC270" s="54"/>
      <c r="AF270" s="54"/>
      <c r="AG270" s="54"/>
      <c r="AH270" s="54"/>
    </row>
    <row r="271" spans="17:34" x14ac:dyDescent="0.2">
      <c r="Q271" s="54"/>
      <c r="R271" s="54"/>
      <c r="S271" s="54"/>
      <c r="V271" s="54"/>
      <c r="W271" s="54"/>
      <c r="X271" s="54"/>
      <c r="AA271" s="54"/>
      <c r="AB271" s="54"/>
      <c r="AC271" s="54"/>
      <c r="AF271" s="54"/>
      <c r="AG271" s="54"/>
      <c r="AH271" s="54"/>
    </row>
    <row r="272" spans="17:34" x14ac:dyDescent="0.2">
      <c r="Q272" s="54"/>
      <c r="R272" s="54"/>
      <c r="S272" s="54"/>
      <c r="V272" s="54"/>
      <c r="W272" s="54"/>
      <c r="X272" s="54"/>
      <c r="AA272" s="54"/>
      <c r="AB272" s="54"/>
      <c r="AC272" s="54"/>
      <c r="AF272" s="54"/>
      <c r="AG272" s="54"/>
      <c r="AH272" s="54"/>
    </row>
    <row r="273" spans="17:34" x14ac:dyDescent="0.2">
      <c r="Q273" s="54"/>
      <c r="R273" s="54"/>
      <c r="S273" s="54"/>
      <c r="V273" s="54"/>
      <c r="W273" s="54"/>
      <c r="X273" s="54"/>
      <c r="AA273" s="54"/>
      <c r="AB273" s="54"/>
      <c r="AC273" s="54"/>
      <c r="AF273" s="54"/>
      <c r="AG273" s="54"/>
      <c r="AH273" s="54"/>
    </row>
    <row r="274" spans="17:34" x14ac:dyDescent="0.2">
      <c r="Q274" s="54"/>
      <c r="R274" s="54"/>
      <c r="S274" s="54"/>
      <c r="V274" s="54"/>
      <c r="W274" s="54"/>
      <c r="X274" s="54"/>
      <c r="AA274" s="54"/>
      <c r="AB274" s="54"/>
      <c r="AC274" s="54"/>
      <c r="AF274" s="54"/>
      <c r="AG274" s="54"/>
      <c r="AH274" s="54"/>
    </row>
    <row r="275" spans="17:34" x14ac:dyDescent="0.2">
      <c r="Q275" s="54"/>
      <c r="R275" s="54"/>
      <c r="S275" s="54"/>
      <c r="V275" s="54"/>
      <c r="W275" s="54"/>
      <c r="X275" s="54"/>
      <c r="AA275" s="54"/>
      <c r="AB275" s="54"/>
      <c r="AC275" s="54"/>
      <c r="AF275" s="54"/>
      <c r="AG275" s="54"/>
      <c r="AH275" s="54"/>
    </row>
    <row r="276" spans="17:34" x14ac:dyDescent="0.2">
      <c r="Q276" s="54"/>
      <c r="R276" s="54"/>
      <c r="S276" s="54"/>
      <c r="V276" s="54"/>
      <c r="W276" s="54"/>
      <c r="X276" s="54"/>
      <c r="AA276" s="54"/>
      <c r="AB276" s="54"/>
      <c r="AC276" s="54"/>
      <c r="AF276" s="54"/>
      <c r="AG276" s="54"/>
      <c r="AH276" s="54"/>
    </row>
    <row r="277" spans="17:34" x14ac:dyDescent="0.2">
      <c r="Q277" s="54"/>
      <c r="R277" s="54"/>
      <c r="S277" s="54"/>
      <c r="V277" s="54"/>
      <c r="W277" s="54"/>
      <c r="X277" s="54"/>
      <c r="AA277" s="54"/>
      <c r="AB277" s="54"/>
      <c r="AC277" s="54"/>
      <c r="AF277" s="54"/>
      <c r="AG277" s="54"/>
      <c r="AH277" s="54"/>
    </row>
    <row r="278" spans="17:34" x14ac:dyDescent="0.2">
      <c r="Q278" s="54"/>
      <c r="R278" s="54"/>
      <c r="S278" s="54"/>
      <c r="V278" s="54"/>
      <c r="W278" s="54"/>
      <c r="X278" s="54"/>
      <c r="AA278" s="54"/>
      <c r="AB278" s="54"/>
      <c r="AC278" s="54"/>
      <c r="AF278" s="54"/>
      <c r="AG278" s="54"/>
      <c r="AH278" s="54"/>
    </row>
    <row r="279" spans="17:34" x14ac:dyDescent="0.2">
      <c r="Q279" s="54"/>
      <c r="R279" s="54"/>
      <c r="S279" s="54"/>
      <c r="V279" s="54"/>
      <c r="W279" s="54"/>
      <c r="X279" s="54"/>
      <c r="AA279" s="54"/>
      <c r="AB279" s="54"/>
      <c r="AC279" s="54"/>
      <c r="AF279" s="54"/>
      <c r="AG279" s="54"/>
      <c r="AH279" s="54"/>
    </row>
    <row r="280" spans="17:34" x14ac:dyDescent="0.2">
      <c r="Q280" s="54"/>
      <c r="R280" s="54"/>
      <c r="S280" s="54"/>
      <c r="V280" s="54"/>
      <c r="W280" s="54"/>
      <c r="X280" s="54"/>
      <c r="AA280" s="54"/>
      <c r="AB280" s="54"/>
      <c r="AC280" s="54"/>
      <c r="AF280" s="54"/>
      <c r="AG280" s="54"/>
      <c r="AH280" s="54"/>
    </row>
    <row r="281" spans="17:34" x14ac:dyDescent="0.2">
      <c r="Q281" s="54"/>
      <c r="R281" s="54"/>
      <c r="S281" s="54"/>
      <c r="V281" s="54"/>
      <c r="W281" s="54"/>
      <c r="X281" s="54"/>
      <c r="AA281" s="54"/>
      <c r="AB281" s="54"/>
      <c r="AC281" s="54"/>
      <c r="AF281" s="54"/>
      <c r="AG281" s="54"/>
      <c r="AH281" s="54"/>
    </row>
    <row r="282" spans="17:34" x14ac:dyDescent="0.2">
      <c r="Q282" s="54"/>
      <c r="R282" s="54"/>
      <c r="S282" s="54"/>
      <c r="V282" s="54"/>
      <c r="W282" s="54"/>
      <c r="X282" s="54"/>
      <c r="AA282" s="54"/>
      <c r="AB282" s="54"/>
      <c r="AC282" s="54"/>
      <c r="AF282" s="54"/>
      <c r="AG282" s="54"/>
      <c r="AH282" s="54"/>
    </row>
    <row r="283" spans="17:34" x14ac:dyDescent="0.2">
      <c r="Q283" s="54"/>
      <c r="R283" s="54"/>
      <c r="S283" s="54"/>
      <c r="V283" s="54"/>
      <c r="W283" s="54"/>
      <c r="X283" s="54"/>
      <c r="AA283" s="54"/>
      <c r="AB283" s="54"/>
      <c r="AC283" s="54"/>
      <c r="AF283" s="54"/>
      <c r="AG283" s="54"/>
      <c r="AH283" s="54"/>
    </row>
    <row r="284" spans="17:34" x14ac:dyDescent="0.2">
      <c r="Q284" s="54"/>
      <c r="R284" s="54"/>
      <c r="S284" s="54"/>
      <c r="V284" s="54"/>
      <c r="W284" s="54"/>
      <c r="X284" s="54"/>
      <c r="AA284" s="54"/>
      <c r="AB284" s="54"/>
      <c r="AC284" s="54"/>
      <c r="AF284" s="54"/>
      <c r="AG284" s="54"/>
      <c r="AH284" s="54"/>
    </row>
    <row r="285" spans="17:34" x14ac:dyDescent="0.2">
      <c r="Q285" s="54"/>
      <c r="R285" s="54"/>
      <c r="S285" s="54"/>
      <c r="V285" s="54"/>
      <c r="W285" s="54"/>
      <c r="X285" s="54"/>
      <c r="AA285" s="54"/>
      <c r="AB285" s="54"/>
      <c r="AC285" s="54"/>
      <c r="AF285" s="54"/>
      <c r="AG285" s="54"/>
      <c r="AH285" s="54"/>
    </row>
    <row r="286" spans="17:34" x14ac:dyDescent="0.2">
      <c r="Q286" s="54"/>
      <c r="R286" s="54"/>
      <c r="S286" s="54"/>
      <c r="V286" s="54"/>
      <c r="W286" s="54"/>
      <c r="X286" s="54"/>
      <c r="AA286" s="54"/>
      <c r="AB286" s="54"/>
      <c r="AC286" s="54"/>
      <c r="AF286" s="54"/>
      <c r="AG286" s="54"/>
      <c r="AH286" s="54"/>
    </row>
    <row r="287" spans="17:34" x14ac:dyDescent="0.2">
      <c r="Q287" s="54"/>
      <c r="R287" s="54"/>
      <c r="S287" s="54"/>
      <c r="V287" s="54"/>
      <c r="W287" s="54"/>
      <c r="X287" s="54"/>
      <c r="AA287" s="54"/>
      <c r="AB287" s="54"/>
      <c r="AC287" s="54"/>
      <c r="AF287" s="54"/>
      <c r="AG287" s="54"/>
      <c r="AH287" s="54"/>
    </row>
    <row r="288" spans="17:34" x14ac:dyDescent="0.2">
      <c r="Q288" s="54"/>
      <c r="R288" s="54"/>
      <c r="S288" s="54"/>
      <c r="V288" s="54"/>
      <c r="W288" s="54"/>
      <c r="X288" s="54"/>
      <c r="AA288" s="54"/>
      <c r="AB288" s="54"/>
      <c r="AC288" s="54"/>
      <c r="AF288" s="54"/>
      <c r="AG288" s="54"/>
      <c r="AH288" s="54"/>
    </row>
    <row r="289" spans="17:34" x14ac:dyDescent="0.2">
      <c r="Q289" s="54"/>
      <c r="R289" s="54"/>
      <c r="S289" s="54"/>
      <c r="V289" s="54"/>
      <c r="W289" s="54"/>
      <c r="X289" s="54"/>
      <c r="AA289" s="54"/>
      <c r="AB289" s="54"/>
      <c r="AC289" s="54"/>
      <c r="AF289" s="54"/>
      <c r="AG289" s="54"/>
      <c r="AH289" s="54"/>
    </row>
    <row r="290" spans="17:34" x14ac:dyDescent="0.2">
      <c r="Q290" s="54"/>
      <c r="R290" s="54"/>
      <c r="S290" s="54"/>
      <c r="V290" s="54"/>
      <c r="W290" s="54"/>
      <c r="X290" s="54"/>
      <c r="AA290" s="54"/>
      <c r="AB290" s="54"/>
      <c r="AC290" s="54"/>
      <c r="AF290" s="54"/>
      <c r="AG290" s="54"/>
      <c r="AH290" s="54"/>
    </row>
    <row r="291" spans="17:34" x14ac:dyDescent="0.2">
      <c r="Q291" s="54"/>
      <c r="R291" s="54"/>
      <c r="S291" s="54"/>
      <c r="V291" s="54"/>
      <c r="W291" s="54"/>
      <c r="X291" s="54"/>
      <c r="AA291" s="54"/>
      <c r="AB291" s="54"/>
      <c r="AC291" s="54"/>
      <c r="AF291" s="54"/>
      <c r="AG291" s="54"/>
      <c r="AH291" s="54"/>
    </row>
    <row r="292" spans="17:34" x14ac:dyDescent="0.2">
      <c r="Q292" s="54"/>
      <c r="R292" s="54"/>
      <c r="S292" s="54"/>
      <c r="V292" s="54"/>
      <c r="W292" s="54"/>
      <c r="X292" s="54"/>
      <c r="AA292" s="54"/>
      <c r="AB292" s="54"/>
      <c r="AC292" s="54"/>
      <c r="AF292" s="54"/>
      <c r="AG292" s="54"/>
      <c r="AH292" s="54"/>
    </row>
    <row r="293" spans="17:34" x14ac:dyDescent="0.2">
      <c r="Q293" s="54"/>
      <c r="R293" s="54"/>
      <c r="S293" s="54"/>
      <c r="V293" s="54"/>
      <c r="W293" s="54"/>
      <c r="X293" s="54"/>
      <c r="AA293" s="54"/>
      <c r="AB293" s="54"/>
      <c r="AC293" s="54"/>
      <c r="AF293" s="54"/>
      <c r="AG293" s="54"/>
      <c r="AH293" s="54"/>
    </row>
    <row r="294" spans="17:34" x14ac:dyDescent="0.2">
      <c r="Q294" s="54"/>
      <c r="R294" s="54"/>
      <c r="S294" s="54"/>
      <c r="V294" s="54"/>
      <c r="W294" s="54"/>
      <c r="X294" s="54"/>
      <c r="AA294" s="54"/>
      <c r="AB294" s="54"/>
      <c r="AC294" s="54"/>
      <c r="AF294" s="54"/>
      <c r="AG294" s="54"/>
      <c r="AH294" s="54"/>
    </row>
    <row r="295" spans="17:34" x14ac:dyDescent="0.2">
      <c r="Q295" s="54"/>
      <c r="R295" s="54"/>
      <c r="S295" s="54"/>
      <c r="V295" s="54"/>
      <c r="W295" s="54"/>
      <c r="X295" s="54"/>
      <c r="AA295" s="54"/>
      <c r="AB295" s="54"/>
      <c r="AC295" s="54"/>
      <c r="AF295" s="54"/>
      <c r="AG295" s="54"/>
      <c r="AH295" s="54"/>
    </row>
    <row r="296" spans="17:34" x14ac:dyDescent="0.2">
      <c r="Q296" s="54"/>
      <c r="R296" s="54"/>
      <c r="S296" s="54"/>
      <c r="V296" s="54"/>
      <c r="W296" s="54"/>
      <c r="X296" s="54"/>
      <c r="AA296" s="54"/>
      <c r="AB296" s="54"/>
      <c r="AC296" s="54"/>
      <c r="AF296" s="54"/>
      <c r="AG296" s="54"/>
      <c r="AH296" s="54"/>
    </row>
    <row r="297" spans="17:34" x14ac:dyDescent="0.2">
      <c r="Q297" s="54"/>
      <c r="R297" s="54"/>
      <c r="S297" s="54"/>
      <c r="V297" s="54"/>
      <c r="W297" s="54"/>
      <c r="X297" s="54"/>
      <c r="AA297" s="54"/>
      <c r="AB297" s="54"/>
      <c r="AC297" s="54"/>
      <c r="AF297" s="54"/>
      <c r="AG297" s="54"/>
      <c r="AH297" s="54"/>
    </row>
    <row r="298" spans="17:34" x14ac:dyDescent="0.2">
      <c r="Q298" s="54"/>
      <c r="R298" s="54"/>
      <c r="S298" s="54"/>
      <c r="V298" s="54"/>
      <c r="W298" s="54"/>
      <c r="X298" s="54"/>
      <c r="AA298" s="54"/>
      <c r="AB298" s="54"/>
      <c r="AC298" s="54"/>
      <c r="AF298" s="54"/>
      <c r="AG298" s="54"/>
      <c r="AH298" s="54"/>
    </row>
    <row r="299" spans="17:34" x14ac:dyDescent="0.2">
      <c r="Q299" s="54"/>
      <c r="R299" s="54"/>
      <c r="S299" s="54"/>
      <c r="V299" s="54"/>
      <c r="W299" s="54"/>
      <c r="X299" s="54"/>
      <c r="AA299" s="54"/>
      <c r="AB299" s="54"/>
      <c r="AC299" s="54"/>
      <c r="AF299" s="54"/>
      <c r="AG299" s="54"/>
      <c r="AH299" s="54"/>
    </row>
    <row r="300" spans="17:34" x14ac:dyDescent="0.2">
      <c r="Q300" s="54"/>
      <c r="R300" s="54"/>
      <c r="S300" s="54"/>
      <c r="V300" s="54"/>
      <c r="W300" s="54"/>
      <c r="X300" s="54"/>
      <c r="AA300" s="54"/>
      <c r="AB300" s="54"/>
      <c r="AC300" s="54"/>
      <c r="AF300" s="54"/>
      <c r="AG300" s="54"/>
      <c r="AH300" s="54"/>
    </row>
    <row r="301" spans="17:34" x14ac:dyDescent="0.2">
      <c r="Q301" s="54"/>
      <c r="R301" s="54"/>
      <c r="S301" s="54"/>
      <c r="V301" s="54"/>
      <c r="W301" s="54"/>
      <c r="X301" s="54"/>
      <c r="AA301" s="54"/>
      <c r="AB301" s="54"/>
      <c r="AC301" s="54"/>
      <c r="AF301" s="54"/>
      <c r="AG301" s="54"/>
      <c r="AH301" s="54"/>
    </row>
    <row r="302" spans="17:34" x14ac:dyDescent="0.2">
      <c r="Q302" s="54"/>
      <c r="R302" s="54"/>
      <c r="S302" s="54"/>
      <c r="V302" s="54"/>
      <c r="W302" s="54"/>
      <c r="X302" s="54"/>
      <c r="AA302" s="54"/>
      <c r="AB302" s="54"/>
      <c r="AC302" s="54"/>
      <c r="AF302" s="54"/>
      <c r="AG302" s="54"/>
      <c r="AH302" s="54"/>
    </row>
    <row r="303" spans="17:34" x14ac:dyDescent="0.2">
      <c r="Q303" s="54"/>
      <c r="R303" s="54"/>
      <c r="S303" s="54"/>
      <c r="V303" s="54"/>
      <c r="W303" s="54"/>
      <c r="X303" s="54"/>
      <c r="AA303" s="54"/>
      <c r="AB303" s="54"/>
      <c r="AC303" s="54"/>
      <c r="AF303" s="54"/>
      <c r="AG303" s="54"/>
      <c r="AH303" s="54"/>
    </row>
    <row r="304" spans="17:34" x14ac:dyDescent="0.2">
      <c r="Q304" s="54"/>
      <c r="R304" s="54"/>
      <c r="S304" s="54"/>
      <c r="V304" s="54"/>
      <c r="W304" s="54"/>
      <c r="X304" s="54"/>
      <c r="AA304" s="54"/>
      <c r="AB304" s="54"/>
      <c r="AC304" s="54"/>
      <c r="AF304" s="54"/>
      <c r="AG304" s="54"/>
      <c r="AH304" s="54"/>
    </row>
    <row r="305" spans="17:34" x14ac:dyDescent="0.2">
      <c r="Q305" s="54"/>
      <c r="R305" s="54"/>
      <c r="S305" s="54"/>
      <c r="V305" s="54"/>
      <c r="W305" s="54"/>
      <c r="X305" s="54"/>
      <c r="AA305" s="54"/>
      <c r="AB305" s="54"/>
      <c r="AC305" s="54"/>
      <c r="AF305" s="54"/>
      <c r="AG305" s="54"/>
      <c r="AH305" s="54"/>
    </row>
    <row r="306" spans="17:34" x14ac:dyDescent="0.2">
      <c r="Q306" s="54"/>
      <c r="R306" s="54"/>
      <c r="S306" s="54"/>
      <c r="V306" s="54"/>
      <c r="W306" s="54"/>
      <c r="X306" s="54"/>
      <c r="AA306" s="54"/>
      <c r="AB306" s="54"/>
      <c r="AC306" s="54"/>
      <c r="AF306" s="54"/>
      <c r="AG306" s="54"/>
      <c r="AH306" s="54"/>
    </row>
    <row r="307" spans="17:34" x14ac:dyDescent="0.2">
      <c r="Q307" s="54"/>
      <c r="R307" s="54"/>
      <c r="S307" s="54"/>
      <c r="V307" s="54"/>
      <c r="W307" s="54"/>
      <c r="X307" s="54"/>
      <c r="AA307" s="54"/>
      <c r="AB307" s="54"/>
      <c r="AC307" s="54"/>
      <c r="AF307" s="54"/>
      <c r="AG307" s="54"/>
      <c r="AH307" s="54"/>
    </row>
    <row r="308" spans="17:34" x14ac:dyDescent="0.2">
      <c r="Q308" s="54"/>
      <c r="R308" s="54"/>
      <c r="S308" s="54"/>
      <c r="V308" s="54"/>
      <c r="W308" s="54"/>
      <c r="X308" s="54"/>
      <c r="AA308" s="54"/>
      <c r="AB308" s="54"/>
      <c r="AC308" s="54"/>
      <c r="AF308" s="54"/>
      <c r="AG308" s="54"/>
      <c r="AH308" s="54"/>
    </row>
    <row r="309" spans="17:34" x14ac:dyDescent="0.2">
      <c r="Q309" s="54"/>
      <c r="R309" s="54"/>
      <c r="S309" s="54"/>
      <c r="V309" s="54"/>
      <c r="W309" s="54"/>
      <c r="X309" s="54"/>
      <c r="AA309" s="54"/>
      <c r="AB309" s="54"/>
      <c r="AC309" s="54"/>
      <c r="AF309" s="54"/>
      <c r="AG309" s="54"/>
      <c r="AH309" s="54"/>
    </row>
    <row r="310" spans="17:34" x14ac:dyDescent="0.2">
      <c r="Q310" s="54"/>
      <c r="R310" s="54"/>
      <c r="S310" s="54"/>
      <c r="V310" s="54"/>
      <c r="W310" s="54"/>
      <c r="X310" s="54"/>
      <c r="AA310" s="54"/>
      <c r="AB310" s="54"/>
      <c r="AC310" s="54"/>
      <c r="AF310" s="54"/>
      <c r="AG310" s="54"/>
      <c r="AH310" s="54"/>
    </row>
    <row r="311" spans="17:34" x14ac:dyDescent="0.2">
      <c r="Q311" s="54"/>
      <c r="R311" s="54"/>
      <c r="S311" s="54"/>
      <c r="V311" s="54"/>
      <c r="W311" s="54"/>
      <c r="X311" s="54"/>
      <c r="AA311" s="54"/>
      <c r="AB311" s="54"/>
      <c r="AC311" s="54"/>
      <c r="AF311" s="54"/>
      <c r="AG311" s="54"/>
      <c r="AH311" s="54"/>
    </row>
    <row r="312" spans="17:34" x14ac:dyDescent="0.2">
      <c r="Q312" s="54"/>
      <c r="R312" s="54"/>
      <c r="S312" s="54"/>
      <c r="V312" s="54"/>
      <c r="W312" s="54"/>
      <c r="X312" s="54"/>
      <c r="AA312" s="54"/>
      <c r="AB312" s="54"/>
      <c r="AC312" s="54"/>
      <c r="AF312" s="54"/>
      <c r="AG312" s="54"/>
      <c r="AH312" s="54"/>
    </row>
    <row r="313" spans="17:34" x14ac:dyDescent="0.2">
      <c r="Q313" s="54"/>
      <c r="R313" s="54"/>
      <c r="S313" s="54"/>
      <c r="V313" s="54"/>
      <c r="W313" s="54"/>
      <c r="X313" s="54"/>
      <c r="AA313" s="54"/>
      <c r="AB313" s="54"/>
      <c r="AC313" s="54"/>
      <c r="AF313" s="54"/>
      <c r="AG313" s="54"/>
      <c r="AH313" s="54"/>
    </row>
    <row r="314" spans="17:34" x14ac:dyDescent="0.2">
      <c r="Q314" s="54"/>
      <c r="R314" s="54"/>
      <c r="S314" s="54"/>
      <c r="V314" s="54"/>
      <c r="W314" s="54"/>
      <c r="X314" s="54"/>
      <c r="AA314" s="54"/>
      <c r="AB314" s="54"/>
      <c r="AC314" s="54"/>
      <c r="AF314" s="54"/>
      <c r="AG314" s="54"/>
      <c r="AH314" s="54"/>
    </row>
    <row r="315" spans="17:34" x14ac:dyDescent="0.2">
      <c r="Q315" s="54"/>
      <c r="R315" s="54"/>
      <c r="S315" s="54"/>
      <c r="V315" s="54"/>
      <c r="W315" s="54"/>
      <c r="X315" s="54"/>
      <c r="AA315" s="54"/>
      <c r="AB315" s="54"/>
      <c r="AC315" s="54"/>
      <c r="AF315" s="54"/>
      <c r="AG315" s="54"/>
      <c r="AH315" s="54"/>
    </row>
    <row r="316" spans="17:34" x14ac:dyDescent="0.2">
      <c r="Q316" s="54"/>
      <c r="R316" s="54"/>
      <c r="S316" s="54"/>
      <c r="V316" s="54"/>
      <c r="W316" s="54"/>
      <c r="X316" s="54"/>
      <c r="AA316" s="54"/>
      <c r="AB316" s="54"/>
      <c r="AC316" s="54"/>
      <c r="AF316" s="54"/>
      <c r="AG316" s="54"/>
      <c r="AH316" s="54"/>
    </row>
    <row r="317" spans="17:34" x14ac:dyDescent="0.2">
      <c r="Q317" s="54"/>
      <c r="R317" s="54"/>
      <c r="S317" s="54"/>
      <c r="V317" s="54"/>
      <c r="W317" s="54"/>
      <c r="X317" s="54"/>
      <c r="AA317" s="54"/>
      <c r="AB317" s="54"/>
      <c r="AC317" s="54"/>
      <c r="AF317" s="54"/>
      <c r="AG317" s="54"/>
      <c r="AH317" s="54"/>
    </row>
    <row r="318" spans="17:34" x14ac:dyDescent="0.2">
      <c r="Q318" s="54"/>
      <c r="R318" s="54"/>
      <c r="S318" s="54"/>
      <c r="V318" s="54"/>
      <c r="W318" s="54"/>
      <c r="X318" s="54"/>
      <c r="AA318" s="54"/>
      <c r="AB318" s="54"/>
      <c r="AC318" s="54"/>
      <c r="AF318" s="54"/>
      <c r="AG318" s="54"/>
      <c r="AH318" s="54"/>
    </row>
    <row r="319" spans="17:34" x14ac:dyDescent="0.2">
      <c r="Q319" s="54"/>
      <c r="R319" s="54"/>
      <c r="S319" s="54"/>
      <c r="V319" s="54"/>
      <c r="W319" s="54"/>
      <c r="X319" s="54"/>
      <c r="AA319" s="54"/>
      <c r="AB319" s="54"/>
      <c r="AC319" s="54"/>
      <c r="AF319" s="54"/>
      <c r="AG319" s="54"/>
      <c r="AH319" s="54"/>
    </row>
    <row r="320" spans="17:34" x14ac:dyDescent="0.2">
      <c r="Q320" s="54"/>
      <c r="R320" s="54"/>
      <c r="S320" s="54"/>
      <c r="V320" s="54"/>
      <c r="W320" s="54"/>
      <c r="X320" s="54"/>
      <c r="AA320" s="54"/>
      <c r="AB320" s="54"/>
      <c r="AC320" s="54"/>
      <c r="AF320" s="54"/>
      <c r="AG320" s="54"/>
      <c r="AH320" s="54"/>
    </row>
    <row r="321" spans="17:34" x14ac:dyDescent="0.2">
      <c r="Q321" s="54"/>
      <c r="R321" s="54"/>
      <c r="S321" s="54"/>
      <c r="V321" s="54"/>
      <c r="W321" s="54"/>
      <c r="X321" s="54"/>
      <c r="AA321" s="54"/>
      <c r="AB321" s="54"/>
      <c r="AC321" s="54"/>
      <c r="AF321" s="54"/>
      <c r="AG321" s="54"/>
      <c r="AH321" s="54"/>
    </row>
    <row r="322" spans="17:34" x14ac:dyDescent="0.2">
      <c r="Q322" s="54"/>
      <c r="R322" s="54"/>
      <c r="S322" s="54"/>
      <c r="V322" s="54"/>
      <c r="W322" s="54"/>
      <c r="X322" s="54"/>
      <c r="AA322" s="54"/>
      <c r="AB322" s="54"/>
      <c r="AC322" s="54"/>
      <c r="AF322" s="54"/>
      <c r="AG322" s="54"/>
      <c r="AH322" s="54"/>
    </row>
    <row r="323" spans="17:34" x14ac:dyDescent="0.2">
      <c r="Q323" s="54"/>
      <c r="R323" s="54"/>
      <c r="S323" s="54"/>
      <c r="V323" s="54"/>
      <c r="W323" s="54"/>
      <c r="X323" s="54"/>
      <c r="AA323" s="54"/>
      <c r="AB323" s="54"/>
      <c r="AC323" s="54"/>
      <c r="AF323" s="54"/>
      <c r="AG323" s="54"/>
      <c r="AH323" s="54"/>
    </row>
    <row r="324" spans="17:34" x14ac:dyDescent="0.2">
      <c r="Q324" s="54"/>
      <c r="R324" s="54"/>
      <c r="S324" s="54"/>
      <c r="V324" s="54"/>
      <c r="W324" s="54"/>
      <c r="X324" s="54"/>
      <c r="AA324" s="54"/>
      <c r="AB324" s="54"/>
      <c r="AC324" s="54"/>
      <c r="AF324" s="54"/>
      <c r="AG324" s="54"/>
      <c r="AH324" s="54"/>
    </row>
    <row r="325" spans="17:34" x14ac:dyDescent="0.2">
      <c r="Q325" s="54"/>
      <c r="R325" s="54"/>
      <c r="S325" s="54"/>
      <c r="V325" s="54"/>
      <c r="W325" s="54"/>
      <c r="X325" s="54"/>
      <c r="AA325" s="54"/>
      <c r="AB325" s="54"/>
      <c r="AC325" s="54"/>
      <c r="AF325" s="54"/>
      <c r="AG325" s="54"/>
      <c r="AH325" s="54"/>
    </row>
    <row r="326" spans="17:34" x14ac:dyDescent="0.2">
      <c r="Q326" s="54"/>
      <c r="R326" s="54"/>
      <c r="S326" s="54"/>
      <c r="V326" s="54"/>
      <c r="W326" s="54"/>
      <c r="X326" s="54"/>
      <c r="AA326" s="54"/>
      <c r="AB326" s="54"/>
      <c r="AC326" s="54"/>
      <c r="AF326" s="54"/>
      <c r="AG326" s="54"/>
      <c r="AH326" s="54"/>
    </row>
    <row r="327" spans="17:34" x14ac:dyDescent="0.2">
      <c r="Q327" s="54"/>
      <c r="R327" s="54"/>
      <c r="S327" s="54"/>
      <c r="V327" s="54"/>
      <c r="W327" s="54"/>
      <c r="X327" s="54"/>
      <c r="AA327" s="54"/>
      <c r="AB327" s="54"/>
      <c r="AC327" s="54"/>
      <c r="AF327" s="54"/>
      <c r="AG327" s="54"/>
      <c r="AH327" s="54"/>
    </row>
    <row r="328" spans="17:34" x14ac:dyDescent="0.2">
      <c r="Q328" s="54"/>
      <c r="R328" s="54"/>
      <c r="S328" s="54"/>
      <c r="V328" s="54"/>
      <c r="W328" s="54"/>
      <c r="X328" s="54"/>
      <c r="AA328" s="54"/>
      <c r="AB328" s="54"/>
      <c r="AC328" s="54"/>
      <c r="AF328" s="54"/>
      <c r="AG328" s="54"/>
      <c r="AH328" s="54"/>
    </row>
    <row r="329" spans="17:34" x14ac:dyDescent="0.2">
      <c r="Q329" s="54"/>
      <c r="R329" s="54"/>
      <c r="S329" s="54"/>
      <c r="V329" s="54"/>
      <c r="W329" s="54"/>
      <c r="X329" s="54"/>
      <c r="AA329" s="54"/>
      <c r="AB329" s="54"/>
      <c r="AC329" s="54"/>
      <c r="AF329" s="54"/>
      <c r="AG329" s="54"/>
      <c r="AH329" s="54"/>
    </row>
    <row r="330" spans="17:34" x14ac:dyDescent="0.2">
      <c r="Q330" s="54"/>
      <c r="R330" s="54"/>
      <c r="S330" s="54"/>
      <c r="V330" s="54"/>
      <c r="W330" s="54"/>
      <c r="X330" s="54"/>
      <c r="AA330" s="54"/>
      <c r="AB330" s="54"/>
      <c r="AC330" s="54"/>
      <c r="AF330" s="54"/>
      <c r="AG330" s="54"/>
      <c r="AH330" s="54"/>
    </row>
    <row r="331" spans="17:34" x14ac:dyDescent="0.2">
      <c r="Q331" s="54"/>
      <c r="R331" s="54"/>
      <c r="S331" s="54"/>
      <c r="V331" s="54"/>
      <c r="W331" s="54"/>
      <c r="X331" s="54"/>
      <c r="AA331" s="54"/>
      <c r="AB331" s="54"/>
      <c r="AC331" s="54"/>
      <c r="AF331" s="54"/>
      <c r="AG331" s="54"/>
      <c r="AH331" s="54"/>
    </row>
    <row r="332" spans="17:34" x14ac:dyDescent="0.2">
      <c r="Q332" s="54"/>
      <c r="R332" s="54"/>
      <c r="S332" s="54"/>
      <c r="V332" s="54"/>
      <c r="W332" s="54"/>
      <c r="X332" s="54"/>
      <c r="AA332" s="54"/>
      <c r="AB332" s="54"/>
      <c r="AC332" s="54"/>
      <c r="AF332" s="54"/>
      <c r="AG332" s="54"/>
      <c r="AH332" s="54"/>
    </row>
    <row r="333" spans="17:34" x14ac:dyDescent="0.2">
      <c r="Q333" s="54"/>
      <c r="R333" s="54"/>
      <c r="S333" s="54"/>
      <c r="V333" s="54"/>
      <c r="W333" s="54"/>
      <c r="X333" s="54"/>
      <c r="AA333" s="54"/>
      <c r="AB333" s="54"/>
      <c r="AC333" s="54"/>
      <c r="AF333" s="54"/>
      <c r="AG333" s="54"/>
      <c r="AH333" s="54"/>
    </row>
    <row r="334" spans="17:34" x14ac:dyDescent="0.2">
      <c r="Q334" s="54"/>
      <c r="R334" s="54"/>
      <c r="S334" s="54"/>
      <c r="V334" s="54"/>
      <c r="W334" s="54"/>
      <c r="X334" s="54"/>
      <c r="AA334" s="54"/>
      <c r="AB334" s="54"/>
      <c r="AC334" s="54"/>
      <c r="AF334" s="54"/>
      <c r="AG334" s="54"/>
      <c r="AH334" s="54"/>
    </row>
    <row r="335" spans="17:34" x14ac:dyDescent="0.2">
      <c r="Q335" s="54"/>
      <c r="R335" s="54"/>
      <c r="S335" s="54"/>
      <c r="V335" s="54"/>
      <c r="W335" s="54"/>
      <c r="X335" s="54"/>
      <c r="AA335" s="54"/>
      <c r="AB335" s="54"/>
      <c r="AC335" s="54"/>
      <c r="AF335" s="54"/>
      <c r="AG335" s="54"/>
      <c r="AH335" s="54"/>
    </row>
    <row r="336" spans="17:34" x14ac:dyDescent="0.2">
      <c r="Q336" s="54"/>
      <c r="R336" s="54"/>
      <c r="S336" s="54"/>
      <c r="V336" s="54"/>
      <c r="W336" s="54"/>
      <c r="X336" s="54"/>
      <c r="AA336" s="54"/>
      <c r="AB336" s="54"/>
      <c r="AC336" s="54"/>
      <c r="AF336" s="54"/>
      <c r="AG336" s="54"/>
      <c r="AH336" s="54"/>
    </row>
    <row r="337" spans="17:34" x14ac:dyDescent="0.2">
      <c r="Q337" s="54"/>
      <c r="R337" s="54"/>
      <c r="S337" s="54"/>
      <c r="V337" s="54"/>
      <c r="W337" s="54"/>
      <c r="X337" s="54"/>
      <c r="AA337" s="54"/>
      <c r="AB337" s="54"/>
      <c r="AC337" s="54"/>
      <c r="AF337" s="54"/>
      <c r="AG337" s="54"/>
      <c r="AH337" s="54"/>
    </row>
    <row r="338" spans="17:34" x14ac:dyDescent="0.2">
      <c r="Q338" s="54"/>
      <c r="R338" s="54"/>
      <c r="S338" s="54"/>
      <c r="V338" s="54"/>
      <c r="W338" s="54"/>
      <c r="X338" s="54"/>
      <c r="AA338" s="54"/>
      <c r="AB338" s="54"/>
      <c r="AC338" s="54"/>
      <c r="AF338" s="54"/>
      <c r="AG338" s="54"/>
      <c r="AH338" s="54"/>
    </row>
    <row r="339" spans="17:34" x14ac:dyDescent="0.2">
      <c r="Q339" s="54"/>
      <c r="R339" s="54"/>
      <c r="S339" s="54"/>
      <c r="V339" s="54"/>
      <c r="W339" s="54"/>
      <c r="X339" s="54"/>
      <c r="AA339" s="54"/>
      <c r="AB339" s="54"/>
      <c r="AC339" s="54"/>
      <c r="AF339" s="54"/>
      <c r="AG339" s="54"/>
      <c r="AH339" s="54"/>
    </row>
    <row r="340" spans="17:34" x14ac:dyDescent="0.2">
      <c r="Q340" s="54"/>
      <c r="R340" s="54"/>
      <c r="S340" s="54"/>
      <c r="V340" s="54"/>
      <c r="W340" s="54"/>
      <c r="X340" s="54"/>
      <c r="AA340" s="54"/>
      <c r="AB340" s="54"/>
      <c r="AC340" s="54"/>
      <c r="AF340" s="54"/>
      <c r="AG340" s="54"/>
      <c r="AH340" s="54"/>
    </row>
    <row r="341" spans="17:34" x14ac:dyDescent="0.2">
      <c r="Q341" s="54"/>
      <c r="R341" s="54"/>
      <c r="S341" s="54"/>
      <c r="V341" s="54"/>
      <c r="W341" s="54"/>
      <c r="X341" s="54"/>
      <c r="AA341" s="54"/>
      <c r="AB341" s="54"/>
      <c r="AC341" s="54"/>
      <c r="AF341" s="54"/>
      <c r="AG341" s="54"/>
      <c r="AH341" s="54"/>
    </row>
    <row r="342" spans="17:34" x14ac:dyDescent="0.2">
      <c r="Q342" s="54"/>
      <c r="R342" s="54"/>
      <c r="S342" s="54"/>
      <c r="V342" s="54"/>
      <c r="W342" s="54"/>
      <c r="X342" s="54"/>
      <c r="AA342" s="54"/>
      <c r="AB342" s="54"/>
      <c r="AC342" s="54"/>
      <c r="AF342" s="54"/>
      <c r="AG342" s="54"/>
      <c r="AH342" s="54"/>
    </row>
    <row r="343" spans="17:34" x14ac:dyDescent="0.2">
      <c r="Q343" s="54"/>
      <c r="R343" s="54"/>
      <c r="S343" s="54"/>
      <c r="V343" s="54"/>
      <c r="W343" s="54"/>
      <c r="X343" s="54"/>
      <c r="AA343" s="54"/>
      <c r="AB343" s="54"/>
      <c r="AC343" s="54"/>
      <c r="AF343" s="54"/>
      <c r="AG343" s="54"/>
      <c r="AH343" s="54"/>
    </row>
    <row r="344" spans="17:34" x14ac:dyDescent="0.2">
      <c r="Q344" s="54"/>
      <c r="R344" s="54"/>
      <c r="S344" s="54"/>
      <c r="V344" s="54"/>
      <c r="W344" s="54"/>
      <c r="X344" s="54"/>
      <c r="AA344" s="54"/>
      <c r="AB344" s="54"/>
      <c r="AC344" s="54"/>
      <c r="AF344" s="54"/>
      <c r="AG344" s="54"/>
      <c r="AH344" s="54"/>
    </row>
    <row r="345" spans="17:34" x14ac:dyDescent="0.2">
      <c r="Q345" s="54"/>
      <c r="R345" s="54"/>
      <c r="S345" s="54"/>
      <c r="V345" s="54"/>
      <c r="W345" s="54"/>
      <c r="X345" s="54"/>
      <c r="AA345" s="54"/>
      <c r="AB345" s="54"/>
      <c r="AC345" s="54"/>
      <c r="AF345" s="54"/>
      <c r="AG345" s="54"/>
      <c r="AH345" s="54"/>
    </row>
    <row r="346" spans="17:34" x14ac:dyDescent="0.2">
      <c r="Q346" s="54"/>
      <c r="R346" s="54"/>
      <c r="S346" s="54"/>
      <c r="V346" s="54"/>
      <c r="W346" s="54"/>
      <c r="X346" s="54"/>
      <c r="AA346" s="54"/>
      <c r="AB346" s="54"/>
      <c r="AC346" s="54"/>
      <c r="AF346" s="54"/>
      <c r="AG346" s="54"/>
      <c r="AH346" s="54"/>
    </row>
    <row r="347" spans="17:34" x14ac:dyDescent="0.2">
      <c r="Q347" s="54"/>
      <c r="R347" s="54"/>
      <c r="S347" s="54"/>
      <c r="V347" s="54"/>
      <c r="W347" s="54"/>
      <c r="X347" s="54"/>
      <c r="AA347" s="54"/>
      <c r="AB347" s="54"/>
      <c r="AC347" s="54"/>
      <c r="AF347" s="54"/>
      <c r="AG347" s="54"/>
      <c r="AH347" s="54"/>
    </row>
    <row r="348" spans="17:34" x14ac:dyDescent="0.2">
      <c r="Q348" s="54"/>
      <c r="R348" s="54"/>
      <c r="S348" s="54"/>
      <c r="V348" s="54"/>
      <c r="W348" s="54"/>
      <c r="X348" s="54"/>
      <c r="AA348" s="54"/>
      <c r="AB348" s="54"/>
      <c r="AC348" s="54"/>
      <c r="AF348" s="54"/>
      <c r="AG348" s="54"/>
      <c r="AH348" s="54"/>
    </row>
    <row r="349" spans="17:34" x14ac:dyDescent="0.2">
      <c r="Q349" s="54"/>
      <c r="R349" s="54"/>
      <c r="S349" s="54"/>
      <c r="V349" s="54"/>
      <c r="W349" s="54"/>
      <c r="X349" s="54"/>
      <c r="AA349" s="54"/>
      <c r="AB349" s="54"/>
      <c r="AC349" s="54"/>
      <c r="AF349" s="54"/>
      <c r="AG349" s="54"/>
      <c r="AH349" s="54"/>
    </row>
    <row r="350" spans="17:34" x14ac:dyDescent="0.2">
      <c r="Q350" s="54"/>
      <c r="R350" s="54"/>
      <c r="S350" s="54"/>
      <c r="V350" s="54"/>
      <c r="W350" s="54"/>
      <c r="X350" s="54"/>
      <c r="AA350" s="54"/>
      <c r="AB350" s="54"/>
      <c r="AC350" s="54"/>
      <c r="AF350" s="54"/>
      <c r="AG350" s="54"/>
      <c r="AH350" s="54"/>
    </row>
    <row r="351" spans="17:34" x14ac:dyDescent="0.2">
      <c r="Q351" s="54"/>
      <c r="R351" s="54"/>
      <c r="S351" s="54"/>
      <c r="V351" s="54"/>
      <c r="W351" s="54"/>
      <c r="X351" s="54"/>
      <c r="AA351" s="54"/>
      <c r="AB351" s="54"/>
      <c r="AC351" s="54"/>
      <c r="AF351" s="54"/>
      <c r="AG351" s="54"/>
      <c r="AH351" s="54"/>
    </row>
    <row r="352" spans="17:34" x14ac:dyDescent="0.2">
      <c r="Q352" s="54"/>
      <c r="R352" s="54"/>
      <c r="S352" s="54"/>
      <c r="V352" s="54"/>
      <c r="W352" s="54"/>
      <c r="X352" s="54"/>
      <c r="AA352" s="54"/>
      <c r="AB352" s="54"/>
      <c r="AC352" s="54"/>
      <c r="AF352" s="54"/>
      <c r="AG352" s="54"/>
      <c r="AH352" s="54"/>
    </row>
    <row r="353" spans="17:34" x14ac:dyDescent="0.2">
      <c r="Q353" s="54"/>
      <c r="R353" s="54"/>
      <c r="S353" s="54"/>
      <c r="V353" s="54"/>
      <c r="W353" s="54"/>
      <c r="X353" s="54"/>
      <c r="AA353" s="54"/>
      <c r="AB353" s="54"/>
      <c r="AC353" s="54"/>
      <c r="AF353" s="54"/>
      <c r="AG353" s="54"/>
      <c r="AH353" s="54"/>
    </row>
    <row r="354" spans="17:34" x14ac:dyDescent="0.2">
      <c r="Q354" s="54"/>
      <c r="R354" s="54"/>
      <c r="S354" s="54"/>
      <c r="V354" s="54"/>
      <c r="W354" s="54"/>
      <c r="X354" s="54"/>
      <c r="AA354" s="54"/>
      <c r="AB354" s="54"/>
      <c r="AC354" s="54"/>
      <c r="AF354" s="54"/>
      <c r="AG354" s="54"/>
      <c r="AH354" s="54"/>
    </row>
    <row r="355" spans="17:34" x14ac:dyDescent="0.2">
      <c r="Q355" s="54"/>
      <c r="R355" s="54"/>
      <c r="S355" s="54"/>
      <c r="V355" s="54"/>
      <c r="W355" s="54"/>
      <c r="X355" s="54"/>
      <c r="AA355" s="54"/>
      <c r="AB355" s="54"/>
      <c r="AC355" s="54"/>
      <c r="AF355" s="54"/>
      <c r="AG355" s="54"/>
      <c r="AH355" s="54"/>
    </row>
    <row r="356" spans="17:34" x14ac:dyDescent="0.2">
      <c r="Q356" s="54"/>
      <c r="R356" s="54"/>
      <c r="S356" s="54"/>
      <c r="V356" s="54"/>
      <c r="W356" s="54"/>
      <c r="X356" s="54"/>
      <c r="AA356" s="54"/>
      <c r="AB356" s="54"/>
      <c r="AC356" s="54"/>
      <c r="AF356" s="54"/>
      <c r="AG356" s="54"/>
      <c r="AH356" s="54"/>
    </row>
    <row r="357" spans="17:34" x14ac:dyDescent="0.2">
      <c r="Q357" s="54"/>
      <c r="R357" s="54"/>
      <c r="S357" s="54"/>
      <c r="V357" s="54"/>
      <c r="W357" s="54"/>
      <c r="X357" s="54"/>
      <c r="AA357" s="54"/>
      <c r="AB357" s="54"/>
      <c r="AC357" s="54"/>
      <c r="AF357" s="54"/>
      <c r="AG357" s="54"/>
      <c r="AH357" s="54"/>
    </row>
    <row r="358" spans="17:34" x14ac:dyDescent="0.2">
      <c r="Q358" s="54"/>
      <c r="R358" s="54"/>
      <c r="S358" s="54"/>
      <c r="V358" s="54"/>
      <c r="W358" s="54"/>
      <c r="X358" s="54"/>
      <c r="AA358" s="54"/>
      <c r="AB358" s="54"/>
      <c r="AC358" s="54"/>
      <c r="AF358" s="54"/>
      <c r="AG358" s="54"/>
      <c r="AH358" s="54"/>
    </row>
    <row r="359" spans="17:34" x14ac:dyDescent="0.2">
      <c r="Q359" s="54"/>
      <c r="R359" s="54"/>
      <c r="S359" s="54"/>
      <c r="V359" s="54"/>
      <c r="W359" s="54"/>
      <c r="X359" s="54"/>
      <c r="AA359" s="54"/>
      <c r="AB359" s="54"/>
      <c r="AC359" s="54"/>
      <c r="AF359" s="54"/>
      <c r="AG359" s="54"/>
      <c r="AH359" s="54"/>
    </row>
    <row r="360" spans="17:34" x14ac:dyDescent="0.2">
      <c r="Q360" s="54"/>
      <c r="R360" s="54"/>
      <c r="S360" s="54"/>
      <c r="V360" s="54"/>
      <c r="W360" s="54"/>
      <c r="X360" s="54"/>
      <c r="AA360" s="54"/>
      <c r="AB360" s="54"/>
      <c r="AC360" s="54"/>
      <c r="AF360" s="54"/>
      <c r="AG360" s="54"/>
      <c r="AH360" s="54"/>
    </row>
    <row r="361" spans="17:34" x14ac:dyDescent="0.2">
      <c r="Q361" s="54"/>
      <c r="R361" s="54"/>
      <c r="S361" s="54"/>
      <c r="V361" s="54"/>
      <c r="W361" s="54"/>
      <c r="X361" s="54"/>
      <c r="AA361" s="54"/>
      <c r="AB361" s="54"/>
      <c r="AC361" s="54"/>
      <c r="AF361" s="54"/>
      <c r="AG361" s="54"/>
      <c r="AH361" s="54"/>
    </row>
    <row r="362" spans="17:34" x14ac:dyDescent="0.2">
      <c r="Q362" s="54"/>
      <c r="R362" s="54"/>
      <c r="S362" s="54"/>
      <c r="V362" s="54"/>
      <c r="W362" s="54"/>
      <c r="X362" s="54"/>
      <c r="AA362" s="54"/>
      <c r="AB362" s="54"/>
      <c r="AC362" s="54"/>
      <c r="AF362" s="54"/>
      <c r="AG362" s="54"/>
      <c r="AH362" s="54"/>
    </row>
    <row r="363" spans="17:34" x14ac:dyDescent="0.2">
      <c r="Q363" s="54"/>
      <c r="R363" s="54"/>
      <c r="S363" s="54"/>
      <c r="V363" s="54"/>
      <c r="W363" s="54"/>
      <c r="X363" s="54"/>
      <c r="AA363" s="54"/>
      <c r="AB363" s="54"/>
      <c r="AC363" s="54"/>
      <c r="AF363" s="54"/>
      <c r="AG363" s="54"/>
      <c r="AH363" s="54"/>
    </row>
    <row r="364" spans="17:34" x14ac:dyDescent="0.2">
      <c r="Q364" s="54"/>
      <c r="R364" s="54"/>
      <c r="S364" s="54"/>
      <c r="V364" s="54"/>
      <c r="W364" s="54"/>
      <c r="X364" s="54"/>
      <c r="AA364" s="54"/>
      <c r="AB364" s="54"/>
      <c r="AC364" s="54"/>
      <c r="AF364" s="54"/>
      <c r="AG364" s="54"/>
      <c r="AH364" s="54"/>
    </row>
    <row r="365" spans="17:34" x14ac:dyDescent="0.2">
      <c r="Q365" s="54"/>
      <c r="R365" s="54"/>
      <c r="S365" s="54"/>
      <c r="V365" s="54"/>
      <c r="W365" s="54"/>
      <c r="X365" s="54"/>
      <c r="AA365" s="54"/>
      <c r="AB365" s="54"/>
      <c r="AC365" s="54"/>
      <c r="AF365" s="54"/>
      <c r="AG365" s="54"/>
      <c r="AH365" s="54"/>
    </row>
    <row r="366" spans="17:34" x14ac:dyDescent="0.2">
      <c r="Q366" s="54"/>
      <c r="R366" s="54"/>
      <c r="S366" s="54"/>
      <c r="V366" s="54"/>
      <c r="W366" s="54"/>
      <c r="X366" s="54"/>
      <c r="AA366" s="54"/>
      <c r="AB366" s="54"/>
      <c r="AC366" s="54"/>
      <c r="AF366" s="54"/>
      <c r="AG366" s="54"/>
      <c r="AH366" s="54"/>
    </row>
    <row r="367" spans="17:34" x14ac:dyDescent="0.2">
      <c r="Q367" s="54"/>
      <c r="R367" s="54"/>
      <c r="S367" s="54"/>
      <c r="V367" s="54"/>
      <c r="W367" s="54"/>
      <c r="X367" s="54"/>
      <c r="AA367" s="54"/>
      <c r="AB367" s="54"/>
      <c r="AC367" s="54"/>
      <c r="AF367" s="54"/>
      <c r="AG367" s="54"/>
      <c r="AH367" s="54"/>
    </row>
    <row r="368" spans="17:34" x14ac:dyDescent="0.2">
      <c r="Q368" s="54"/>
      <c r="R368" s="54"/>
      <c r="S368" s="54"/>
      <c r="V368" s="54"/>
      <c r="W368" s="54"/>
      <c r="X368" s="54"/>
      <c r="AA368" s="54"/>
      <c r="AB368" s="54"/>
      <c r="AC368" s="54"/>
      <c r="AF368" s="54"/>
      <c r="AG368" s="54"/>
      <c r="AH368" s="54"/>
    </row>
    <row r="369" spans="17:34" x14ac:dyDescent="0.2">
      <c r="Q369" s="54"/>
      <c r="R369" s="54"/>
      <c r="S369" s="54"/>
      <c r="V369" s="54"/>
      <c r="W369" s="54"/>
      <c r="X369" s="54"/>
      <c r="AA369" s="54"/>
      <c r="AB369" s="54"/>
      <c r="AC369" s="54"/>
      <c r="AF369" s="54"/>
      <c r="AG369" s="54"/>
      <c r="AH369" s="54"/>
    </row>
    <row r="370" spans="17:34" x14ac:dyDescent="0.2">
      <c r="Q370" s="54"/>
      <c r="R370" s="54"/>
      <c r="S370" s="54"/>
      <c r="V370" s="54"/>
      <c r="W370" s="54"/>
      <c r="X370" s="54"/>
      <c r="AA370" s="54"/>
      <c r="AB370" s="54"/>
      <c r="AC370" s="54"/>
      <c r="AF370" s="54"/>
      <c r="AG370" s="54"/>
      <c r="AH370" s="54"/>
    </row>
    <row r="371" spans="17:34" x14ac:dyDescent="0.2">
      <c r="Q371" s="54"/>
      <c r="R371" s="54"/>
      <c r="S371" s="54"/>
      <c r="V371" s="54"/>
      <c r="W371" s="54"/>
      <c r="X371" s="54"/>
      <c r="AA371" s="54"/>
      <c r="AB371" s="54"/>
      <c r="AC371" s="54"/>
      <c r="AF371" s="54"/>
      <c r="AG371" s="54"/>
      <c r="AH371" s="54"/>
    </row>
    <row r="372" spans="17:34" x14ac:dyDescent="0.2">
      <c r="Q372" s="54"/>
      <c r="R372" s="54"/>
      <c r="S372" s="54"/>
      <c r="V372" s="54"/>
      <c r="W372" s="54"/>
      <c r="X372" s="54"/>
      <c r="AA372" s="54"/>
      <c r="AB372" s="54"/>
      <c r="AC372" s="54"/>
      <c r="AF372" s="54"/>
      <c r="AG372" s="54"/>
      <c r="AH372" s="54"/>
    </row>
    <row r="373" spans="17:34" x14ac:dyDescent="0.2">
      <c r="Q373" s="54"/>
      <c r="R373" s="54"/>
      <c r="S373" s="54"/>
      <c r="V373" s="54"/>
      <c r="W373" s="54"/>
      <c r="X373" s="54"/>
      <c r="AA373" s="54"/>
      <c r="AB373" s="54"/>
      <c r="AC373" s="54"/>
      <c r="AF373" s="54"/>
      <c r="AG373" s="54"/>
      <c r="AH373" s="54"/>
    </row>
    <row r="374" spans="17:34" x14ac:dyDescent="0.2">
      <c r="Q374" s="54"/>
      <c r="R374" s="54"/>
      <c r="S374" s="54"/>
      <c r="V374" s="54"/>
      <c r="W374" s="54"/>
      <c r="X374" s="54"/>
      <c r="AA374" s="54"/>
      <c r="AB374" s="54"/>
      <c r="AC374" s="54"/>
      <c r="AF374" s="54"/>
      <c r="AG374" s="54"/>
      <c r="AH374" s="54"/>
    </row>
    <row r="375" spans="17:34" x14ac:dyDescent="0.2">
      <c r="Q375" s="54"/>
      <c r="R375" s="54"/>
      <c r="S375" s="54"/>
      <c r="V375" s="54"/>
      <c r="W375" s="54"/>
      <c r="X375" s="54"/>
      <c r="AA375" s="54"/>
      <c r="AB375" s="54"/>
      <c r="AC375" s="54"/>
      <c r="AF375" s="54"/>
      <c r="AG375" s="54"/>
      <c r="AH375" s="54"/>
    </row>
    <row r="376" spans="17:34" x14ac:dyDescent="0.2">
      <c r="Q376" s="54"/>
      <c r="R376" s="54"/>
      <c r="S376" s="54"/>
      <c r="V376" s="54"/>
      <c r="W376" s="54"/>
      <c r="X376" s="54"/>
      <c r="AA376" s="54"/>
      <c r="AB376" s="54"/>
      <c r="AC376" s="54"/>
      <c r="AF376" s="54"/>
      <c r="AG376" s="54"/>
      <c r="AH376" s="54"/>
    </row>
    <row r="377" spans="17:34" x14ac:dyDescent="0.2">
      <c r="Q377" s="54"/>
      <c r="R377" s="54"/>
      <c r="S377" s="54"/>
      <c r="V377" s="54"/>
      <c r="W377" s="54"/>
      <c r="X377" s="54"/>
      <c r="AA377" s="54"/>
      <c r="AB377" s="54"/>
      <c r="AC377" s="54"/>
      <c r="AF377" s="54"/>
      <c r="AG377" s="54"/>
      <c r="AH377" s="54"/>
    </row>
    <row r="378" spans="17:34" x14ac:dyDescent="0.2">
      <c r="Q378" s="54"/>
      <c r="R378" s="54"/>
      <c r="S378" s="54"/>
      <c r="V378" s="54"/>
      <c r="W378" s="54"/>
      <c r="X378" s="54"/>
      <c r="AA378" s="54"/>
      <c r="AB378" s="54"/>
      <c r="AC378" s="54"/>
      <c r="AF378" s="54"/>
      <c r="AG378" s="54"/>
      <c r="AH378" s="54"/>
    </row>
    <row r="379" spans="17:34" x14ac:dyDescent="0.2">
      <c r="Q379" s="54"/>
      <c r="R379" s="54"/>
      <c r="S379" s="54"/>
      <c r="V379" s="54"/>
      <c r="W379" s="54"/>
      <c r="X379" s="54"/>
      <c r="AA379" s="54"/>
      <c r="AB379" s="54"/>
      <c r="AC379" s="54"/>
      <c r="AF379" s="54"/>
      <c r="AG379" s="54"/>
      <c r="AH379" s="54"/>
    </row>
    <row r="380" spans="17:34" x14ac:dyDescent="0.2">
      <c r="Q380" s="54"/>
      <c r="R380" s="54"/>
      <c r="S380" s="54"/>
      <c r="V380" s="54"/>
      <c r="W380" s="54"/>
      <c r="X380" s="54"/>
      <c r="AA380" s="54"/>
      <c r="AB380" s="54"/>
      <c r="AC380" s="54"/>
      <c r="AF380" s="54"/>
      <c r="AG380" s="54"/>
      <c r="AH380" s="54"/>
    </row>
    <row r="381" spans="17:34" x14ac:dyDescent="0.2">
      <c r="Q381" s="54"/>
      <c r="R381" s="54"/>
      <c r="S381" s="54"/>
      <c r="V381" s="54"/>
      <c r="W381" s="54"/>
      <c r="X381" s="54"/>
      <c r="AA381" s="54"/>
      <c r="AB381" s="54"/>
      <c r="AC381" s="54"/>
      <c r="AF381" s="54"/>
      <c r="AG381" s="54"/>
      <c r="AH381" s="54"/>
    </row>
    <row r="382" spans="17:34" x14ac:dyDescent="0.2">
      <c r="Q382" s="54"/>
      <c r="R382" s="54"/>
      <c r="S382" s="54"/>
      <c r="V382" s="54"/>
      <c r="W382" s="54"/>
      <c r="X382" s="54"/>
      <c r="AA382" s="54"/>
      <c r="AB382" s="54"/>
      <c r="AC382" s="54"/>
      <c r="AF382" s="54"/>
      <c r="AG382" s="54"/>
      <c r="AH382" s="54"/>
    </row>
    <row r="383" spans="17:34" x14ac:dyDescent="0.2">
      <c r="Q383" s="54"/>
      <c r="R383" s="54"/>
      <c r="S383" s="54"/>
      <c r="V383" s="54"/>
      <c r="W383" s="54"/>
      <c r="X383" s="54"/>
      <c r="AA383" s="54"/>
      <c r="AB383" s="54"/>
      <c r="AC383" s="54"/>
      <c r="AF383" s="54"/>
      <c r="AG383" s="54"/>
      <c r="AH383" s="54"/>
    </row>
    <row r="384" spans="17:34" x14ac:dyDescent="0.2">
      <c r="Q384" s="54"/>
      <c r="R384" s="54"/>
      <c r="S384" s="54"/>
      <c r="V384" s="54"/>
      <c r="W384" s="54"/>
      <c r="X384" s="54"/>
      <c r="AA384" s="54"/>
      <c r="AB384" s="54"/>
      <c r="AC384" s="54"/>
      <c r="AF384" s="54"/>
      <c r="AG384" s="54"/>
      <c r="AH384" s="54"/>
    </row>
    <row r="385" spans="17:34" x14ac:dyDescent="0.2">
      <c r="Q385" s="54"/>
      <c r="R385" s="54"/>
      <c r="S385" s="54"/>
      <c r="V385" s="54"/>
      <c r="W385" s="54"/>
      <c r="X385" s="54"/>
      <c r="AA385" s="54"/>
      <c r="AB385" s="54"/>
      <c r="AC385" s="54"/>
      <c r="AF385" s="54"/>
      <c r="AG385" s="54"/>
      <c r="AH385" s="54"/>
    </row>
    <row r="386" spans="17:34" x14ac:dyDescent="0.2">
      <c r="Q386" s="54"/>
      <c r="R386" s="54"/>
      <c r="S386" s="54"/>
      <c r="V386" s="54"/>
      <c r="W386" s="54"/>
      <c r="X386" s="54"/>
      <c r="AA386" s="54"/>
      <c r="AB386" s="54"/>
      <c r="AC386" s="54"/>
      <c r="AF386" s="54"/>
      <c r="AG386" s="54"/>
      <c r="AH386" s="54"/>
    </row>
    <row r="387" spans="17:34" x14ac:dyDescent="0.2">
      <c r="Q387" s="54"/>
      <c r="R387" s="54"/>
      <c r="S387" s="54"/>
      <c r="V387" s="54"/>
      <c r="W387" s="54"/>
      <c r="X387" s="54"/>
      <c r="AA387" s="54"/>
      <c r="AB387" s="54"/>
      <c r="AC387" s="54"/>
      <c r="AF387" s="54"/>
      <c r="AG387" s="54"/>
      <c r="AH387" s="54"/>
    </row>
    <row r="388" spans="17:34" x14ac:dyDescent="0.2">
      <c r="Q388" s="54"/>
      <c r="R388" s="54"/>
      <c r="S388" s="54"/>
      <c r="V388" s="54"/>
      <c r="W388" s="54"/>
      <c r="X388" s="54"/>
      <c r="AA388" s="54"/>
      <c r="AB388" s="54"/>
      <c r="AC388" s="54"/>
      <c r="AF388" s="54"/>
      <c r="AG388" s="54"/>
      <c r="AH388" s="54"/>
    </row>
    <row r="389" spans="17:34" x14ac:dyDescent="0.2">
      <c r="Q389" s="54"/>
      <c r="R389" s="54"/>
      <c r="S389" s="54"/>
      <c r="V389" s="54"/>
      <c r="W389" s="54"/>
      <c r="X389" s="54"/>
      <c r="AA389" s="54"/>
      <c r="AB389" s="54"/>
      <c r="AC389" s="54"/>
      <c r="AF389" s="54"/>
      <c r="AG389" s="54"/>
      <c r="AH389" s="54"/>
    </row>
    <row r="390" spans="17:34" x14ac:dyDescent="0.2">
      <c r="Q390" s="54"/>
      <c r="R390" s="54"/>
      <c r="S390" s="54"/>
      <c r="V390" s="54"/>
      <c r="W390" s="54"/>
      <c r="X390" s="54"/>
      <c r="AA390" s="54"/>
      <c r="AB390" s="54"/>
      <c r="AC390" s="54"/>
      <c r="AF390" s="54"/>
      <c r="AG390" s="54"/>
      <c r="AH390" s="54"/>
    </row>
    <row r="391" spans="17:34" x14ac:dyDescent="0.2">
      <c r="Q391" s="54"/>
      <c r="R391" s="54"/>
      <c r="S391" s="54"/>
      <c r="V391" s="54"/>
      <c r="W391" s="54"/>
      <c r="X391" s="54"/>
      <c r="AA391" s="54"/>
      <c r="AB391" s="54"/>
      <c r="AC391" s="54"/>
      <c r="AF391" s="54"/>
      <c r="AG391" s="54"/>
      <c r="AH391" s="54"/>
    </row>
    <row r="392" spans="17:34" x14ac:dyDescent="0.2">
      <c r="Q392" s="54"/>
      <c r="R392" s="54"/>
      <c r="S392" s="54"/>
      <c r="V392" s="54"/>
      <c r="W392" s="54"/>
      <c r="X392" s="54"/>
      <c r="AA392" s="54"/>
      <c r="AB392" s="54"/>
      <c r="AC392" s="54"/>
      <c r="AF392" s="54"/>
      <c r="AG392" s="54"/>
      <c r="AH392" s="54"/>
    </row>
    <row r="393" spans="17:34" x14ac:dyDescent="0.2">
      <c r="Q393" s="54"/>
      <c r="R393" s="54"/>
      <c r="S393" s="54"/>
      <c r="V393" s="54"/>
      <c r="W393" s="54"/>
      <c r="X393" s="54"/>
      <c r="AA393" s="54"/>
      <c r="AB393" s="54"/>
      <c r="AC393" s="54"/>
      <c r="AF393" s="54"/>
      <c r="AG393" s="54"/>
      <c r="AH393" s="54"/>
    </row>
    <row r="394" spans="17:34" x14ac:dyDescent="0.2">
      <c r="Q394" s="54"/>
      <c r="R394" s="54"/>
      <c r="S394" s="54"/>
      <c r="V394" s="54"/>
      <c r="W394" s="54"/>
      <c r="X394" s="54"/>
      <c r="AA394" s="54"/>
      <c r="AB394" s="54"/>
      <c r="AC394" s="54"/>
      <c r="AF394" s="54"/>
      <c r="AG394" s="54"/>
      <c r="AH394" s="54"/>
    </row>
    <row r="395" spans="17:34" x14ac:dyDescent="0.2">
      <c r="Q395" s="54"/>
      <c r="R395" s="54"/>
      <c r="S395" s="54"/>
      <c r="V395" s="54"/>
      <c r="W395" s="54"/>
      <c r="X395" s="54"/>
      <c r="AA395" s="54"/>
      <c r="AB395" s="54"/>
      <c r="AC395" s="54"/>
      <c r="AF395" s="54"/>
      <c r="AG395" s="54"/>
      <c r="AH395" s="54"/>
    </row>
    <row r="396" spans="17:34" x14ac:dyDescent="0.2">
      <c r="Q396" s="54"/>
      <c r="R396" s="54"/>
      <c r="S396" s="54"/>
      <c r="V396" s="54"/>
      <c r="W396" s="54"/>
      <c r="X396" s="54"/>
      <c r="AA396" s="54"/>
      <c r="AB396" s="54"/>
      <c r="AC396" s="54"/>
      <c r="AF396" s="54"/>
      <c r="AG396" s="54"/>
      <c r="AH396" s="54"/>
    </row>
    <row r="397" spans="17:34" x14ac:dyDescent="0.2">
      <c r="Q397" s="54"/>
      <c r="R397" s="54"/>
      <c r="S397" s="54"/>
      <c r="V397" s="54"/>
      <c r="W397" s="54"/>
      <c r="X397" s="54"/>
      <c r="AA397" s="54"/>
      <c r="AB397" s="54"/>
      <c r="AC397" s="54"/>
      <c r="AF397" s="54"/>
      <c r="AG397" s="54"/>
      <c r="AH397" s="54"/>
    </row>
    <row r="398" spans="17:34" x14ac:dyDescent="0.2">
      <c r="Q398" s="54"/>
      <c r="R398" s="54"/>
      <c r="S398" s="54"/>
      <c r="V398" s="54"/>
      <c r="W398" s="54"/>
      <c r="X398" s="54"/>
      <c r="AA398" s="54"/>
      <c r="AB398" s="54"/>
      <c r="AC398" s="54"/>
      <c r="AF398" s="54"/>
      <c r="AG398" s="54"/>
      <c r="AH398" s="54"/>
    </row>
    <row r="399" spans="17:34" x14ac:dyDescent="0.2">
      <c r="Q399" s="54"/>
      <c r="R399" s="54"/>
      <c r="S399" s="54"/>
      <c r="V399" s="54"/>
      <c r="W399" s="54"/>
      <c r="X399" s="54"/>
      <c r="AA399" s="54"/>
      <c r="AB399" s="54"/>
      <c r="AC399" s="54"/>
      <c r="AF399" s="54"/>
      <c r="AG399" s="54"/>
      <c r="AH399" s="54"/>
    </row>
    <row r="400" spans="17:34" x14ac:dyDescent="0.2">
      <c r="Q400" s="54"/>
      <c r="R400" s="54"/>
      <c r="S400" s="54"/>
      <c r="V400" s="54"/>
      <c r="W400" s="54"/>
      <c r="X400" s="54"/>
      <c r="AA400" s="54"/>
      <c r="AB400" s="54"/>
      <c r="AC400" s="54"/>
      <c r="AF400" s="54"/>
      <c r="AG400" s="54"/>
      <c r="AH400" s="54"/>
    </row>
    <row r="401" spans="17:34" x14ac:dyDescent="0.2">
      <c r="Q401" s="54"/>
      <c r="R401" s="54"/>
      <c r="S401" s="54"/>
      <c r="V401" s="54"/>
      <c r="W401" s="54"/>
      <c r="X401" s="54"/>
      <c r="AA401" s="54"/>
      <c r="AB401" s="54"/>
      <c r="AC401" s="54"/>
      <c r="AF401" s="54"/>
      <c r="AG401" s="54"/>
      <c r="AH401" s="54"/>
    </row>
    <row r="402" spans="17:34" x14ac:dyDescent="0.2">
      <c r="Q402" s="54"/>
      <c r="R402" s="54"/>
      <c r="S402" s="54"/>
      <c r="V402" s="54"/>
      <c r="W402" s="54"/>
      <c r="X402" s="54"/>
      <c r="AA402" s="54"/>
      <c r="AB402" s="54"/>
      <c r="AC402" s="54"/>
      <c r="AF402" s="54"/>
      <c r="AG402" s="54"/>
      <c r="AH402" s="54"/>
    </row>
    <row r="403" spans="17:34" x14ac:dyDescent="0.2">
      <c r="Q403" s="54"/>
      <c r="R403" s="54"/>
      <c r="S403" s="54"/>
      <c r="V403" s="54"/>
      <c r="W403" s="54"/>
      <c r="X403" s="54"/>
      <c r="AA403" s="54"/>
      <c r="AB403" s="54"/>
      <c r="AC403" s="54"/>
      <c r="AF403" s="54"/>
      <c r="AG403" s="54"/>
      <c r="AH403" s="54"/>
    </row>
    <row r="404" spans="17:34" x14ac:dyDescent="0.2">
      <c r="Q404" s="54"/>
      <c r="R404" s="54"/>
      <c r="S404" s="54"/>
      <c r="V404" s="54"/>
      <c r="W404" s="54"/>
      <c r="X404" s="54"/>
      <c r="AA404" s="54"/>
      <c r="AB404" s="54"/>
      <c r="AC404" s="54"/>
      <c r="AF404" s="54"/>
      <c r="AG404" s="54"/>
      <c r="AH404" s="54"/>
    </row>
    <row r="405" spans="17:34" x14ac:dyDescent="0.2">
      <c r="Q405" s="54"/>
      <c r="R405" s="54"/>
      <c r="S405" s="54"/>
      <c r="V405" s="54"/>
      <c r="W405" s="54"/>
      <c r="X405" s="54"/>
      <c r="AA405" s="54"/>
      <c r="AB405" s="54"/>
      <c r="AC405" s="54"/>
      <c r="AF405" s="54"/>
      <c r="AG405" s="54"/>
      <c r="AH405" s="54"/>
    </row>
    <row r="406" spans="17:34" x14ac:dyDescent="0.2">
      <c r="Q406" s="54"/>
      <c r="R406" s="54"/>
      <c r="S406" s="54"/>
      <c r="V406" s="54"/>
      <c r="W406" s="54"/>
      <c r="X406" s="54"/>
      <c r="AA406" s="54"/>
      <c r="AB406" s="54"/>
      <c r="AC406" s="54"/>
      <c r="AF406" s="54"/>
      <c r="AG406" s="54"/>
      <c r="AH406" s="54"/>
    </row>
    <row r="407" spans="17:34" x14ac:dyDescent="0.2">
      <c r="Q407" s="54"/>
      <c r="R407" s="54"/>
      <c r="S407" s="54"/>
      <c r="V407" s="54"/>
      <c r="W407" s="54"/>
      <c r="X407" s="54"/>
      <c r="AA407" s="54"/>
      <c r="AB407" s="54"/>
      <c r="AC407" s="54"/>
      <c r="AF407" s="54"/>
      <c r="AG407" s="54"/>
      <c r="AH407" s="54"/>
    </row>
    <row r="408" spans="17:34" x14ac:dyDescent="0.2">
      <c r="Q408" s="54"/>
      <c r="R408" s="54"/>
      <c r="S408" s="54"/>
      <c r="V408" s="54"/>
      <c r="W408" s="54"/>
      <c r="X408" s="54"/>
      <c r="AA408" s="54"/>
      <c r="AB408" s="54"/>
      <c r="AC408" s="54"/>
      <c r="AF408" s="54"/>
      <c r="AG408" s="54"/>
      <c r="AH408" s="54"/>
    </row>
    <row r="409" spans="17:34" x14ac:dyDescent="0.2">
      <c r="Q409" s="54"/>
      <c r="R409" s="54"/>
      <c r="S409" s="54"/>
      <c r="V409" s="54"/>
      <c r="W409" s="54"/>
      <c r="X409" s="54"/>
      <c r="AA409" s="54"/>
      <c r="AB409" s="54"/>
      <c r="AC409" s="54"/>
      <c r="AF409" s="54"/>
      <c r="AG409" s="54"/>
      <c r="AH409" s="54"/>
    </row>
    <row r="410" spans="17:34" x14ac:dyDescent="0.2">
      <c r="Q410" s="54"/>
      <c r="R410" s="54"/>
      <c r="S410" s="54"/>
      <c r="V410" s="54"/>
      <c r="W410" s="54"/>
      <c r="X410" s="54"/>
      <c r="AA410" s="54"/>
      <c r="AB410" s="54"/>
      <c r="AC410" s="54"/>
      <c r="AF410" s="54"/>
      <c r="AG410" s="54"/>
      <c r="AH410" s="54"/>
    </row>
    <row r="411" spans="17:34" x14ac:dyDescent="0.2">
      <c r="Q411" s="54"/>
      <c r="R411" s="54"/>
      <c r="S411" s="54"/>
      <c r="V411" s="54"/>
      <c r="W411" s="54"/>
      <c r="X411" s="54"/>
      <c r="AA411" s="54"/>
      <c r="AB411" s="54"/>
      <c r="AC411" s="54"/>
      <c r="AF411" s="54"/>
      <c r="AG411" s="54"/>
      <c r="AH411" s="54"/>
    </row>
    <row r="412" spans="17:34" x14ac:dyDescent="0.2">
      <c r="Q412" s="54"/>
      <c r="R412" s="54"/>
      <c r="S412" s="54"/>
      <c r="V412" s="54"/>
      <c r="W412" s="54"/>
      <c r="X412" s="54"/>
      <c r="AA412" s="54"/>
      <c r="AB412" s="54"/>
      <c r="AC412" s="54"/>
      <c r="AF412" s="54"/>
      <c r="AG412" s="54"/>
      <c r="AH412" s="54"/>
    </row>
    <row r="413" spans="17:34" x14ac:dyDescent="0.2">
      <c r="Q413" s="54"/>
      <c r="R413" s="54"/>
      <c r="S413" s="54"/>
      <c r="V413" s="54"/>
      <c r="W413" s="54"/>
      <c r="X413" s="54"/>
      <c r="AA413" s="54"/>
      <c r="AB413" s="54"/>
      <c r="AC413" s="54"/>
      <c r="AF413" s="54"/>
      <c r="AG413" s="54"/>
      <c r="AH413" s="54"/>
    </row>
    <row r="414" spans="17:34" x14ac:dyDescent="0.2">
      <c r="Q414" s="54"/>
      <c r="R414" s="54"/>
      <c r="S414" s="54"/>
      <c r="V414" s="54"/>
      <c r="W414" s="54"/>
      <c r="X414" s="54"/>
      <c r="AA414" s="54"/>
      <c r="AB414" s="54"/>
      <c r="AC414" s="54"/>
      <c r="AF414" s="54"/>
      <c r="AG414" s="54"/>
      <c r="AH414" s="54"/>
    </row>
    <row r="415" spans="17:34" x14ac:dyDescent="0.2">
      <c r="Q415" s="54"/>
      <c r="R415" s="54"/>
      <c r="S415" s="54"/>
      <c r="V415" s="54"/>
      <c r="W415" s="54"/>
      <c r="X415" s="54"/>
      <c r="AA415" s="54"/>
      <c r="AB415" s="54"/>
      <c r="AC415" s="54"/>
      <c r="AF415" s="54"/>
      <c r="AG415" s="54"/>
      <c r="AH415" s="54"/>
    </row>
    <row r="416" spans="17:34" x14ac:dyDescent="0.2">
      <c r="Q416" s="54"/>
      <c r="R416" s="54"/>
      <c r="S416" s="54"/>
      <c r="V416" s="54"/>
      <c r="W416" s="54"/>
      <c r="X416" s="54"/>
      <c r="AA416" s="54"/>
      <c r="AB416" s="54"/>
      <c r="AC416" s="54"/>
      <c r="AF416" s="54"/>
      <c r="AG416" s="54"/>
      <c r="AH416" s="54"/>
    </row>
    <row r="417" spans="17:34" x14ac:dyDescent="0.2">
      <c r="Q417" s="54"/>
      <c r="R417" s="54"/>
      <c r="S417" s="54"/>
      <c r="V417" s="54"/>
      <c r="W417" s="54"/>
      <c r="X417" s="54"/>
      <c r="AA417" s="54"/>
      <c r="AB417" s="54"/>
      <c r="AC417" s="54"/>
      <c r="AF417" s="54"/>
      <c r="AG417" s="54"/>
      <c r="AH417" s="54"/>
    </row>
    <row r="418" spans="17:34" x14ac:dyDescent="0.2">
      <c r="Q418" s="54"/>
      <c r="R418" s="54"/>
      <c r="S418" s="54"/>
      <c r="V418" s="54"/>
      <c r="W418" s="54"/>
      <c r="X418" s="54"/>
      <c r="AA418" s="54"/>
      <c r="AB418" s="54"/>
      <c r="AC418" s="54"/>
      <c r="AF418" s="54"/>
      <c r="AG418" s="54"/>
      <c r="AH418" s="54"/>
    </row>
    <row r="419" spans="17:34" x14ac:dyDescent="0.2">
      <c r="Q419" s="54"/>
      <c r="R419" s="54"/>
      <c r="S419" s="54"/>
      <c r="V419" s="54"/>
      <c r="W419" s="54"/>
      <c r="X419" s="54"/>
      <c r="AA419" s="54"/>
      <c r="AB419" s="54"/>
      <c r="AC419" s="54"/>
      <c r="AF419" s="54"/>
      <c r="AG419" s="54"/>
      <c r="AH419" s="54"/>
    </row>
    <row r="420" spans="17:34" x14ac:dyDescent="0.2">
      <c r="Q420" s="54"/>
      <c r="R420" s="54"/>
      <c r="S420" s="54"/>
      <c r="V420" s="54"/>
      <c r="W420" s="54"/>
      <c r="X420" s="54"/>
      <c r="AA420" s="54"/>
      <c r="AB420" s="54"/>
      <c r="AC420" s="54"/>
      <c r="AF420" s="54"/>
      <c r="AG420" s="54"/>
      <c r="AH420" s="54"/>
    </row>
    <row r="421" spans="17:34" x14ac:dyDescent="0.2">
      <c r="Q421" s="54"/>
      <c r="R421" s="54"/>
      <c r="S421" s="54"/>
      <c r="V421" s="54"/>
      <c r="W421" s="54"/>
      <c r="X421" s="54"/>
      <c r="AA421" s="54"/>
      <c r="AB421" s="54"/>
      <c r="AC421" s="54"/>
      <c r="AF421" s="54"/>
      <c r="AG421" s="54"/>
      <c r="AH421" s="54"/>
    </row>
    <row r="422" spans="17:34" x14ac:dyDescent="0.2">
      <c r="Q422" s="54"/>
      <c r="R422" s="54"/>
      <c r="S422" s="54"/>
      <c r="V422" s="54"/>
      <c r="W422" s="54"/>
      <c r="X422" s="54"/>
      <c r="AA422" s="54"/>
      <c r="AB422" s="54"/>
      <c r="AC422" s="54"/>
      <c r="AF422" s="54"/>
      <c r="AG422" s="54"/>
      <c r="AH422" s="54"/>
    </row>
    <row r="423" spans="17:34" x14ac:dyDescent="0.2">
      <c r="Q423" s="54"/>
      <c r="R423" s="54"/>
      <c r="S423" s="54"/>
      <c r="V423" s="54"/>
      <c r="W423" s="54"/>
      <c r="X423" s="54"/>
      <c r="AA423" s="54"/>
      <c r="AB423" s="54"/>
      <c r="AC423" s="54"/>
      <c r="AF423" s="54"/>
      <c r="AG423" s="54"/>
      <c r="AH423" s="54"/>
    </row>
    <row r="424" spans="17:34" x14ac:dyDescent="0.2">
      <c r="Q424" s="54"/>
      <c r="R424" s="54"/>
      <c r="S424" s="54"/>
      <c r="V424" s="54"/>
      <c r="W424" s="54"/>
      <c r="X424" s="54"/>
      <c r="AA424" s="54"/>
      <c r="AB424" s="54"/>
      <c r="AC424" s="54"/>
      <c r="AF424" s="54"/>
      <c r="AG424" s="54"/>
      <c r="AH424" s="54"/>
    </row>
    <row r="425" spans="17:34" x14ac:dyDescent="0.2">
      <c r="Q425" s="54"/>
      <c r="R425" s="54"/>
      <c r="S425" s="54"/>
      <c r="V425" s="54"/>
      <c r="W425" s="54"/>
      <c r="X425" s="54"/>
      <c r="AA425" s="54"/>
      <c r="AB425" s="54"/>
      <c r="AC425" s="54"/>
      <c r="AF425" s="54"/>
      <c r="AG425" s="54"/>
      <c r="AH425" s="54"/>
    </row>
    <row r="426" spans="17:34" x14ac:dyDescent="0.2">
      <c r="Q426" s="54"/>
      <c r="R426" s="54"/>
      <c r="S426" s="54"/>
      <c r="V426" s="54"/>
      <c r="W426" s="54"/>
      <c r="X426" s="54"/>
      <c r="AA426" s="54"/>
      <c r="AB426" s="54"/>
      <c r="AC426" s="54"/>
      <c r="AF426" s="54"/>
      <c r="AG426" s="54"/>
      <c r="AH426" s="54"/>
    </row>
    <row r="427" spans="17:34" x14ac:dyDescent="0.2">
      <c r="Q427" s="54"/>
      <c r="R427" s="54"/>
      <c r="S427" s="54"/>
      <c r="V427" s="54"/>
      <c r="W427" s="54"/>
      <c r="X427" s="54"/>
      <c r="AA427" s="54"/>
      <c r="AB427" s="54"/>
      <c r="AC427" s="54"/>
      <c r="AF427" s="54"/>
      <c r="AG427" s="54"/>
      <c r="AH427" s="54"/>
    </row>
    <row r="428" spans="17:34" x14ac:dyDescent="0.2">
      <c r="Q428" s="54"/>
      <c r="R428" s="54"/>
      <c r="S428" s="54"/>
      <c r="V428" s="54"/>
      <c r="W428" s="54"/>
      <c r="X428" s="54"/>
      <c r="AA428" s="54"/>
      <c r="AB428" s="54"/>
      <c r="AC428" s="54"/>
      <c r="AF428" s="54"/>
      <c r="AG428" s="54"/>
      <c r="AH428" s="54"/>
    </row>
    <row r="429" spans="17:34" x14ac:dyDescent="0.2">
      <c r="Q429" s="54"/>
      <c r="R429" s="54"/>
      <c r="S429" s="54"/>
      <c r="V429" s="54"/>
      <c r="W429" s="54"/>
      <c r="X429" s="54"/>
      <c r="AA429" s="54"/>
      <c r="AB429" s="54"/>
      <c r="AC429" s="54"/>
      <c r="AF429" s="54"/>
      <c r="AG429" s="54"/>
      <c r="AH429" s="54"/>
    </row>
    <row r="430" spans="17:34" x14ac:dyDescent="0.2">
      <c r="Q430" s="54"/>
      <c r="R430" s="54"/>
      <c r="S430" s="54"/>
      <c r="V430" s="54"/>
      <c r="W430" s="54"/>
      <c r="X430" s="54"/>
      <c r="AA430" s="54"/>
      <c r="AB430" s="54"/>
      <c r="AC430" s="54"/>
      <c r="AF430" s="54"/>
      <c r="AG430" s="54"/>
      <c r="AH430" s="54"/>
    </row>
    <row r="431" spans="17:34" x14ac:dyDescent="0.2">
      <c r="Q431" s="54"/>
      <c r="R431" s="54"/>
      <c r="S431" s="54"/>
      <c r="V431" s="54"/>
      <c r="W431" s="54"/>
      <c r="X431" s="54"/>
      <c r="AA431" s="54"/>
      <c r="AB431" s="54"/>
      <c r="AC431" s="54"/>
      <c r="AF431" s="54"/>
      <c r="AG431" s="54"/>
      <c r="AH431" s="54"/>
    </row>
    <row r="432" spans="17:34" x14ac:dyDescent="0.2">
      <c r="Q432" s="54"/>
      <c r="R432" s="54"/>
      <c r="S432" s="54"/>
      <c r="V432" s="54"/>
      <c r="W432" s="54"/>
      <c r="X432" s="54"/>
      <c r="AA432" s="54"/>
      <c r="AB432" s="54"/>
      <c r="AC432" s="54"/>
      <c r="AF432" s="54"/>
      <c r="AG432" s="54"/>
      <c r="AH432" s="54"/>
    </row>
    <row r="433" spans="17:34" x14ac:dyDescent="0.2">
      <c r="Q433" s="54"/>
      <c r="R433" s="54"/>
      <c r="S433" s="54"/>
      <c r="V433" s="54"/>
      <c r="W433" s="54"/>
      <c r="X433" s="54"/>
      <c r="AA433" s="54"/>
      <c r="AB433" s="54"/>
      <c r="AC433" s="54"/>
      <c r="AF433" s="54"/>
      <c r="AG433" s="54"/>
      <c r="AH433" s="54"/>
    </row>
    <row r="434" spans="17:34" x14ac:dyDescent="0.2">
      <c r="Q434" s="54"/>
      <c r="R434" s="54"/>
      <c r="S434" s="54"/>
      <c r="V434" s="54"/>
      <c r="W434" s="54"/>
      <c r="X434" s="54"/>
      <c r="AA434" s="54"/>
      <c r="AB434" s="54"/>
      <c r="AC434" s="54"/>
      <c r="AF434" s="54"/>
      <c r="AG434" s="54"/>
      <c r="AH434" s="54"/>
    </row>
    <row r="435" spans="17:34" x14ac:dyDescent="0.2">
      <c r="Q435" s="54"/>
      <c r="R435" s="54"/>
      <c r="S435" s="54"/>
      <c r="V435" s="54"/>
      <c r="W435" s="54"/>
      <c r="X435" s="54"/>
      <c r="AA435" s="54"/>
      <c r="AB435" s="54"/>
      <c r="AC435" s="54"/>
      <c r="AF435" s="54"/>
      <c r="AG435" s="54"/>
      <c r="AH435" s="54"/>
    </row>
    <row r="436" spans="17:34" x14ac:dyDescent="0.2">
      <c r="Q436" s="54"/>
      <c r="R436" s="54"/>
      <c r="S436" s="54"/>
      <c r="V436" s="54"/>
      <c r="W436" s="54"/>
      <c r="X436" s="54"/>
      <c r="AA436" s="54"/>
      <c r="AB436" s="54"/>
      <c r="AC436" s="54"/>
      <c r="AF436" s="54"/>
      <c r="AG436" s="54"/>
      <c r="AH436" s="54"/>
    </row>
    <row r="437" spans="17:34" x14ac:dyDescent="0.2">
      <c r="Q437" s="54"/>
      <c r="R437" s="54"/>
      <c r="S437" s="54"/>
      <c r="V437" s="54"/>
      <c r="W437" s="54"/>
      <c r="X437" s="54"/>
      <c r="AA437" s="54"/>
      <c r="AB437" s="54"/>
      <c r="AC437" s="54"/>
      <c r="AF437" s="54"/>
      <c r="AG437" s="54"/>
      <c r="AH437" s="54"/>
    </row>
    <row r="438" spans="17:34" x14ac:dyDescent="0.2">
      <c r="Q438" s="54"/>
      <c r="R438" s="54"/>
      <c r="S438" s="54"/>
      <c r="V438" s="54"/>
      <c r="W438" s="54"/>
      <c r="X438" s="54"/>
      <c r="AA438" s="54"/>
      <c r="AB438" s="54"/>
      <c r="AC438" s="54"/>
      <c r="AF438" s="54"/>
      <c r="AG438" s="54"/>
      <c r="AH438" s="54"/>
    </row>
    <row r="439" spans="17:34" x14ac:dyDescent="0.2">
      <c r="Q439" s="54"/>
      <c r="R439" s="54"/>
      <c r="S439" s="54"/>
      <c r="V439" s="54"/>
      <c r="W439" s="54"/>
      <c r="X439" s="54"/>
      <c r="AA439" s="54"/>
      <c r="AB439" s="54"/>
      <c r="AC439" s="54"/>
      <c r="AF439" s="54"/>
      <c r="AG439" s="54"/>
      <c r="AH439" s="54"/>
    </row>
    <row r="440" spans="17:34" x14ac:dyDescent="0.2">
      <c r="Q440" s="54"/>
      <c r="R440" s="54"/>
      <c r="S440" s="54"/>
      <c r="V440" s="54"/>
      <c r="W440" s="54"/>
      <c r="X440" s="54"/>
      <c r="AA440" s="54"/>
      <c r="AB440" s="54"/>
      <c r="AC440" s="54"/>
      <c r="AF440" s="54"/>
      <c r="AG440" s="54"/>
      <c r="AH440" s="54"/>
    </row>
    <row r="441" spans="17:34" x14ac:dyDescent="0.2">
      <c r="Q441" s="54"/>
      <c r="R441" s="54"/>
      <c r="S441" s="54"/>
      <c r="V441" s="54"/>
      <c r="W441" s="54"/>
      <c r="X441" s="54"/>
      <c r="AA441" s="54"/>
      <c r="AB441" s="54"/>
      <c r="AC441" s="54"/>
      <c r="AF441" s="54"/>
      <c r="AG441" s="54"/>
      <c r="AH441" s="54"/>
    </row>
    <row r="442" spans="17:34" x14ac:dyDescent="0.2">
      <c r="Q442" s="54"/>
      <c r="R442" s="54"/>
      <c r="S442" s="54"/>
      <c r="V442" s="54"/>
      <c r="W442" s="54"/>
      <c r="X442" s="54"/>
      <c r="AA442" s="54"/>
      <c r="AB442" s="54"/>
      <c r="AC442" s="54"/>
      <c r="AF442" s="54"/>
      <c r="AG442" s="54"/>
      <c r="AH442" s="54"/>
    </row>
    <row r="443" spans="17:34" x14ac:dyDescent="0.2">
      <c r="Q443" s="54"/>
      <c r="R443" s="54"/>
      <c r="S443" s="54"/>
      <c r="V443" s="54"/>
      <c r="W443" s="54"/>
      <c r="X443" s="54"/>
      <c r="AA443" s="54"/>
      <c r="AB443" s="54"/>
      <c r="AC443" s="54"/>
      <c r="AF443" s="54"/>
      <c r="AG443" s="54"/>
      <c r="AH443" s="54"/>
    </row>
    <row r="444" spans="17:34" x14ac:dyDescent="0.2">
      <c r="Q444" s="54"/>
      <c r="R444" s="54"/>
      <c r="S444" s="54"/>
      <c r="V444" s="54"/>
      <c r="W444" s="54"/>
      <c r="X444" s="54"/>
      <c r="AA444" s="54"/>
      <c r="AB444" s="54"/>
      <c r="AC444" s="54"/>
      <c r="AF444" s="54"/>
      <c r="AG444" s="54"/>
      <c r="AH444" s="54"/>
    </row>
    <row r="445" spans="17:34" x14ac:dyDescent="0.2">
      <c r="Q445" s="54"/>
      <c r="R445" s="54"/>
      <c r="S445" s="54"/>
      <c r="V445" s="54"/>
      <c r="W445" s="54"/>
      <c r="X445" s="54"/>
      <c r="AA445" s="54"/>
      <c r="AB445" s="54"/>
      <c r="AC445" s="54"/>
      <c r="AF445" s="54"/>
      <c r="AG445" s="54"/>
      <c r="AH445" s="54"/>
    </row>
    <row r="446" spans="17:34" x14ac:dyDescent="0.2">
      <c r="Q446" s="54"/>
      <c r="R446" s="54"/>
      <c r="S446" s="54"/>
      <c r="V446" s="54"/>
      <c r="W446" s="54"/>
      <c r="X446" s="54"/>
      <c r="AA446" s="54"/>
      <c r="AB446" s="54"/>
      <c r="AC446" s="54"/>
      <c r="AF446" s="54"/>
      <c r="AG446" s="54"/>
      <c r="AH446" s="54"/>
    </row>
    <row r="447" spans="17:34" x14ac:dyDescent="0.2">
      <c r="Q447" s="54"/>
      <c r="R447" s="54"/>
      <c r="S447" s="54"/>
      <c r="V447" s="54"/>
      <c r="W447" s="54"/>
      <c r="X447" s="54"/>
      <c r="AA447" s="54"/>
      <c r="AB447" s="54"/>
      <c r="AC447" s="54"/>
      <c r="AF447" s="54"/>
      <c r="AG447" s="54"/>
      <c r="AH447" s="54"/>
    </row>
    <row r="448" spans="17:34" x14ac:dyDescent="0.2">
      <c r="Q448" s="54"/>
      <c r="R448" s="54"/>
      <c r="S448" s="54"/>
      <c r="V448" s="54"/>
      <c r="W448" s="54"/>
      <c r="X448" s="54"/>
      <c r="AA448" s="54"/>
      <c r="AB448" s="54"/>
      <c r="AC448" s="54"/>
      <c r="AF448" s="54"/>
      <c r="AG448" s="54"/>
      <c r="AH448" s="54"/>
    </row>
    <row r="449" spans="17:34" x14ac:dyDescent="0.2">
      <c r="Q449" s="54"/>
      <c r="R449" s="54"/>
      <c r="S449" s="54"/>
      <c r="V449" s="54"/>
      <c r="W449" s="54"/>
      <c r="X449" s="54"/>
      <c r="AA449" s="54"/>
      <c r="AB449" s="54"/>
      <c r="AC449" s="54"/>
      <c r="AF449" s="54"/>
      <c r="AG449" s="54"/>
      <c r="AH449" s="54"/>
    </row>
    <row r="450" spans="17:34" x14ac:dyDescent="0.2">
      <c r="Q450" s="54"/>
      <c r="R450" s="54"/>
      <c r="S450" s="54"/>
      <c r="V450" s="54"/>
      <c r="W450" s="54"/>
      <c r="X450" s="54"/>
      <c r="AA450" s="54"/>
      <c r="AB450" s="54"/>
      <c r="AC450" s="54"/>
      <c r="AF450" s="54"/>
      <c r="AG450" s="54"/>
      <c r="AH450" s="54"/>
    </row>
    <row r="451" spans="17:34" x14ac:dyDescent="0.2">
      <c r="Q451" s="54"/>
      <c r="R451" s="54"/>
      <c r="S451" s="54"/>
      <c r="V451" s="54"/>
      <c r="W451" s="54"/>
      <c r="X451" s="54"/>
      <c r="AA451" s="54"/>
      <c r="AB451" s="54"/>
      <c r="AC451" s="54"/>
      <c r="AF451" s="54"/>
      <c r="AG451" s="54"/>
      <c r="AH451" s="54"/>
    </row>
    <row r="452" spans="17:34" x14ac:dyDescent="0.2">
      <c r="Q452" s="54"/>
      <c r="R452" s="54"/>
      <c r="S452" s="54"/>
      <c r="V452" s="54"/>
      <c r="W452" s="54"/>
      <c r="X452" s="54"/>
      <c r="AA452" s="54"/>
      <c r="AB452" s="54"/>
      <c r="AC452" s="54"/>
      <c r="AF452" s="54"/>
      <c r="AG452" s="54"/>
      <c r="AH452" s="54"/>
    </row>
    <row r="453" spans="17:34" x14ac:dyDescent="0.2">
      <c r="Q453" s="54"/>
      <c r="R453" s="54"/>
      <c r="S453" s="54"/>
      <c r="V453" s="54"/>
      <c r="W453" s="54"/>
      <c r="X453" s="54"/>
      <c r="AA453" s="54"/>
      <c r="AB453" s="54"/>
      <c r="AC453" s="54"/>
      <c r="AF453" s="54"/>
      <c r="AG453" s="54"/>
      <c r="AH453" s="54"/>
    </row>
    <row r="454" spans="17:34" x14ac:dyDescent="0.2">
      <c r="AF454" s="54"/>
      <c r="AG454" s="54"/>
      <c r="AH454" s="54"/>
    </row>
  </sheetData>
  <sheetProtection algorithmName="SHA-512" hashValue="GLXUbgZRqFK04l4q/3yRLy/shwMvyZ7fGKt8SrNdLpSGhxHaP1F8lsAM8ZMnFfiId1oYNiaEsgbrFOrvhb5lTA==" saltValue="5PI/1P83+glam9dsqP86jg==" spinCount="100000" sheet="1" objects="1" scenarios="1" selectLockedCells="1"/>
  <mergeCells count="5">
    <mergeCell ref="F70:H70"/>
    <mergeCell ref="N3:O3"/>
    <mergeCell ref="A1:P1"/>
    <mergeCell ref="F81:G81"/>
    <mergeCell ref="K35:P36"/>
  </mergeCells>
  <phoneticPr fontId="5" type="noConversion"/>
  <conditionalFormatting sqref="E6:E8">
    <cfRule type="cellIs" dxfId="34" priority="63" stopIfTrue="1" operator="notBetween">
      <formula>3.5</formula>
      <formula>VIN_MAX_RATING</formula>
    </cfRule>
  </conditionalFormatting>
  <conditionalFormatting sqref="E9">
    <cfRule type="cellIs" dxfId="33" priority="60" stopIfTrue="1" operator="notBetween">
      <formula>0.8</formula>
      <formula>VOUT_MAX_RATING</formula>
    </cfRule>
  </conditionalFormatting>
  <conditionalFormatting sqref="E33">
    <cfRule type="cellIs" dxfId="32" priority="58" stopIfTrue="1" operator="lessThanOrEqual">
      <formula>0</formula>
    </cfRule>
  </conditionalFormatting>
  <conditionalFormatting sqref="E35">
    <cfRule type="cellIs" dxfId="31" priority="57" stopIfTrue="1" operator="lessThan">
      <formula>$E$34</formula>
    </cfRule>
  </conditionalFormatting>
  <conditionalFormatting sqref="E37">
    <cfRule type="cellIs" dxfId="30" priority="56" stopIfTrue="1" operator="greaterThan">
      <formula>$E$36</formula>
    </cfRule>
  </conditionalFormatting>
  <conditionalFormatting sqref="E42">
    <cfRule type="cellIs" dxfId="29" priority="54" stopIfTrue="1" operator="equal">
      <formula>0</formula>
    </cfRule>
  </conditionalFormatting>
  <conditionalFormatting sqref="E44">
    <cfRule type="cellIs" dxfId="28" priority="53" stopIfTrue="1" operator="lessThan">
      <formula>$E$43</formula>
    </cfRule>
  </conditionalFormatting>
  <conditionalFormatting sqref="E46">
    <cfRule type="cellIs" dxfId="27" priority="51" stopIfTrue="1" operator="greaterThan">
      <formula>$E$45</formula>
    </cfRule>
    <cfRule type="cellIs" dxfId="26" priority="52" stopIfTrue="1" operator="equal">
      <formula>0</formula>
    </cfRule>
  </conditionalFormatting>
  <conditionalFormatting sqref="E11">
    <cfRule type="expression" dxfId="25" priority="24">
      <formula>OR(Fsw/1000&gt;2200, Fsw/1000&lt;100)</formula>
    </cfRule>
  </conditionalFormatting>
  <conditionalFormatting sqref="E7">
    <cfRule type="cellIs" dxfId="24" priority="67" operator="notBetween">
      <formula>$E$6</formula>
      <formula>$E$8</formula>
    </cfRule>
  </conditionalFormatting>
  <conditionalFormatting sqref="I10">
    <cfRule type="cellIs" dxfId="23" priority="40" stopIfTrue="1" operator="notBetween">
      <formula>0.6</formula>
      <formula>55</formula>
    </cfRule>
  </conditionalFormatting>
  <conditionalFormatting sqref="I33">
    <cfRule type="cellIs" dxfId="22" priority="39" stopIfTrue="1" operator="lessThanOrEqual">
      <formula>0</formula>
    </cfRule>
  </conditionalFormatting>
  <conditionalFormatting sqref="I35">
    <cfRule type="cellIs" dxfId="21" priority="38" stopIfTrue="1" operator="lessThan">
      <formula>$E$34</formula>
    </cfRule>
  </conditionalFormatting>
  <conditionalFormatting sqref="I37">
    <cfRule type="cellIs" dxfId="20" priority="37" stopIfTrue="1" operator="greaterThan">
      <formula>$I$36</formula>
    </cfRule>
  </conditionalFormatting>
  <conditionalFormatting sqref="A74:G74">
    <cfRule type="expression" dxfId="19" priority="35">
      <formula>MODE=2</formula>
    </cfRule>
  </conditionalFormatting>
  <conditionalFormatting sqref="H41 G43:H43 G45 G47:G49 G61:J67 G33:J39 G16:J23 G26:J30 G10:J10">
    <cfRule type="expression" dxfId="18" priority="32">
      <formula>MODE=2</formula>
    </cfRule>
  </conditionalFormatting>
  <conditionalFormatting sqref="I65:J67">
    <cfRule type="expression" dxfId="17" priority="30">
      <formula>OR((Ch2_VOUT=1),(Ch2_VOUT=2))</formula>
    </cfRule>
  </conditionalFormatting>
  <conditionalFormatting sqref="D80 G79">
    <cfRule type="expression" dxfId="16" priority="28">
      <formula>MODE=2</formula>
    </cfRule>
  </conditionalFormatting>
  <conditionalFormatting sqref="H79:I93">
    <cfRule type="expression" dxfId="15" priority="26">
      <formula>MODE=2</formula>
    </cfRule>
  </conditionalFormatting>
  <conditionalFormatting sqref="D65">
    <cfRule type="expression" dxfId="14" priority="8">
      <formula>OR((VOUT_setting=2),(VOUT_setting=3))</formula>
    </cfRule>
  </conditionalFormatting>
  <conditionalFormatting sqref="A49:F49">
    <cfRule type="expression" dxfId="13" priority="6">
      <formula>INFILTER_TYPE=1</formula>
    </cfRule>
  </conditionalFormatting>
  <conditionalFormatting sqref="D53:F54">
    <cfRule type="expression" dxfId="12" priority="5">
      <formula>UVLO_TYPE=2</formula>
    </cfRule>
  </conditionalFormatting>
  <conditionalFormatting sqref="D61:F64">
    <cfRule type="expression" dxfId="11" priority="4">
      <formula>COMP_TYPE=1</formula>
    </cfRule>
  </conditionalFormatting>
  <conditionalFormatting sqref="A69:H73">
    <cfRule type="expression" dxfId="10" priority="3">
      <formula>COMP_TYPE=1</formula>
    </cfRule>
  </conditionalFormatting>
  <conditionalFormatting sqref="E65:F67">
    <cfRule type="expression" dxfId="9" priority="2">
      <formula>VOUT_setting&lt;&gt;1</formula>
    </cfRule>
  </conditionalFormatting>
  <conditionalFormatting sqref="D66">
    <cfRule type="expression" dxfId="8" priority="1">
      <formula>VOUT_setting&lt;&gt;1</formula>
    </cfRule>
  </conditionalFormatting>
  <hyperlinks>
    <hyperlink ref="N2" r:id="rId1" xr:uid="{00000000-0004-0000-0000-000000000000}"/>
    <hyperlink ref="C3" r:id="rId2" xr:uid="{00000000-0004-0000-0000-000001000000}"/>
  </hyperlinks>
  <printOptions horizontalCentered="1" verticalCentered="1"/>
  <pageMargins left="0.1" right="0.1" top="0.1" bottom="0.1" header="0.25" footer="0.25"/>
  <pageSetup scale="46" orientation="portrait" r:id="rId3"/>
  <headerFooter alignWithMargins="0"/>
  <rowBreaks count="1" manualBreakCount="1">
    <brk id="106" max="16383" man="1"/>
  </rowBreaks>
  <ignoredErrors>
    <ignoredError sqref="E69" unlockedFormula="1"/>
  </ignoredErrors>
  <drawing r:id="rId4"/>
  <legacyDrawing r:id="rId5"/>
  <legacyDrawingHF r:id="rId6"/>
  <mc:AlternateContent xmlns:mc="http://schemas.openxmlformats.org/markup-compatibility/2006">
    <mc:Choice Requires="x14">
      <controls>
        <mc:AlternateContent xmlns:mc="http://schemas.openxmlformats.org/markup-compatibility/2006">
          <mc:Choice Requires="x14">
            <control shapeId="809785" r:id="rId7" name="Drop Down 7993">
              <controlPr defaultSize="0" autoLine="0" autoPict="0">
                <anchor moveWithCells="1">
                  <from>
                    <xdr:col>15</xdr:col>
                    <xdr:colOff>5476875</xdr:colOff>
                    <xdr:row>0</xdr:row>
                    <xdr:rowOff>171450</xdr:rowOff>
                  </from>
                  <to>
                    <xdr:col>15</xdr:col>
                    <xdr:colOff>5857875</xdr:colOff>
                    <xdr:row>0</xdr:row>
                    <xdr:rowOff>419100</xdr:rowOff>
                  </to>
                </anchor>
              </controlPr>
            </control>
          </mc:Choice>
        </mc:AlternateContent>
        <mc:AlternateContent xmlns:mc="http://schemas.openxmlformats.org/markup-compatibility/2006">
          <mc:Choice Requires="x14">
            <control shapeId="673288" r:id="rId8" name="Button 520">
              <controlPr locked="0" defaultSize="0" print="0" autoFill="0" autoPict="0" macro="[0]!FIXValues">
                <anchor moveWithCells="1" sizeWithCells="1">
                  <from>
                    <xdr:col>2</xdr:col>
                    <xdr:colOff>323850</xdr:colOff>
                    <xdr:row>70</xdr:row>
                    <xdr:rowOff>76200</xdr:rowOff>
                  </from>
                  <to>
                    <xdr:col>2</xdr:col>
                    <xdr:colOff>895350</xdr:colOff>
                    <xdr:row>72</xdr:row>
                    <xdr:rowOff>133350</xdr:rowOff>
                  </to>
                </anchor>
              </controlPr>
            </control>
          </mc:Choice>
        </mc:AlternateContent>
        <mc:AlternateContent xmlns:mc="http://schemas.openxmlformats.org/markup-compatibility/2006">
          <mc:Choice Requires="x14">
            <control shapeId="673260" r:id="rId9" name="Button 492">
              <controlPr locked="0" defaultSize="0" print="0" autoFill="0" autoPict="0" macro="[0]!RESETValues">
                <anchor moveWithCells="1" sizeWithCells="1">
                  <from>
                    <xdr:col>2</xdr:col>
                    <xdr:colOff>323850</xdr:colOff>
                    <xdr:row>70</xdr:row>
                    <xdr:rowOff>76200</xdr:rowOff>
                  </from>
                  <to>
                    <xdr:col>2</xdr:col>
                    <xdr:colOff>895350</xdr:colOff>
                    <xdr:row>72</xdr:row>
                    <xdr:rowOff>133350</xdr:rowOff>
                  </to>
                </anchor>
              </controlPr>
            </control>
          </mc:Choice>
        </mc:AlternateContent>
        <mc:AlternateContent xmlns:mc="http://schemas.openxmlformats.org/markup-compatibility/2006">
          <mc:Choice Requires="x14">
            <control shapeId="672829" r:id="rId10" name="Spinner 61">
              <controlPr defaultSize="0" autoPict="0">
                <anchor moveWithCells="1" sizeWithCells="1">
                  <from>
                    <xdr:col>5</xdr:col>
                    <xdr:colOff>19050</xdr:colOff>
                    <xdr:row>62</xdr:row>
                    <xdr:rowOff>0</xdr:rowOff>
                  </from>
                  <to>
                    <xdr:col>5</xdr:col>
                    <xdr:colOff>180975</xdr:colOff>
                    <xdr:row>62</xdr:row>
                    <xdr:rowOff>180975</xdr:rowOff>
                  </to>
                </anchor>
              </controlPr>
            </control>
          </mc:Choice>
        </mc:AlternateContent>
        <mc:AlternateContent xmlns:mc="http://schemas.openxmlformats.org/markup-compatibility/2006">
          <mc:Choice Requires="x14">
            <control shapeId="672895" r:id="rId11" name="Spinner 127">
              <controlPr defaultSize="0" autoPict="0">
                <anchor moveWithCells="1" sizeWithCells="1">
                  <from>
                    <xdr:col>5</xdr:col>
                    <xdr:colOff>133350</xdr:colOff>
                    <xdr:row>6</xdr:row>
                    <xdr:rowOff>19050</xdr:rowOff>
                  </from>
                  <to>
                    <xdr:col>5</xdr:col>
                    <xdr:colOff>304800</xdr:colOff>
                    <xdr:row>7</xdr:row>
                    <xdr:rowOff>19050</xdr:rowOff>
                  </to>
                </anchor>
              </controlPr>
            </control>
          </mc:Choice>
        </mc:AlternateContent>
        <mc:AlternateContent xmlns:mc="http://schemas.openxmlformats.org/markup-compatibility/2006">
          <mc:Choice Requires="x14">
            <control shapeId="673029" r:id="rId12" name="Drop Down 261">
              <controlPr defaultSize="0" autoLine="0" autoPict="0">
                <anchor moveWithCells="1">
                  <from>
                    <xdr:col>2</xdr:col>
                    <xdr:colOff>142875</xdr:colOff>
                    <xdr:row>50</xdr:row>
                    <xdr:rowOff>57150</xdr:rowOff>
                  </from>
                  <to>
                    <xdr:col>3</xdr:col>
                    <xdr:colOff>447675</xdr:colOff>
                    <xdr:row>51</xdr:row>
                    <xdr:rowOff>133350</xdr:rowOff>
                  </to>
                </anchor>
              </controlPr>
            </control>
          </mc:Choice>
        </mc:AlternateContent>
        <mc:AlternateContent xmlns:mc="http://schemas.openxmlformats.org/markup-compatibility/2006">
          <mc:Choice Requires="x14">
            <control shapeId="685442" r:id="rId13" name="Drop Down 1410">
              <controlPr defaultSize="0" autoLine="0" autoPict="0">
                <anchor moveWithCells="1">
                  <from>
                    <xdr:col>4</xdr:col>
                    <xdr:colOff>66675</xdr:colOff>
                    <xdr:row>50</xdr:row>
                    <xdr:rowOff>57150</xdr:rowOff>
                  </from>
                  <to>
                    <xdr:col>5</xdr:col>
                    <xdr:colOff>333375</xdr:colOff>
                    <xdr:row>51</xdr:row>
                    <xdr:rowOff>133350</xdr:rowOff>
                  </to>
                </anchor>
              </controlPr>
            </control>
          </mc:Choice>
        </mc:AlternateContent>
        <mc:AlternateContent xmlns:mc="http://schemas.openxmlformats.org/markup-compatibility/2006">
          <mc:Choice Requires="x14">
            <control shapeId="685906" r:id="rId14" name="Drop Down 1874">
              <controlPr defaultSize="0" autoLine="0" autoPict="0">
                <anchor moveWithCells="1">
                  <from>
                    <xdr:col>0</xdr:col>
                    <xdr:colOff>19050</xdr:colOff>
                    <xdr:row>101</xdr:row>
                    <xdr:rowOff>0</xdr:rowOff>
                  </from>
                  <to>
                    <xdr:col>2</xdr:col>
                    <xdr:colOff>19050</xdr:colOff>
                    <xdr:row>102</xdr:row>
                    <xdr:rowOff>0</xdr:rowOff>
                  </to>
                </anchor>
              </controlPr>
            </control>
          </mc:Choice>
        </mc:AlternateContent>
        <mc:AlternateContent xmlns:mc="http://schemas.openxmlformats.org/markup-compatibility/2006">
          <mc:Choice Requires="x14">
            <control shapeId="700305" r:id="rId15" name="Drop Down 2961">
              <controlPr defaultSize="0" autoLine="0" autoPict="0">
                <anchor moveWithCells="1">
                  <from>
                    <xdr:col>3</xdr:col>
                    <xdr:colOff>228600</xdr:colOff>
                    <xdr:row>58</xdr:row>
                    <xdr:rowOff>171450</xdr:rowOff>
                  </from>
                  <to>
                    <xdr:col>6</xdr:col>
                    <xdr:colOff>0</xdr:colOff>
                    <xdr:row>59</xdr:row>
                    <xdr:rowOff>238125</xdr:rowOff>
                  </to>
                </anchor>
              </controlPr>
            </control>
          </mc:Choice>
        </mc:AlternateContent>
        <mc:AlternateContent xmlns:mc="http://schemas.openxmlformats.org/markup-compatibility/2006">
          <mc:Choice Requires="x14">
            <control shapeId="770900" r:id="rId16" name="Drop Down 6996">
              <controlPr defaultSize="0" autoLine="0" autoPict="0">
                <anchor moveWithCells="1">
                  <from>
                    <xdr:col>0</xdr:col>
                    <xdr:colOff>57150</xdr:colOff>
                    <xdr:row>50</xdr:row>
                    <xdr:rowOff>57150</xdr:rowOff>
                  </from>
                  <to>
                    <xdr:col>2</xdr:col>
                    <xdr:colOff>28575</xdr:colOff>
                    <xdr:row>51</xdr:row>
                    <xdr:rowOff>133350</xdr:rowOff>
                  </to>
                </anchor>
              </controlPr>
            </control>
          </mc:Choice>
        </mc:AlternateContent>
        <mc:AlternateContent xmlns:mc="http://schemas.openxmlformats.org/markup-compatibility/2006">
          <mc:Choice Requires="x14">
            <control shapeId="843436" r:id="rId17" name="Drop Down 8876">
              <controlPr locked="0" defaultSize="0" autoLine="0" autoPict="0">
                <anchor moveWithCells="1">
                  <from>
                    <xdr:col>6</xdr:col>
                    <xdr:colOff>76200</xdr:colOff>
                    <xdr:row>4</xdr:row>
                    <xdr:rowOff>9525</xdr:rowOff>
                  </from>
                  <to>
                    <xdr:col>7</xdr:col>
                    <xdr:colOff>114300</xdr:colOff>
                    <xdr:row>4</xdr:row>
                    <xdr:rowOff>247650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5">
    <tabColor rgb="FF00B0F0"/>
  </sheetPr>
  <dimension ref="A1:R453"/>
  <sheetViews>
    <sheetView zoomScaleNormal="100" workbookViewId="0">
      <selection activeCell="O12" sqref="O12"/>
    </sheetView>
  </sheetViews>
  <sheetFormatPr defaultColWidth="9.140625" defaultRowHeight="12.75" x14ac:dyDescent="0.2"/>
  <cols>
    <col min="1" max="3" width="9.140625" style="307"/>
    <col min="4" max="4" width="4.28515625" style="307" customWidth="1"/>
    <col min="5" max="6" width="9.5703125" style="307" bestFit="1" customWidth="1"/>
    <col min="7" max="7" width="9.140625" style="307"/>
    <col min="8" max="8" width="5.140625" style="307" customWidth="1"/>
    <col min="9" max="9" width="10.7109375" style="307" customWidth="1"/>
    <col min="10" max="10" width="9.7109375" style="307" customWidth="1"/>
    <col min="11" max="11" width="11.42578125" style="307" customWidth="1"/>
    <col min="12" max="12" width="5.5703125" style="307" customWidth="1"/>
    <col min="13" max="15" width="9.140625" style="307"/>
    <col min="16" max="16" width="9.140625" style="307" customWidth="1"/>
    <col min="17" max="17" width="102" style="307" customWidth="1"/>
    <col min="18" max="18" width="30.42578125" style="701" customWidth="1"/>
    <col min="19" max="16384" width="9.140625" style="307"/>
  </cols>
  <sheetData>
    <row r="1" spans="1:18" ht="40.5" x14ac:dyDescent="0.2">
      <c r="A1" s="793" t="s">
        <v>913</v>
      </c>
      <c r="B1" s="794"/>
      <c r="C1" s="794"/>
      <c r="D1" s="794"/>
      <c r="E1" s="794"/>
      <c r="F1" s="794"/>
      <c r="G1" s="794"/>
      <c r="H1" s="794"/>
      <c r="I1" s="794"/>
      <c r="J1" s="794"/>
      <c r="K1" s="794"/>
      <c r="L1" s="794"/>
      <c r="M1" s="794"/>
      <c r="N1" s="794"/>
      <c r="O1" s="794"/>
      <c r="P1" s="794"/>
      <c r="Q1" s="794"/>
      <c r="R1" s="706"/>
    </row>
    <row r="2" spans="1:18" ht="17.649999999999999" customHeight="1" x14ac:dyDescent="0.45">
      <c r="A2" s="755"/>
      <c r="B2" s="749"/>
      <c r="C2" s="749"/>
      <c r="D2" s="749"/>
      <c r="E2" s="749"/>
      <c r="F2" s="749"/>
      <c r="G2" s="749"/>
      <c r="H2" s="749"/>
      <c r="I2" s="749"/>
      <c r="J2" s="749"/>
      <c r="K2" s="749"/>
      <c r="L2" s="749"/>
      <c r="M2" s="749"/>
      <c r="N2" s="749"/>
      <c r="O2" s="502" t="s">
        <v>585</v>
      </c>
      <c r="P2" s="749"/>
      <c r="Q2" s="749"/>
      <c r="R2" s="706"/>
    </row>
    <row r="3" spans="1:18" ht="16.149999999999999" customHeight="1" x14ac:dyDescent="0.45">
      <c r="A3" s="754" t="s">
        <v>232</v>
      </c>
      <c r="B3" s="753"/>
      <c r="C3" s="501" t="s">
        <v>233</v>
      </c>
      <c r="D3" s="752"/>
      <c r="E3" s="751"/>
      <c r="F3" s="750" t="s">
        <v>145</v>
      </c>
      <c r="G3" s="748"/>
      <c r="H3" s="749"/>
      <c r="I3" s="749"/>
      <c r="J3" s="748"/>
      <c r="K3" s="747"/>
      <c r="L3" s="746"/>
      <c r="M3" s="706"/>
      <c r="N3" s="706"/>
      <c r="O3" s="795" t="s">
        <v>51</v>
      </c>
      <c r="P3" s="795"/>
      <c r="Q3" s="706" t="s">
        <v>165</v>
      </c>
      <c r="R3" s="706"/>
    </row>
    <row r="4" spans="1:18" ht="14.65" customHeight="1" thickBot="1" x14ac:dyDescent="0.35">
      <c r="A4" s="745"/>
      <c r="B4" s="744"/>
      <c r="C4" s="743"/>
      <c r="D4" s="743"/>
      <c r="E4" s="743"/>
      <c r="F4" s="743"/>
      <c r="G4" s="743"/>
      <c r="H4" s="743"/>
      <c r="I4" s="743"/>
      <c r="J4" s="743"/>
      <c r="K4" s="743"/>
      <c r="L4" s="743"/>
      <c r="M4" s="742"/>
      <c r="N4" s="742"/>
      <c r="O4" s="742"/>
      <c r="P4" s="742"/>
      <c r="Q4" s="742"/>
      <c r="R4" s="706"/>
    </row>
    <row r="5" spans="1:18" x14ac:dyDescent="0.2">
      <c r="A5" s="244"/>
      <c r="B5" s="244"/>
      <c r="C5" s="244"/>
      <c r="D5" s="244"/>
      <c r="E5" s="244"/>
      <c r="F5" s="244"/>
      <c r="G5" s="244"/>
      <c r="H5" s="244"/>
      <c r="I5" s="244"/>
      <c r="J5" s="244"/>
      <c r="K5" s="244"/>
      <c r="L5" s="244"/>
      <c r="M5" s="244"/>
      <c r="N5" s="244"/>
      <c r="O5" s="244"/>
      <c r="P5" s="244"/>
      <c r="Q5" s="244"/>
      <c r="R5" s="706"/>
    </row>
    <row r="6" spans="1:18" ht="13.5" thickBot="1" x14ac:dyDescent="0.25">
      <c r="A6" s="244"/>
      <c r="B6" s="244"/>
      <c r="C6" s="244"/>
      <c r="D6" s="244"/>
      <c r="E6" s="244"/>
      <c r="F6" s="244"/>
      <c r="G6" s="244"/>
      <c r="H6" s="244"/>
      <c r="I6" s="244"/>
      <c r="J6" s="244"/>
      <c r="K6" s="244"/>
      <c r="L6" s="244"/>
      <c r="M6" s="244"/>
      <c r="N6" s="244"/>
      <c r="O6" s="244"/>
      <c r="P6" s="244"/>
      <c r="Q6" s="244"/>
      <c r="R6" s="706"/>
    </row>
    <row r="7" spans="1:18" ht="18" x14ac:dyDescent="0.25">
      <c r="A7" s="741"/>
      <c r="B7" s="740"/>
      <c r="C7" s="739"/>
      <c r="D7" s="739"/>
      <c r="E7" s="738" t="s">
        <v>877</v>
      </c>
      <c r="F7" s="759"/>
      <c r="G7" s="707"/>
      <c r="H7" s="737"/>
      <c r="I7" s="715"/>
      <c r="J7" s="707"/>
      <c r="K7" s="707"/>
      <c r="L7" s="707"/>
      <c r="M7" s="738" t="s">
        <v>779</v>
      </c>
      <c r="N7" s="707"/>
      <c r="O7" s="707"/>
      <c r="P7" s="737"/>
      <c r="Q7" s="244"/>
      <c r="R7" s="706"/>
    </row>
    <row r="8" spans="1:18" ht="13.5" thickBot="1" x14ac:dyDescent="0.25">
      <c r="A8" s="727"/>
      <c r="B8" s="721"/>
      <c r="C8" s="721"/>
      <c r="D8" s="721"/>
      <c r="E8" s="721"/>
      <c r="F8" s="721"/>
      <c r="G8" s="721"/>
      <c r="H8" s="728"/>
      <c r="I8" s="727"/>
      <c r="J8" s="721"/>
      <c r="K8" s="721"/>
      <c r="L8" s="721"/>
      <c r="M8" s="384"/>
      <c r="N8" s="721"/>
      <c r="O8" s="384"/>
      <c r="P8" s="728"/>
      <c r="Q8" s="244"/>
      <c r="R8" s="706"/>
    </row>
    <row r="9" spans="1:18" ht="15.75" x14ac:dyDescent="0.3">
      <c r="A9" s="707"/>
      <c r="B9" s="736" t="s">
        <v>894</v>
      </c>
      <c r="C9" s="658" t="str">
        <f>'Design Regulator'!E49 &amp; " µH"</f>
        <v>0.68 µH</v>
      </c>
      <c r="D9" s="734"/>
      <c r="E9" s="715"/>
      <c r="F9" s="736" t="s">
        <v>898</v>
      </c>
      <c r="G9" s="128">
        <v>1</v>
      </c>
      <c r="H9" s="734" t="s">
        <v>214</v>
      </c>
      <c r="I9" s="715"/>
      <c r="J9" s="736" t="s">
        <v>907</v>
      </c>
      <c r="K9" s="658" t="s">
        <v>876</v>
      </c>
      <c r="L9" s="734" t="s">
        <v>214</v>
      </c>
      <c r="M9" s="707"/>
      <c r="N9" s="736" t="s">
        <v>900</v>
      </c>
      <c r="O9" s="735">
        <v>0.68</v>
      </c>
      <c r="P9" s="734" t="s">
        <v>214</v>
      </c>
      <c r="Q9" s="244"/>
      <c r="R9" s="706"/>
    </row>
    <row r="10" spans="1:18" ht="15.75" x14ac:dyDescent="0.3">
      <c r="A10" s="244"/>
      <c r="B10" s="731" t="s">
        <v>895</v>
      </c>
      <c r="C10" s="760" t="e">
        <f>'Design Regulator'!#REF! &amp; " µF"</f>
        <v>#REF!</v>
      </c>
      <c r="D10" s="729"/>
      <c r="E10" s="244"/>
      <c r="F10" s="731" t="s">
        <v>899</v>
      </c>
      <c r="G10" s="128">
        <v>1</v>
      </c>
      <c r="H10" s="729" t="s">
        <v>215</v>
      </c>
      <c r="I10" s="733"/>
      <c r="J10" s="732" t="s">
        <v>906</v>
      </c>
      <c r="K10" s="760" t="s">
        <v>876</v>
      </c>
      <c r="L10" s="729" t="s">
        <v>215</v>
      </c>
      <c r="M10" s="244"/>
      <c r="N10" s="731" t="s">
        <v>903</v>
      </c>
      <c r="O10" s="730">
        <v>0.47</v>
      </c>
      <c r="P10" s="729" t="s">
        <v>215</v>
      </c>
      <c r="Q10" s="244"/>
      <c r="R10" s="706"/>
    </row>
    <row r="11" spans="1:18" ht="15.75" x14ac:dyDescent="0.3">
      <c r="A11" s="732"/>
      <c r="B11" s="731" t="s">
        <v>896</v>
      </c>
      <c r="C11" s="760" t="e">
        <f>'Design Regulator'!#REF! &amp; " µF"</f>
        <v>#REF!</v>
      </c>
      <c r="D11" s="729"/>
      <c r="E11" s="244"/>
      <c r="F11" s="731" t="s">
        <v>887</v>
      </c>
      <c r="G11" s="764">
        <v>1</v>
      </c>
      <c r="H11" s="729" t="s">
        <v>215</v>
      </c>
      <c r="I11" s="733"/>
      <c r="J11" s="732" t="s">
        <v>905</v>
      </c>
      <c r="K11" s="761" t="s">
        <v>882</v>
      </c>
      <c r="L11" s="729" t="s">
        <v>215</v>
      </c>
      <c r="M11" s="244"/>
      <c r="N11" s="731" t="s">
        <v>902</v>
      </c>
      <c r="O11" s="730">
        <v>1</v>
      </c>
      <c r="P11" s="729" t="s">
        <v>215</v>
      </c>
      <c r="Q11" s="244"/>
      <c r="R11" s="706"/>
    </row>
    <row r="12" spans="1:18" ht="16.5" thickBot="1" x14ac:dyDescent="0.35">
      <c r="A12" s="725"/>
      <c r="B12" s="724" t="s">
        <v>897</v>
      </c>
      <c r="C12" s="763" t="e">
        <f>'Design Regulator'!#REF! &amp; " Ω"</f>
        <v>#REF!</v>
      </c>
      <c r="D12" s="722"/>
      <c r="E12" s="727"/>
      <c r="F12" s="724" t="s">
        <v>888</v>
      </c>
      <c r="G12" s="765">
        <v>10</v>
      </c>
      <c r="H12" s="722" t="s">
        <v>138</v>
      </c>
      <c r="I12" s="727"/>
      <c r="J12" s="726" t="s">
        <v>904</v>
      </c>
      <c r="K12" s="725" t="e">
        <f>Rdamp_PassiveStd</f>
        <v>#VALUE!</v>
      </c>
      <c r="L12" s="722" t="s">
        <v>138</v>
      </c>
      <c r="M12" s="721"/>
      <c r="N12" s="724" t="s">
        <v>901</v>
      </c>
      <c r="O12" s="723">
        <v>0.35</v>
      </c>
      <c r="P12" s="722" t="s">
        <v>138</v>
      </c>
      <c r="Q12" s="244"/>
      <c r="R12" s="706"/>
    </row>
    <row r="13" spans="1:18" x14ac:dyDescent="0.2">
      <c r="A13" s="244"/>
      <c r="B13" s="244"/>
      <c r="C13" s="244"/>
      <c r="D13" s="244"/>
      <c r="E13" s="244"/>
      <c r="F13" s="244"/>
      <c r="G13" s="244"/>
      <c r="H13" s="244"/>
      <c r="I13" s="244"/>
      <c r="J13" s="244"/>
      <c r="K13" s="244"/>
      <c r="L13" s="244"/>
      <c r="M13" s="244"/>
      <c r="N13" s="244"/>
      <c r="O13" s="244"/>
      <c r="P13" s="244"/>
      <c r="Q13" s="244"/>
      <c r="R13" s="706"/>
    </row>
    <row r="14" spans="1:18" ht="15.75" x14ac:dyDescent="0.25">
      <c r="A14" s="244"/>
      <c r="B14" s="244"/>
      <c r="C14" s="775" t="s">
        <v>914</v>
      </c>
      <c r="D14" s="244"/>
      <c r="E14" s="244"/>
      <c r="F14" s="774">
        <f>VinRipple_dBuV</f>
        <v>92.071785793915453</v>
      </c>
      <c r="G14" s="720" t="s">
        <v>849</v>
      </c>
      <c r="H14" s="773" t="s">
        <v>787</v>
      </c>
      <c r="I14" s="771">
        <f>VinRipple_dBuV</f>
        <v>92.071785793915453</v>
      </c>
      <c r="J14" s="719" t="s">
        <v>849</v>
      </c>
      <c r="L14" s="244"/>
      <c r="M14" s="244"/>
      <c r="N14" s="244"/>
      <c r="O14" s="244"/>
      <c r="P14" s="244"/>
      <c r="Q14" s="244"/>
      <c r="R14" s="706"/>
    </row>
    <row r="15" spans="1:18" ht="13.5" thickBot="1" x14ac:dyDescent="0.25">
      <c r="A15" s="244"/>
      <c r="B15" s="721"/>
      <c r="C15" s="244"/>
      <c r="D15" s="721"/>
      <c r="E15" s="721"/>
      <c r="F15" s="721"/>
      <c r="G15" s="244"/>
      <c r="H15" s="244"/>
      <c r="I15" s="244"/>
      <c r="J15" s="244"/>
      <c r="K15" s="244"/>
      <c r="L15" s="244"/>
      <c r="M15" s="244"/>
      <c r="N15" s="244"/>
      <c r="O15" s="244"/>
      <c r="P15" s="244"/>
      <c r="Q15" s="244"/>
      <c r="R15" s="706"/>
    </row>
    <row r="16" spans="1:18" x14ac:dyDescent="0.2">
      <c r="A16" s="244"/>
      <c r="B16" s="757"/>
      <c r="C16" s="718"/>
      <c r="D16" s="717" t="s">
        <v>885</v>
      </c>
      <c r="E16" s="756" t="e">
        <f>-'Input Filter Calculations'!AM97</f>
        <v>#VALUE!</v>
      </c>
      <c r="F16" s="716" t="s">
        <v>804</v>
      </c>
      <c r="G16" s="244"/>
      <c r="H16" s="244"/>
      <c r="I16" s="244"/>
      <c r="J16" s="762"/>
      <c r="K16" s="715"/>
      <c r="L16" s="714" t="s">
        <v>886</v>
      </c>
      <c r="M16" s="769">
        <f>-'Input Filter Calculations'!AA97</f>
        <v>36.225240007728672</v>
      </c>
      <c r="N16" s="713" t="s">
        <v>804</v>
      </c>
      <c r="O16" s="244"/>
      <c r="P16" s="244"/>
      <c r="Q16" s="244"/>
      <c r="R16" s="706"/>
    </row>
    <row r="17" spans="1:18" ht="13.5" thickBot="1" x14ac:dyDescent="0.25">
      <c r="A17" s="711"/>
      <c r="B17" s="758"/>
      <c r="C17" s="710"/>
      <c r="D17" s="712" t="s">
        <v>875</v>
      </c>
      <c r="E17" s="768" t="e">
        <f>VinRipple_dBuV-E16</f>
        <v>#VALUE!</v>
      </c>
      <c r="F17" s="708" t="s">
        <v>786</v>
      </c>
      <c r="G17" s="244"/>
      <c r="H17" s="244"/>
      <c r="J17" s="758"/>
      <c r="K17" s="710"/>
      <c r="L17" s="709" t="s">
        <v>874</v>
      </c>
      <c r="M17" s="770">
        <f>VinRipple_dBuV-M16</f>
        <v>55.84654578618678</v>
      </c>
      <c r="N17" s="708" t="s">
        <v>786</v>
      </c>
      <c r="O17" s="244"/>
      <c r="P17" s="244"/>
      <c r="Q17" s="244"/>
      <c r="R17" s="706"/>
    </row>
    <row r="18" spans="1:18" x14ac:dyDescent="0.2">
      <c r="A18" s="244"/>
      <c r="B18" s="244"/>
      <c r="C18" s="244"/>
      <c r="D18" s="244"/>
      <c r="E18" s="244"/>
      <c r="F18" s="244"/>
      <c r="G18" s="244"/>
      <c r="H18" s="244"/>
      <c r="I18" s="244"/>
      <c r="J18" s="244"/>
      <c r="K18" s="244"/>
      <c r="L18" s="244"/>
      <c r="M18" s="244"/>
      <c r="N18" s="244"/>
      <c r="O18" s="244"/>
      <c r="P18" s="244"/>
      <c r="Q18" s="244"/>
      <c r="R18" s="706"/>
    </row>
    <row r="19" spans="1:18" x14ac:dyDescent="0.2">
      <c r="A19" s="244"/>
      <c r="B19" s="244"/>
      <c r="C19" s="244"/>
      <c r="D19" s="244"/>
      <c r="E19" s="244"/>
      <c r="F19" s="244"/>
      <c r="G19" s="244"/>
      <c r="H19" s="244"/>
      <c r="I19" s="244"/>
      <c r="J19" s="244"/>
      <c r="K19" s="244"/>
      <c r="L19" s="244"/>
      <c r="M19" s="244"/>
      <c r="N19" s="244"/>
      <c r="O19" s="244"/>
      <c r="P19" s="244"/>
      <c r="Q19" s="244"/>
      <c r="R19" s="706"/>
    </row>
    <row r="20" spans="1:18" x14ac:dyDescent="0.2">
      <c r="A20" s="244"/>
      <c r="B20" s="244"/>
      <c r="C20" s="244"/>
      <c r="D20" s="244"/>
      <c r="E20" s="244"/>
      <c r="F20" s="244"/>
      <c r="G20" s="244"/>
      <c r="H20" s="244"/>
      <c r="I20" s="244"/>
      <c r="J20" s="244"/>
      <c r="K20" s="244"/>
      <c r="L20" s="244"/>
      <c r="M20" s="244"/>
      <c r="N20" s="244"/>
      <c r="O20" s="244"/>
      <c r="P20" s="244"/>
      <c r="Q20" s="244"/>
      <c r="R20" s="706"/>
    </row>
    <row r="21" spans="1:18" x14ac:dyDescent="0.2">
      <c r="A21" s="244"/>
      <c r="B21" s="244"/>
      <c r="C21" s="244"/>
      <c r="D21" s="244"/>
      <c r="E21" s="244"/>
      <c r="F21" s="244"/>
      <c r="G21" s="244"/>
      <c r="H21" s="244"/>
      <c r="I21" s="244"/>
      <c r="J21" s="244"/>
      <c r="K21" s="244"/>
      <c r="L21" s="244"/>
      <c r="M21" s="244"/>
      <c r="N21" s="244"/>
      <c r="O21" s="244"/>
      <c r="P21" s="244"/>
      <c r="Q21" s="244"/>
      <c r="R21" s="706"/>
    </row>
    <row r="22" spans="1:18" x14ac:dyDescent="0.2">
      <c r="A22" s="244"/>
      <c r="B22" s="244"/>
      <c r="C22" s="244"/>
      <c r="D22" s="244"/>
      <c r="E22" s="244"/>
      <c r="F22" s="244"/>
      <c r="G22" s="244"/>
      <c r="H22" s="244"/>
      <c r="I22" s="244"/>
      <c r="J22" s="244"/>
      <c r="K22" s="244"/>
      <c r="L22" s="244"/>
      <c r="M22" s="244"/>
      <c r="N22" s="244"/>
      <c r="O22" s="244"/>
      <c r="P22" s="244"/>
      <c r="Q22" s="244"/>
      <c r="R22" s="706"/>
    </row>
    <row r="23" spans="1:18" x14ac:dyDescent="0.2">
      <c r="A23" s="244"/>
      <c r="B23" s="244"/>
      <c r="C23" s="244"/>
      <c r="D23" s="244"/>
      <c r="E23" s="244"/>
      <c r="F23" s="244"/>
      <c r="G23" s="244"/>
      <c r="H23" s="244"/>
      <c r="I23" s="244"/>
      <c r="J23" s="244"/>
      <c r="K23" s="244"/>
      <c r="L23" s="244"/>
      <c r="M23" s="244"/>
      <c r="N23" s="244"/>
      <c r="O23" s="244"/>
      <c r="P23" s="244"/>
      <c r="Q23" s="244"/>
      <c r="R23" s="706"/>
    </row>
    <row r="24" spans="1:18" x14ac:dyDescent="0.2">
      <c r="A24" s="244"/>
      <c r="B24" s="244"/>
      <c r="C24" s="244"/>
      <c r="D24" s="244"/>
      <c r="E24" s="244"/>
      <c r="F24" s="244"/>
      <c r="G24" s="244"/>
      <c r="H24" s="244"/>
      <c r="I24" s="244"/>
      <c r="J24" s="244"/>
      <c r="K24" s="244"/>
      <c r="L24" s="244"/>
      <c r="M24" s="244"/>
      <c r="N24" s="244"/>
      <c r="O24" s="244"/>
      <c r="P24" s="244"/>
      <c r="Q24" s="244"/>
      <c r="R24" s="706"/>
    </row>
    <row r="25" spans="1:18" x14ac:dyDescent="0.2">
      <c r="A25" s="244"/>
      <c r="B25" s="244"/>
      <c r="C25" s="244"/>
      <c r="D25" s="244"/>
      <c r="E25" s="244"/>
      <c r="F25" s="244"/>
      <c r="G25" s="244"/>
      <c r="H25" s="244"/>
      <c r="I25" s="244"/>
      <c r="J25" s="244"/>
      <c r="K25" s="244"/>
      <c r="L25" s="244"/>
      <c r="M25" s="244"/>
      <c r="N25" s="244"/>
      <c r="O25" s="244"/>
      <c r="P25" s="244"/>
      <c r="Q25" s="244"/>
      <c r="R25" s="706"/>
    </row>
    <row r="26" spans="1:18" x14ac:dyDescent="0.2">
      <c r="A26" s="244"/>
      <c r="B26" s="244"/>
      <c r="C26" s="244"/>
      <c r="D26" s="244"/>
      <c r="E26" s="244"/>
      <c r="F26" s="244"/>
      <c r="G26" s="244"/>
      <c r="H26" s="244"/>
      <c r="I26" s="244"/>
      <c r="J26" s="244"/>
      <c r="K26" s="244"/>
      <c r="L26" s="244"/>
      <c r="M26" s="244"/>
      <c r="N26" s="244"/>
      <c r="O26" s="244"/>
      <c r="P26" s="244"/>
      <c r="Q26" s="244"/>
      <c r="R26" s="706"/>
    </row>
    <row r="27" spans="1:18" x14ac:dyDescent="0.2">
      <c r="A27" s="244"/>
      <c r="B27" s="244"/>
      <c r="C27" s="244"/>
      <c r="D27" s="244"/>
      <c r="E27" s="244"/>
      <c r="F27" s="244"/>
      <c r="G27" s="244"/>
      <c r="H27" s="244"/>
      <c r="I27" s="244"/>
      <c r="J27" s="244"/>
      <c r="K27" s="244"/>
      <c r="L27" s="244"/>
      <c r="M27" s="244"/>
      <c r="N27" s="244"/>
      <c r="O27" s="244"/>
      <c r="P27" s="244"/>
      <c r="Q27" s="244"/>
      <c r="R27" s="706"/>
    </row>
    <row r="28" spans="1:18" x14ac:dyDescent="0.2">
      <c r="A28" s="244"/>
      <c r="B28" s="244"/>
      <c r="C28" s="244"/>
      <c r="D28" s="244"/>
      <c r="E28" s="244"/>
      <c r="F28" s="244"/>
      <c r="G28" s="244"/>
      <c r="H28" s="244"/>
      <c r="I28" s="244"/>
      <c r="J28" s="244"/>
      <c r="K28" s="244"/>
      <c r="L28" s="244"/>
      <c r="M28" s="244"/>
      <c r="N28" s="244"/>
      <c r="O28" s="244"/>
      <c r="P28" s="244"/>
      <c r="Q28" s="244"/>
      <c r="R28" s="706"/>
    </row>
    <row r="29" spans="1:18" x14ac:dyDescent="0.2">
      <c r="A29" s="244"/>
      <c r="B29" s="244"/>
      <c r="C29" s="244"/>
      <c r="D29" s="244"/>
      <c r="E29" s="244"/>
      <c r="F29" s="244"/>
      <c r="G29" s="244"/>
      <c r="H29" s="244"/>
      <c r="I29" s="244"/>
      <c r="J29" s="244"/>
      <c r="K29" s="244"/>
      <c r="L29" s="244"/>
      <c r="M29" s="244"/>
      <c r="N29" s="244"/>
      <c r="O29" s="244"/>
      <c r="P29" s="244"/>
      <c r="Q29" s="244"/>
      <c r="R29" s="706"/>
    </row>
    <row r="30" spans="1:18" x14ac:dyDescent="0.2">
      <c r="A30" s="244"/>
      <c r="B30" s="244"/>
      <c r="C30" s="244"/>
      <c r="D30" s="244"/>
      <c r="E30" s="244"/>
      <c r="F30" s="244"/>
      <c r="G30" s="244"/>
      <c r="H30" s="244"/>
      <c r="I30" s="244"/>
      <c r="J30" s="244"/>
      <c r="K30" s="244"/>
      <c r="L30" s="244"/>
      <c r="M30" s="244"/>
      <c r="N30" s="244"/>
      <c r="O30" s="244"/>
      <c r="P30" s="244"/>
      <c r="Q30" s="244"/>
      <c r="R30" s="706"/>
    </row>
    <row r="31" spans="1:18" x14ac:dyDescent="0.2">
      <c r="A31" s="244"/>
      <c r="B31" s="244"/>
      <c r="C31" s="244"/>
      <c r="D31" s="244"/>
      <c r="E31" s="244"/>
      <c r="F31" s="244"/>
      <c r="G31" s="244"/>
      <c r="H31" s="244"/>
      <c r="I31" s="244"/>
      <c r="J31" s="244"/>
      <c r="K31" s="244"/>
      <c r="L31" s="244"/>
      <c r="M31" s="244"/>
      <c r="N31" s="244"/>
      <c r="O31" s="244"/>
      <c r="P31" s="244"/>
      <c r="Q31" s="244"/>
      <c r="R31" s="706"/>
    </row>
    <row r="32" spans="1:18" x14ac:dyDescent="0.2">
      <c r="A32" s="244"/>
      <c r="B32" s="244"/>
      <c r="C32" s="244"/>
      <c r="D32" s="244"/>
      <c r="E32" s="244"/>
      <c r="F32" s="244"/>
      <c r="G32" s="244"/>
      <c r="H32" s="244"/>
      <c r="I32" s="244"/>
      <c r="J32" s="244"/>
      <c r="K32" s="244"/>
      <c r="L32" s="244"/>
      <c r="M32" s="244"/>
      <c r="N32" s="244"/>
      <c r="O32" s="244"/>
      <c r="P32" s="244"/>
      <c r="Q32" s="244"/>
      <c r="R32" s="706"/>
    </row>
    <row r="33" spans="1:18" x14ac:dyDescent="0.2">
      <c r="A33" s="244"/>
      <c r="B33" s="244"/>
      <c r="C33" s="244"/>
      <c r="D33" s="244"/>
      <c r="E33" s="244"/>
      <c r="F33" s="244"/>
      <c r="G33" s="244"/>
      <c r="H33" s="244"/>
      <c r="I33" s="244"/>
      <c r="J33" s="244"/>
      <c r="K33" s="244"/>
      <c r="L33" s="244"/>
      <c r="M33" s="244"/>
      <c r="N33" s="244"/>
      <c r="O33" s="244"/>
      <c r="P33" s="244"/>
      <c r="Q33" s="244"/>
      <c r="R33" s="706"/>
    </row>
    <row r="34" spans="1:18" x14ac:dyDescent="0.2">
      <c r="A34" s="244"/>
      <c r="B34" s="244"/>
      <c r="C34" s="244"/>
      <c r="D34" s="244"/>
      <c r="E34" s="244"/>
      <c r="F34" s="244"/>
      <c r="G34" s="244"/>
      <c r="H34" s="244"/>
      <c r="I34" s="244"/>
      <c r="J34" s="244"/>
      <c r="K34" s="244"/>
      <c r="L34" s="244"/>
      <c r="M34" s="244"/>
      <c r="N34" s="244"/>
      <c r="O34" s="244"/>
      <c r="P34" s="244"/>
      <c r="Q34" s="244"/>
      <c r="R34" s="706"/>
    </row>
    <row r="35" spans="1:18" x14ac:dyDescent="0.2">
      <c r="A35" s="244"/>
      <c r="B35" s="244"/>
      <c r="C35" s="244"/>
      <c r="D35" s="244"/>
      <c r="E35" s="244"/>
      <c r="F35" s="244"/>
      <c r="G35" s="244"/>
      <c r="H35" s="244"/>
      <c r="I35" s="244"/>
      <c r="J35" s="244"/>
      <c r="K35" s="244"/>
      <c r="L35" s="244"/>
      <c r="M35" s="244"/>
      <c r="N35" s="244"/>
      <c r="O35" s="244"/>
      <c r="P35" s="244"/>
      <c r="Q35" s="244"/>
      <c r="R35" s="706"/>
    </row>
    <row r="36" spans="1:18" x14ac:dyDescent="0.2">
      <c r="A36" s="244"/>
      <c r="B36" s="244"/>
      <c r="C36" s="244"/>
      <c r="D36" s="244"/>
      <c r="E36" s="244"/>
      <c r="F36" s="244"/>
      <c r="G36" s="244"/>
      <c r="H36" s="244"/>
      <c r="I36" s="244"/>
      <c r="J36" s="244"/>
      <c r="K36" s="244"/>
      <c r="L36" s="244"/>
      <c r="M36" s="244"/>
      <c r="N36" s="244"/>
      <c r="O36" s="244"/>
      <c r="P36" s="244"/>
      <c r="Q36" s="244"/>
      <c r="R36" s="706"/>
    </row>
    <row r="37" spans="1:18" x14ac:dyDescent="0.2">
      <c r="A37" s="244"/>
      <c r="B37" s="244"/>
      <c r="C37" s="244"/>
      <c r="D37" s="244"/>
      <c r="E37" s="244"/>
      <c r="F37" s="244"/>
      <c r="G37" s="244"/>
      <c r="H37" s="244"/>
      <c r="I37" s="244"/>
      <c r="J37" s="244"/>
      <c r="K37" s="244"/>
      <c r="L37" s="244"/>
      <c r="M37" s="244"/>
      <c r="N37" s="244"/>
      <c r="O37" s="244"/>
      <c r="P37" s="244"/>
      <c r="Q37" s="244"/>
      <c r="R37" s="706"/>
    </row>
    <row r="38" spans="1:18" x14ac:dyDescent="0.2">
      <c r="A38" s="244"/>
      <c r="B38" s="244"/>
      <c r="C38" s="244"/>
      <c r="D38" s="244"/>
      <c r="E38" s="244"/>
      <c r="F38" s="244"/>
      <c r="G38" s="244"/>
      <c r="H38" s="244"/>
      <c r="I38" s="244"/>
      <c r="J38" s="244"/>
      <c r="K38" s="244"/>
      <c r="L38" s="244"/>
      <c r="M38" s="244"/>
      <c r="N38" s="244"/>
      <c r="O38" s="244"/>
      <c r="P38" s="244"/>
      <c r="Q38" s="244"/>
      <c r="R38" s="706"/>
    </row>
    <row r="39" spans="1:18" x14ac:dyDescent="0.2">
      <c r="A39" s="244"/>
      <c r="B39" s="244"/>
      <c r="C39" s="244"/>
      <c r="D39" s="244"/>
      <c r="E39" s="244"/>
      <c r="F39" s="244"/>
      <c r="G39" s="244"/>
      <c r="H39" s="244"/>
      <c r="I39" s="244"/>
      <c r="J39" s="244"/>
      <c r="K39" s="244"/>
      <c r="L39" s="244"/>
      <c r="M39" s="244"/>
      <c r="N39" s="244"/>
      <c r="O39" s="244"/>
      <c r="P39" s="244"/>
      <c r="Q39" s="244"/>
      <c r="R39" s="706"/>
    </row>
    <row r="40" spans="1:18" x14ac:dyDescent="0.2">
      <c r="A40" s="244"/>
      <c r="B40" s="244"/>
      <c r="C40" s="244"/>
      <c r="D40" s="244"/>
      <c r="E40" s="244"/>
      <c r="F40" s="244"/>
      <c r="G40" s="244"/>
      <c r="H40" s="244"/>
      <c r="I40" s="244"/>
      <c r="J40" s="244"/>
      <c r="K40" s="244"/>
      <c r="L40" s="244"/>
      <c r="M40" s="244"/>
      <c r="N40" s="244"/>
      <c r="O40" s="244"/>
      <c r="P40" s="244"/>
      <c r="Q40" s="244"/>
      <c r="R40" s="706"/>
    </row>
    <row r="41" spans="1:18" x14ac:dyDescent="0.2">
      <c r="A41" s="244"/>
      <c r="B41" s="244"/>
      <c r="C41" s="244"/>
      <c r="D41" s="244"/>
      <c r="E41" s="244"/>
      <c r="F41" s="244"/>
      <c r="G41" s="244"/>
      <c r="H41" s="244"/>
      <c r="I41" s="244"/>
      <c r="J41" s="244"/>
      <c r="K41" s="244"/>
      <c r="L41" s="244"/>
      <c r="M41" s="244"/>
      <c r="N41" s="244"/>
      <c r="O41" s="244"/>
      <c r="P41" s="244"/>
      <c r="Q41" s="244"/>
      <c r="R41" s="706"/>
    </row>
    <row r="42" spans="1:18" x14ac:dyDescent="0.2">
      <c r="A42" s="244"/>
      <c r="B42" s="244"/>
      <c r="C42" s="244"/>
      <c r="D42" s="244"/>
      <c r="E42" s="244"/>
      <c r="F42" s="244"/>
      <c r="G42" s="244"/>
      <c r="H42" s="244"/>
      <c r="I42" s="244"/>
      <c r="J42" s="244"/>
      <c r="K42" s="244"/>
      <c r="L42" s="244"/>
      <c r="M42" s="244"/>
      <c r="N42" s="244"/>
      <c r="O42" s="244"/>
      <c r="P42" s="244"/>
      <c r="Q42" s="244"/>
      <c r="R42" s="706"/>
    </row>
    <row r="43" spans="1:18" x14ac:dyDescent="0.2">
      <c r="A43" s="244"/>
      <c r="B43" s="244"/>
      <c r="C43" s="244"/>
      <c r="D43" s="244"/>
      <c r="E43" s="244"/>
      <c r="F43" s="244"/>
      <c r="G43" s="244"/>
      <c r="H43" s="244"/>
      <c r="I43" s="244"/>
      <c r="J43" s="244"/>
      <c r="K43" s="244"/>
      <c r="L43" s="244"/>
      <c r="M43" s="244"/>
      <c r="N43" s="244"/>
      <c r="O43" s="244"/>
      <c r="P43" s="244"/>
      <c r="Q43" s="244"/>
      <c r="R43" s="706"/>
    </row>
    <row r="44" spans="1:18" x14ac:dyDescent="0.2">
      <c r="A44" s="244"/>
      <c r="B44" s="244"/>
      <c r="C44" s="244"/>
      <c r="D44" s="244"/>
      <c r="E44" s="244"/>
      <c r="F44" s="244"/>
      <c r="G44" s="244"/>
      <c r="H44" s="244"/>
      <c r="I44" s="244"/>
      <c r="J44" s="244"/>
      <c r="K44" s="244"/>
      <c r="L44" s="244"/>
      <c r="M44" s="244"/>
      <c r="N44" s="244"/>
      <c r="O44" s="244"/>
      <c r="P44" s="244"/>
      <c r="Q44" s="244"/>
      <c r="R44" s="706"/>
    </row>
    <row r="45" spans="1:18" x14ac:dyDescent="0.2">
      <c r="A45" s="244"/>
      <c r="B45" s="244"/>
      <c r="C45" s="244"/>
      <c r="D45" s="244"/>
      <c r="E45" s="244"/>
      <c r="F45" s="244"/>
      <c r="G45" s="244"/>
      <c r="H45" s="244"/>
      <c r="I45" s="244"/>
      <c r="J45" s="244"/>
      <c r="K45" s="244"/>
      <c r="L45" s="244"/>
      <c r="M45" s="244"/>
      <c r="N45" s="244"/>
      <c r="O45" s="244"/>
      <c r="P45" s="244"/>
      <c r="Q45" s="244"/>
      <c r="R45" s="706"/>
    </row>
    <row r="46" spans="1:18" x14ac:dyDescent="0.2">
      <c r="A46" s="244"/>
      <c r="B46" s="244"/>
      <c r="C46" s="244"/>
      <c r="D46" s="244"/>
      <c r="E46" s="244"/>
      <c r="F46" s="244"/>
      <c r="G46" s="244"/>
      <c r="H46" s="244"/>
      <c r="I46" s="244"/>
      <c r="J46" s="244"/>
      <c r="K46" s="244"/>
      <c r="L46" s="244"/>
      <c r="M46" s="244"/>
      <c r="N46" s="244"/>
      <c r="O46" s="244"/>
      <c r="P46" s="244"/>
      <c r="Q46" s="244"/>
      <c r="R46" s="706"/>
    </row>
    <row r="47" spans="1:18" x14ac:dyDescent="0.2">
      <c r="A47" s="244"/>
      <c r="B47" s="244"/>
      <c r="C47" s="244"/>
      <c r="D47" s="244"/>
      <c r="E47" s="244"/>
      <c r="F47" s="244"/>
      <c r="G47" s="244"/>
      <c r="H47" s="244"/>
      <c r="I47" s="244"/>
      <c r="J47" s="244"/>
      <c r="K47" s="244"/>
      <c r="L47" s="244"/>
      <c r="M47" s="244"/>
      <c r="N47" s="244"/>
      <c r="O47" s="244"/>
      <c r="P47" s="244"/>
      <c r="Q47" s="244"/>
      <c r="R47" s="706"/>
    </row>
    <row r="48" spans="1:18" x14ac:dyDescent="0.2">
      <c r="A48" s="244"/>
      <c r="B48" s="244"/>
      <c r="C48" s="244"/>
      <c r="D48" s="244"/>
      <c r="E48" s="244"/>
      <c r="F48" s="244"/>
      <c r="G48" s="244"/>
      <c r="H48" s="244"/>
      <c r="I48" s="244"/>
      <c r="J48" s="244"/>
      <c r="K48" s="244"/>
      <c r="L48" s="244"/>
      <c r="M48" s="244"/>
      <c r="N48" s="244"/>
      <c r="O48" s="244"/>
      <c r="P48" s="244"/>
      <c r="Q48" s="244"/>
      <c r="R48" s="706"/>
    </row>
    <row r="49" spans="1:18" x14ac:dyDescent="0.2">
      <c r="A49" s="244"/>
      <c r="B49" s="244"/>
      <c r="C49" s="244"/>
      <c r="D49" s="244"/>
      <c r="E49" s="244"/>
      <c r="F49" s="244"/>
      <c r="G49" s="244"/>
      <c r="H49" s="244"/>
      <c r="I49" s="244"/>
      <c r="J49" s="244"/>
      <c r="K49" s="244"/>
      <c r="L49" s="244"/>
      <c r="M49" s="244"/>
      <c r="N49" s="244"/>
      <c r="O49" s="244"/>
      <c r="P49" s="244"/>
      <c r="Q49" s="244"/>
      <c r="R49" s="706"/>
    </row>
    <row r="50" spans="1:18" x14ac:dyDescent="0.2">
      <c r="A50" s="244"/>
      <c r="B50" s="244"/>
      <c r="C50" s="244"/>
      <c r="D50" s="244"/>
      <c r="E50" s="244"/>
      <c r="F50" s="244"/>
      <c r="G50" s="244"/>
      <c r="H50" s="244"/>
      <c r="I50" s="244"/>
      <c r="J50" s="244"/>
      <c r="K50" s="244"/>
      <c r="L50" s="244"/>
      <c r="M50" s="244"/>
      <c r="N50" s="244"/>
      <c r="O50" s="244"/>
      <c r="P50" s="244"/>
      <c r="Q50" s="244"/>
      <c r="R50" s="706"/>
    </row>
    <row r="51" spans="1:18" x14ac:dyDescent="0.2">
      <c r="A51" s="244"/>
      <c r="B51" s="244"/>
      <c r="C51" s="244"/>
      <c r="D51" s="244"/>
      <c r="E51" s="244"/>
      <c r="F51" s="244"/>
      <c r="G51" s="244"/>
      <c r="H51" s="244"/>
      <c r="I51" s="244"/>
      <c r="J51" s="244"/>
      <c r="K51" s="244"/>
      <c r="L51" s="244"/>
      <c r="M51" s="244"/>
      <c r="N51" s="244"/>
      <c r="O51" s="244"/>
      <c r="P51" s="244"/>
      <c r="Q51" s="244"/>
      <c r="R51" s="706"/>
    </row>
    <row r="52" spans="1:18" x14ac:dyDescent="0.2">
      <c r="A52" s="244"/>
      <c r="B52" s="244"/>
      <c r="C52" s="244"/>
      <c r="D52" s="244"/>
      <c r="E52" s="244"/>
      <c r="F52" s="244"/>
      <c r="G52" s="244"/>
      <c r="H52" s="244"/>
      <c r="I52" s="244"/>
      <c r="J52" s="244"/>
      <c r="K52" s="244"/>
      <c r="L52" s="244"/>
      <c r="M52" s="244"/>
      <c r="N52" s="244"/>
      <c r="O52" s="244"/>
      <c r="P52" s="244"/>
      <c r="Q52" s="244"/>
      <c r="R52" s="706"/>
    </row>
    <row r="53" spans="1:18" x14ac:dyDescent="0.2">
      <c r="A53" s="244"/>
      <c r="B53" s="244"/>
      <c r="C53" s="244"/>
      <c r="D53" s="244"/>
      <c r="E53" s="244"/>
      <c r="F53" s="244"/>
      <c r="G53" s="244"/>
      <c r="H53" s="244"/>
      <c r="I53" s="244"/>
      <c r="J53" s="244"/>
      <c r="K53" s="244"/>
      <c r="L53" s="244"/>
      <c r="M53" s="244"/>
      <c r="N53" s="244"/>
      <c r="O53" s="244"/>
      <c r="P53" s="244"/>
      <c r="Q53" s="244"/>
      <c r="R53" s="706"/>
    </row>
    <row r="54" spans="1:18" x14ac:dyDescent="0.2">
      <c r="A54" s="244"/>
      <c r="B54" s="244"/>
      <c r="C54" s="244"/>
      <c r="D54" s="244"/>
      <c r="E54" s="244"/>
      <c r="F54" s="244"/>
      <c r="G54" s="244"/>
      <c r="H54" s="244"/>
      <c r="I54" s="244"/>
      <c r="J54" s="244"/>
      <c r="K54" s="244"/>
      <c r="L54" s="244"/>
      <c r="M54" s="244"/>
      <c r="N54" s="244"/>
      <c r="O54" s="244"/>
      <c r="P54" s="244"/>
      <c r="Q54" s="244"/>
      <c r="R54" s="706"/>
    </row>
    <row r="55" spans="1:18" x14ac:dyDescent="0.2">
      <c r="A55" s="244"/>
      <c r="B55" s="244"/>
      <c r="C55" s="244"/>
      <c r="D55" s="244"/>
      <c r="E55" s="244"/>
      <c r="F55" s="244"/>
      <c r="G55" s="244"/>
      <c r="H55" s="244"/>
      <c r="I55" s="244"/>
      <c r="J55" s="244"/>
      <c r="K55" s="244"/>
      <c r="L55" s="244"/>
      <c r="M55" s="244"/>
      <c r="N55" s="244"/>
      <c r="O55" s="244"/>
      <c r="P55" s="244"/>
      <c r="Q55" s="244"/>
      <c r="R55" s="706"/>
    </row>
    <row r="56" spans="1:18" x14ac:dyDescent="0.2">
      <c r="A56" s="244"/>
      <c r="B56" s="244"/>
      <c r="C56" s="244"/>
      <c r="D56" s="244"/>
      <c r="E56" s="244"/>
      <c r="F56" s="244"/>
      <c r="G56" s="244"/>
      <c r="H56" s="244"/>
      <c r="I56" s="244"/>
      <c r="J56" s="244"/>
      <c r="K56" s="244"/>
      <c r="L56" s="244"/>
      <c r="M56" s="244"/>
      <c r="N56" s="244"/>
      <c r="O56" s="244"/>
      <c r="P56" s="244"/>
      <c r="Q56" s="244"/>
      <c r="R56" s="706"/>
    </row>
    <row r="57" spans="1:18" x14ac:dyDescent="0.2">
      <c r="A57" s="244"/>
      <c r="B57" s="244"/>
      <c r="C57" s="244"/>
      <c r="D57" s="244"/>
      <c r="E57" s="244"/>
      <c r="F57" s="244"/>
      <c r="G57" s="244"/>
      <c r="H57" s="244"/>
      <c r="I57" s="244"/>
      <c r="J57" s="244"/>
      <c r="K57" s="244"/>
      <c r="L57" s="244"/>
      <c r="M57" s="244"/>
      <c r="N57" s="244"/>
      <c r="O57" s="244"/>
      <c r="P57" s="244"/>
      <c r="Q57" s="244"/>
      <c r="R57" s="706"/>
    </row>
    <row r="58" spans="1:18" x14ac:dyDescent="0.2">
      <c r="A58" s="244"/>
      <c r="B58" s="244"/>
      <c r="C58" s="244"/>
      <c r="D58" s="244"/>
      <c r="E58" s="244"/>
      <c r="F58" s="244"/>
      <c r="G58" s="244"/>
      <c r="H58" s="244"/>
      <c r="I58" s="244"/>
      <c r="J58" s="244"/>
      <c r="K58" s="244"/>
      <c r="L58" s="244"/>
      <c r="M58" s="244"/>
      <c r="N58" s="244"/>
      <c r="O58" s="244"/>
      <c r="P58" s="244"/>
      <c r="Q58" s="244"/>
      <c r="R58" s="706"/>
    </row>
    <row r="59" spans="1:18" x14ac:dyDescent="0.2">
      <c r="A59" s="244"/>
      <c r="B59" s="244"/>
      <c r="C59" s="244"/>
      <c r="D59" s="244"/>
      <c r="E59" s="244"/>
      <c r="F59" s="244"/>
      <c r="G59" s="244"/>
      <c r="H59" s="244"/>
      <c r="I59" s="244"/>
      <c r="J59" s="244"/>
      <c r="K59" s="244"/>
      <c r="L59" s="244"/>
      <c r="M59" s="244"/>
      <c r="N59" s="244"/>
      <c r="O59" s="244"/>
      <c r="P59" s="244"/>
      <c r="Q59" s="244"/>
      <c r="R59" s="706"/>
    </row>
    <row r="60" spans="1:18" x14ac:dyDescent="0.2">
      <c r="A60" s="244"/>
      <c r="B60" s="244"/>
      <c r="C60" s="244"/>
      <c r="D60" s="244"/>
      <c r="E60" s="244"/>
      <c r="F60" s="244"/>
      <c r="G60" s="244"/>
      <c r="H60" s="244"/>
      <c r="I60" s="244"/>
      <c r="J60" s="244"/>
      <c r="K60" s="244"/>
      <c r="L60" s="244"/>
      <c r="M60" s="244"/>
      <c r="N60" s="244"/>
      <c r="O60" s="244"/>
      <c r="P60" s="244"/>
      <c r="Q60" s="244"/>
      <c r="R60" s="706"/>
    </row>
    <row r="61" spans="1:18" x14ac:dyDescent="0.2">
      <c r="A61" s="244"/>
      <c r="B61" s="244"/>
      <c r="C61" s="244"/>
      <c r="D61" s="244"/>
      <c r="E61" s="244"/>
      <c r="F61" s="244"/>
      <c r="G61" s="244"/>
      <c r="H61" s="244"/>
      <c r="I61" s="244"/>
      <c r="J61" s="244"/>
      <c r="K61" s="244"/>
      <c r="L61" s="244"/>
      <c r="M61" s="244"/>
      <c r="N61" s="244"/>
      <c r="O61" s="244"/>
      <c r="P61" s="244"/>
      <c r="Q61" s="244"/>
      <c r="R61" s="703"/>
    </row>
    <row r="62" spans="1:18" x14ac:dyDescent="0.2">
      <c r="A62" s="244"/>
      <c r="B62" s="244"/>
      <c r="C62" s="244"/>
      <c r="D62" s="244"/>
      <c r="E62" s="244"/>
      <c r="F62" s="244"/>
      <c r="G62" s="244"/>
      <c r="H62" s="244"/>
      <c r="I62" s="244"/>
      <c r="J62" s="244"/>
      <c r="K62" s="244"/>
      <c r="L62" s="244"/>
      <c r="M62" s="244"/>
      <c r="N62" s="244"/>
      <c r="O62" s="244"/>
      <c r="P62" s="244"/>
      <c r="Q62" s="244"/>
      <c r="R62" s="703"/>
    </row>
    <row r="63" spans="1:18" x14ac:dyDescent="0.2">
      <c r="A63" s="244"/>
      <c r="B63" s="244"/>
      <c r="C63" s="244"/>
      <c r="D63" s="244"/>
      <c r="E63" s="244"/>
      <c r="F63" s="244"/>
      <c r="G63" s="244"/>
      <c r="H63" s="244"/>
      <c r="I63" s="244"/>
      <c r="J63" s="244"/>
      <c r="K63" s="244"/>
      <c r="L63" s="244"/>
      <c r="M63" s="244"/>
      <c r="N63" s="244"/>
      <c r="O63" s="244"/>
      <c r="P63" s="244"/>
      <c r="Q63" s="244"/>
      <c r="R63" s="703"/>
    </row>
    <row r="64" spans="1:18" x14ac:dyDescent="0.2">
      <c r="A64" s="244"/>
      <c r="B64" s="244"/>
      <c r="C64" s="244"/>
      <c r="D64" s="244"/>
      <c r="E64" s="244"/>
      <c r="F64" s="244"/>
      <c r="G64" s="244"/>
      <c r="H64" s="244"/>
      <c r="I64" s="244"/>
      <c r="J64" s="244"/>
      <c r="K64" s="244"/>
      <c r="L64" s="244"/>
      <c r="M64" s="244"/>
      <c r="N64" s="244"/>
      <c r="O64" s="244"/>
      <c r="P64" s="244"/>
      <c r="Q64" s="244"/>
      <c r="R64" s="703"/>
    </row>
    <row r="65" spans="1:18" x14ac:dyDescent="0.2">
      <c r="A65" s="244"/>
      <c r="B65" s="244"/>
      <c r="C65" s="244"/>
      <c r="D65" s="244"/>
      <c r="E65" s="244"/>
      <c r="F65" s="244"/>
      <c r="G65" s="244"/>
      <c r="H65" s="244"/>
      <c r="I65" s="244"/>
      <c r="J65" s="244"/>
      <c r="K65" s="244"/>
      <c r="L65" s="244"/>
      <c r="M65" s="244"/>
      <c r="N65" s="244"/>
      <c r="O65" s="244"/>
      <c r="P65" s="244"/>
      <c r="Q65" s="244"/>
      <c r="R65" s="703"/>
    </row>
    <row r="66" spans="1:18" x14ac:dyDescent="0.2">
      <c r="A66" s="244"/>
      <c r="B66" s="244"/>
      <c r="C66" s="244"/>
      <c r="D66" s="244"/>
      <c r="E66" s="244"/>
      <c r="F66" s="244"/>
      <c r="G66" s="244"/>
      <c r="H66" s="244"/>
      <c r="I66" s="244"/>
      <c r="J66" s="244"/>
      <c r="K66" s="244"/>
      <c r="L66" s="244"/>
      <c r="M66" s="244"/>
      <c r="N66" s="244"/>
      <c r="O66" s="244"/>
      <c r="P66" s="244"/>
      <c r="Q66" s="244"/>
      <c r="R66" s="703"/>
    </row>
    <row r="67" spans="1:18" x14ac:dyDescent="0.2">
      <c r="A67" s="244"/>
      <c r="B67" s="244"/>
      <c r="C67" s="244"/>
      <c r="D67" s="244"/>
      <c r="E67" s="244"/>
      <c r="F67" s="244"/>
      <c r="G67" s="244"/>
      <c r="H67" s="244"/>
      <c r="I67" s="244"/>
      <c r="J67" s="244"/>
      <c r="K67" s="244"/>
      <c r="L67" s="244"/>
      <c r="M67" s="244"/>
      <c r="N67" s="244"/>
      <c r="O67" s="244"/>
      <c r="P67" s="244"/>
      <c r="Q67" s="244"/>
      <c r="R67" s="703"/>
    </row>
    <row r="68" spans="1:18" x14ac:dyDescent="0.2">
      <c r="A68" s="244"/>
      <c r="B68" s="244"/>
      <c r="C68" s="244"/>
      <c r="D68" s="244"/>
      <c r="E68" s="244"/>
      <c r="F68" s="244"/>
      <c r="G68" s="244"/>
      <c r="H68" s="244"/>
      <c r="I68" s="244"/>
      <c r="J68" s="244"/>
      <c r="K68" s="244"/>
      <c r="L68" s="244"/>
      <c r="M68" s="244"/>
      <c r="N68" s="244"/>
      <c r="O68" s="244"/>
      <c r="P68" s="244"/>
      <c r="Q68" s="244"/>
      <c r="R68" s="703"/>
    </row>
    <row r="69" spans="1:18" x14ac:dyDescent="0.2">
      <c r="A69" s="244"/>
      <c r="B69" s="244"/>
      <c r="C69" s="244"/>
      <c r="D69" s="244"/>
      <c r="E69" s="244"/>
      <c r="F69" s="244"/>
      <c r="G69" s="244"/>
      <c r="H69" s="244"/>
      <c r="I69" s="244"/>
      <c r="J69" s="244"/>
      <c r="K69" s="244"/>
      <c r="L69" s="244"/>
      <c r="M69" s="244"/>
      <c r="N69" s="244"/>
      <c r="O69" s="244"/>
      <c r="P69" s="244"/>
      <c r="Q69" s="244"/>
      <c r="R69" s="703"/>
    </row>
    <row r="70" spans="1:18" x14ac:dyDescent="0.2">
      <c r="A70" s="244"/>
      <c r="B70" s="244"/>
      <c r="C70" s="244"/>
      <c r="D70" s="244"/>
      <c r="E70" s="244"/>
      <c r="F70" s="244"/>
      <c r="G70" s="244"/>
      <c r="H70" s="244"/>
      <c r="I70" s="244"/>
      <c r="J70" s="244"/>
      <c r="K70" s="244"/>
      <c r="L70" s="244"/>
      <c r="M70" s="244"/>
      <c r="N70" s="244"/>
      <c r="O70" s="244"/>
      <c r="P70" s="244"/>
      <c r="Q70" s="244"/>
      <c r="R70" s="705"/>
    </row>
    <row r="71" spans="1:18" x14ac:dyDescent="0.2">
      <c r="A71" s="244"/>
      <c r="B71" s="244"/>
      <c r="C71" s="244"/>
      <c r="D71" s="244"/>
      <c r="E71" s="244"/>
      <c r="F71" s="244"/>
      <c r="G71" s="244"/>
      <c r="H71" s="244"/>
      <c r="I71" s="244"/>
      <c r="J71" s="244"/>
      <c r="K71" s="244"/>
      <c r="L71" s="244"/>
      <c r="M71" s="244"/>
      <c r="N71" s="244"/>
      <c r="O71" s="244"/>
      <c r="P71" s="244"/>
      <c r="Q71" s="244"/>
      <c r="R71" s="703"/>
    </row>
    <row r="72" spans="1:18" x14ac:dyDescent="0.2">
      <c r="A72" s="244"/>
      <c r="B72" s="244"/>
      <c r="C72" s="244"/>
      <c r="D72" s="244"/>
      <c r="E72" s="244"/>
      <c r="F72" s="244"/>
      <c r="G72" s="244"/>
      <c r="H72" s="244"/>
      <c r="I72" s="244"/>
      <c r="J72" s="244"/>
      <c r="K72" s="244"/>
      <c r="L72" s="244"/>
      <c r="M72" s="244"/>
      <c r="N72" s="244"/>
      <c r="O72" s="244"/>
      <c r="P72" s="244"/>
      <c r="Q72" s="244"/>
      <c r="R72" s="703"/>
    </row>
    <row r="73" spans="1:18" x14ac:dyDescent="0.2">
      <c r="A73" s="244"/>
      <c r="B73" s="244"/>
      <c r="C73" s="244"/>
      <c r="D73" s="244"/>
      <c r="E73" s="244"/>
      <c r="F73" s="244"/>
      <c r="G73" s="244"/>
      <c r="H73" s="244"/>
      <c r="I73" s="244"/>
      <c r="J73" s="244"/>
      <c r="K73" s="244"/>
      <c r="L73" s="244"/>
      <c r="M73" s="244"/>
      <c r="N73" s="244"/>
      <c r="O73" s="244"/>
      <c r="P73" s="244"/>
      <c r="Q73" s="244"/>
      <c r="R73" s="703"/>
    </row>
    <row r="74" spans="1:18" x14ac:dyDescent="0.2">
      <c r="A74" s="244"/>
      <c r="B74" s="244"/>
      <c r="C74" s="244"/>
      <c r="D74" s="244"/>
      <c r="E74" s="244"/>
      <c r="F74" s="244"/>
      <c r="G74" s="244"/>
      <c r="H74" s="244"/>
      <c r="I74" s="244"/>
      <c r="J74" s="244"/>
      <c r="K74" s="244"/>
      <c r="L74" s="244"/>
      <c r="M74" s="244"/>
      <c r="N74" s="244"/>
      <c r="O74" s="244"/>
      <c r="P74" s="244"/>
      <c r="Q74" s="244"/>
      <c r="R74" s="703"/>
    </row>
    <row r="75" spans="1:18" x14ac:dyDescent="0.2">
      <c r="A75" s="244"/>
      <c r="B75" s="244"/>
      <c r="C75" s="244"/>
      <c r="D75" s="244"/>
      <c r="E75" s="244"/>
      <c r="F75" s="244"/>
      <c r="G75" s="244"/>
      <c r="H75" s="244"/>
      <c r="I75" s="244"/>
      <c r="J75" s="244"/>
      <c r="K75" s="244"/>
      <c r="L75" s="244"/>
      <c r="M75" s="244"/>
      <c r="N75" s="244"/>
      <c r="O75" s="244"/>
      <c r="P75" s="244"/>
      <c r="Q75" s="244"/>
      <c r="R75" s="703"/>
    </row>
    <row r="76" spans="1:18" ht="15.75" x14ac:dyDescent="0.25">
      <c r="A76" s="244"/>
      <c r="B76" s="244"/>
      <c r="C76" s="244"/>
      <c r="D76" s="244"/>
      <c r="E76" s="244"/>
      <c r="F76" s="244"/>
      <c r="G76" s="244"/>
      <c r="H76" s="244"/>
      <c r="I76" s="244"/>
      <c r="J76" s="244"/>
      <c r="K76" s="244"/>
      <c r="L76" s="244"/>
      <c r="M76" s="244"/>
      <c r="N76" s="244"/>
      <c r="O76" s="244"/>
      <c r="P76" s="244"/>
      <c r="Q76" s="244"/>
      <c r="R76" s="704"/>
    </row>
    <row r="77" spans="1:18" x14ac:dyDescent="0.2">
      <c r="A77" s="244"/>
      <c r="B77" s="244"/>
      <c r="C77" s="244"/>
      <c r="D77" s="244"/>
      <c r="E77" s="244"/>
      <c r="F77" s="244"/>
      <c r="G77" s="244"/>
      <c r="H77" s="244"/>
      <c r="I77" s="244"/>
      <c r="J77" s="244"/>
      <c r="K77" s="244"/>
      <c r="L77" s="244"/>
      <c r="M77" s="244"/>
      <c r="N77" s="244"/>
      <c r="O77" s="244"/>
      <c r="P77" s="244"/>
      <c r="Q77" s="244"/>
      <c r="R77" s="703"/>
    </row>
    <row r="78" spans="1:18" x14ac:dyDescent="0.2">
      <c r="A78" s="244"/>
      <c r="B78" s="244"/>
      <c r="C78" s="244"/>
      <c r="D78" s="244"/>
      <c r="E78" s="244"/>
      <c r="F78" s="244"/>
      <c r="G78" s="244"/>
      <c r="H78" s="244"/>
      <c r="I78" s="244"/>
      <c r="J78" s="244"/>
      <c r="K78" s="244"/>
      <c r="L78" s="244"/>
      <c r="M78" s="244"/>
      <c r="N78" s="244"/>
      <c r="O78" s="244"/>
      <c r="P78" s="244"/>
      <c r="Q78" s="244"/>
      <c r="R78" s="703"/>
    </row>
    <row r="79" spans="1:18" x14ac:dyDescent="0.2">
      <c r="A79" s="244"/>
      <c r="B79" s="244"/>
      <c r="C79" s="244"/>
      <c r="D79" s="244"/>
      <c r="E79" s="244"/>
      <c r="F79" s="244"/>
      <c r="G79" s="244"/>
      <c r="H79" s="244"/>
      <c r="I79" s="244"/>
      <c r="J79" s="244"/>
      <c r="K79" s="244"/>
      <c r="L79" s="244"/>
      <c r="M79" s="244"/>
      <c r="N79" s="244"/>
      <c r="O79" s="244"/>
      <c r="P79" s="244"/>
      <c r="Q79" s="244"/>
      <c r="R79" s="703"/>
    </row>
    <row r="80" spans="1:18" x14ac:dyDescent="0.2">
      <c r="A80" s="244"/>
      <c r="B80" s="244"/>
      <c r="C80" s="244"/>
      <c r="D80" s="244"/>
      <c r="E80" s="244"/>
      <c r="F80" s="244"/>
      <c r="G80" s="244"/>
      <c r="H80" s="244"/>
      <c r="I80" s="244"/>
      <c r="J80" s="244"/>
      <c r="K80" s="244"/>
      <c r="L80" s="244"/>
      <c r="M80" s="244"/>
      <c r="N80" s="244"/>
      <c r="O80" s="244"/>
      <c r="P80" s="244"/>
      <c r="Q80" s="244"/>
      <c r="R80" s="703"/>
    </row>
    <row r="81" spans="1:18" x14ac:dyDescent="0.2">
      <c r="A81" s="244"/>
      <c r="B81" s="244"/>
      <c r="C81" s="244"/>
      <c r="D81" s="244"/>
      <c r="E81" s="244"/>
      <c r="F81" s="244"/>
      <c r="G81" s="244"/>
      <c r="H81" s="244"/>
      <c r="I81" s="244"/>
      <c r="J81" s="244"/>
      <c r="K81" s="244"/>
      <c r="L81" s="244"/>
      <c r="M81" s="244"/>
      <c r="N81" s="244"/>
      <c r="O81" s="244"/>
      <c r="P81" s="244"/>
      <c r="Q81" s="244"/>
      <c r="R81" s="703"/>
    </row>
    <row r="82" spans="1:18" x14ac:dyDescent="0.2">
      <c r="R82" s="703"/>
    </row>
    <row r="83" spans="1:18" x14ac:dyDescent="0.2">
      <c r="R83" s="703"/>
    </row>
    <row r="84" spans="1:18" x14ac:dyDescent="0.2">
      <c r="R84" s="703"/>
    </row>
    <row r="85" spans="1:18" x14ac:dyDescent="0.2">
      <c r="R85" s="703"/>
    </row>
    <row r="86" spans="1:18" x14ac:dyDescent="0.2">
      <c r="R86" s="703"/>
    </row>
    <row r="87" spans="1:18" x14ac:dyDescent="0.2">
      <c r="R87" s="703"/>
    </row>
    <row r="88" spans="1:18" x14ac:dyDescent="0.2">
      <c r="R88" s="703"/>
    </row>
    <row r="89" spans="1:18" x14ac:dyDescent="0.2">
      <c r="R89" s="703"/>
    </row>
    <row r="90" spans="1:18" x14ac:dyDescent="0.2">
      <c r="R90" s="703"/>
    </row>
    <row r="91" spans="1:18" x14ac:dyDescent="0.2">
      <c r="R91" s="703"/>
    </row>
    <row r="92" spans="1:18" x14ac:dyDescent="0.2">
      <c r="R92" s="703"/>
    </row>
    <row r="93" spans="1:18" x14ac:dyDescent="0.2">
      <c r="R93" s="703"/>
    </row>
    <row r="94" spans="1:18" x14ac:dyDescent="0.2">
      <c r="R94" s="703"/>
    </row>
    <row r="95" spans="1:18" x14ac:dyDescent="0.2">
      <c r="R95" s="703"/>
    </row>
    <row r="96" spans="1:18" x14ac:dyDescent="0.2">
      <c r="R96" s="703"/>
    </row>
    <row r="97" spans="18:18" x14ac:dyDescent="0.2">
      <c r="R97" s="703"/>
    </row>
    <row r="98" spans="18:18" x14ac:dyDescent="0.2">
      <c r="R98" s="703"/>
    </row>
    <row r="99" spans="18:18" x14ac:dyDescent="0.2">
      <c r="R99" s="703"/>
    </row>
    <row r="100" spans="18:18" x14ac:dyDescent="0.2">
      <c r="R100" s="703"/>
    </row>
    <row r="101" spans="18:18" x14ac:dyDescent="0.2">
      <c r="R101" s="703"/>
    </row>
    <row r="102" spans="18:18" x14ac:dyDescent="0.2">
      <c r="R102" s="703"/>
    </row>
    <row r="103" spans="18:18" x14ac:dyDescent="0.2">
      <c r="R103" s="703"/>
    </row>
    <row r="104" spans="18:18" x14ac:dyDescent="0.2">
      <c r="R104" s="703"/>
    </row>
    <row r="105" spans="18:18" x14ac:dyDescent="0.2">
      <c r="R105" s="703"/>
    </row>
    <row r="106" spans="18:18" x14ac:dyDescent="0.2">
      <c r="R106" s="703"/>
    </row>
    <row r="107" spans="18:18" x14ac:dyDescent="0.2">
      <c r="R107" s="703"/>
    </row>
    <row r="108" spans="18:18" x14ac:dyDescent="0.2">
      <c r="R108" s="702"/>
    </row>
    <row r="109" spans="18:18" x14ac:dyDescent="0.2">
      <c r="R109" s="702"/>
    </row>
    <row r="110" spans="18:18" x14ac:dyDescent="0.2">
      <c r="R110" s="702"/>
    </row>
    <row r="111" spans="18:18" x14ac:dyDescent="0.2">
      <c r="R111" s="702"/>
    </row>
    <row r="112" spans="18:18" x14ac:dyDescent="0.2">
      <c r="R112" s="702"/>
    </row>
    <row r="113" spans="18:18" x14ac:dyDescent="0.2">
      <c r="R113" s="702"/>
    </row>
    <row r="114" spans="18:18" x14ac:dyDescent="0.2">
      <c r="R114" s="702"/>
    </row>
    <row r="115" spans="18:18" x14ac:dyDescent="0.2">
      <c r="R115" s="702"/>
    </row>
    <row r="116" spans="18:18" x14ac:dyDescent="0.2">
      <c r="R116" s="702"/>
    </row>
    <row r="117" spans="18:18" x14ac:dyDescent="0.2">
      <c r="R117" s="702"/>
    </row>
    <row r="118" spans="18:18" x14ac:dyDescent="0.2">
      <c r="R118" s="702"/>
    </row>
    <row r="119" spans="18:18" x14ac:dyDescent="0.2">
      <c r="R119" s="702"/>
    </row>
    <row r="120" spans="18:18" x14ac:dyDescent="0.2">
      <c r="R120" s="702"/>
    </row>
    <row r="121" spans="18:18" x14ac:dyDescent="0.2">
      <c r="R121" s="702"/>
    </row>
    <row r="122" spans="18:18" x14ac:dyDescent="0.2">
      <c r="R122" s="702"/>
    </row>
    <row r="123" spans="18:18" x14ac:dyDescent="0.2">
      <c r="R123" s="702"/>
    </row>
    <row r="124" spans="18:18" x14ac:dyDescent="0.2">
      <c r="R124" s="702"/>
    </row>
    <row r="125" spans="18:18" x14ac:dyDescent="0.2">
      <c r="R125" s="702"/>
    </row>
    <row r="126" spans="18:18" x14ac:dyDescent="0.2">
      <c r="R126" s="702"/>
    </row>
    <row r="127" spans="18:18" x14ac:dyDescent="0.2">
      <c r="R127" s="702"/>
    </row>
    <row r="128" spans="18:18" x14ac:dyDescent="0.2">
      <c r="R128" s="702"/>
    </row>
    <row r="129" spans="18:18" x14ac:dyDescent="0.2">
      <c r="R129" s="702"/>
    </row>
    <row r="130" spans="18:18" x14ac:dyDescent="0.2">
      <c r="R130" s="702"/>
    </row>
    <row r="131" spans="18:18" x14ac:dyDescent="0.2">
      <c r="R131" s="702"/>
    </row>
    <row r="132" spans="18:18" x14ac:dyDescent="0.2">
      <c r="R132" s="702"/>
    </row>
    <row r="133" spans="18:18" x14ac:dyDescent="0.2">
      <c r="R133" s="702"/>
    </row>
    <row r="134" spans="18:18" x14ac:dyDescent="0.2">
      <c r="R134" s="702"/>
    </row>
    <row r="135" spans="18:18" x14ac:dyDescent="0.2">
      <c r="R135" s="702"/>
    </row>
    <row r="136" spans="18:18" x14ac:dyDescent="0.2">
      <c r="R136" s="702"/>
    </row>
    <row r="137" spans="18:18" x14ac:dyDescent="0.2">
      <c r="R137" s="702"/>
    </row>
    <row r="138" spans="18:18" x14ac:dyDescent="0.2">
      <c r="R138" s="702"/>
    </row>
    <row r="139" spans="18:18" x14ac:dyDescent="0.2">
      <c r="R139" s="702"/>
    </row>
    <row r="140" spans="18:18" x14ac:dyDescent="0.2">
      <c r="R140" s="702"/>
    </row>
    <row r="141" spans="18:18" x14ac:dyDescent="0.2">
      <c r="R141" s="702"/>
    </row>
    <row r="142" spans="18:18" x14ac:dyDescent="0.2">
      <c r="R142" s="702"/>
    </row>
    <row r="143" spans="18:18" x14ac:dyDescent="0.2">
      <c r="R143" s="702"/>
    </row>
    <row r="144" spans="18:18" x14ac:dyDescent="0.2">
      <c r="R144" s="702"/>
    </row>
    <row r="145" spans="18:18" x14ac:dyDescent="0.2">
      <c r="R145" s="702"/>
    </row>
    <row r="146" spans="18:18" x14ac:dyDescent="0.2">
      <c r="R146" s="702"/>
    </row>
    <row r="147" spans="18:18" x14ac:dyDescent="0.2">
      <c r="R147" s="702"/>
    </row>
    <row r="148" spans="18:18" x14ac:dyDescent="0.2">
      <c r="R148" s="702"/>
    </row>
    <row r="149" spans="18:18" x14ac:dyDescent="0.2">
      <c r="R149" s="702"/>
    </row>
    <row r="150" spans="18:18" x14ac:dyDescent="0.2">
      <c r="R150" s="702"/>
    </row>
    <row r="151" spans="18:18" x14ac:dyDescent="0.2">
      <c r="R151" s="702"/>
    </row>
    <row r="152" spans="18:18" x14ac:dyDescent="0.2">
      <c r="R152" s="702"/>
    </row>
    <row r="153" spans="18:18" x14ac:dyDescent="0.2">
      <c r="R153" s="702"/>
    </row>
    <row r="154" spans="18:18" x14ac:dyDescent="0.2">
      <c r="R154" s="702"/>
    </row>
    <row r="155" spans="18:18" x14ac:dyDescent="0.2">
      <c r="R155" s="702"/>
    </row>
    <row r="156" spans="18:18" x14ac:dyDescent="0.2">
      <c r="R156" s="702"/>
    </row>
    <row r="157" spans="18:18" x14ac:dyDescent="0.2">
      <c r="R157" s="702"/>
    </row>
    <row r="158" spans="18:18" x14ac:dyDescent="0.2">
      <c r="R158" s="702"/>
    </row>
    <row r="159" spans="18:18" x14ac:dyDescent="0.2">
      <c r="R159" s="702"/>
    </row>
    <row r="160" spans="18:18" x14ac:dyDescent="0.2">
      <c r="R160" s="702"/>
    </row>
    <row r="161" spans="18:18" x14ac:dyDescent="0.2">
      <c r="R161" s="702"/>
    </row>
    <row r="162" spans="18:18" x14ac:dyDescent="0.2">
      <c r="R162" s="702"/>
    </row>
    <row r="163" spans="18:18" x14ac:dyDescent="0.2">
      <c r="R163" s="702"/>
    </row>
    <row r="164" spans="18:18" x14ac:dyDescent="0.2">
      <c r="R164" s="702"/>
    </row>
    <row r="165" spans="18:18" x14ac:dyDescent="0.2">
      <c r="R165" s="702"/>
    </row>
    <row r="166" spans="18:18" x14ac:dyDescent="0.2">
      <c r="R166" s="702"/>
    </row>
    <row r="167" spans="18:18" x14ac:dyDescent="0.2">
      <c r="R167" s="702"/>
    </row>
    <row r="168" spans="18:18" x14ac:dyDescent="0.2">
      <c r="R168" s="702"/>
    </row>
    <row r="169" spans="18:18" x14ac:dyDescent="0.2">
      <c r="R169" s="702"/>
    </row>
    <row r="170" spans="18:18" x14ac:dyDescent="0.2">
      <c r="R170" s="702"/>
    </row>
    <row r="171" spans="18:18" x14ac:dyDescent="0.2">
      <c r="R171" s="702"/>
    </row>
    <row r="172" spans="18:18" x14ac:dyDescent="0.2">
      <c r="R172" s="702"/>
    </row>
    <row r="173" spans="18:18" x14ac:dyDescent="0.2">
      <c r="R173" s="702"/>
    </row>
    <row r="174" spans="18:18" x14ac:dyDescent="0.2">
      <c r="R174" s="702"/>
    </row>
    <row r="175" spans="18:18" x14ac:dyDescent="0.2">
      <c r="R175" s="702"/>
    </row>
    <row r="176" spans="18:18" x14ac:dyDescent="0.2">
      <c r="R176" s="702"/>
    </row>
    <row r="177" spans="18:18" x14ac:dyDescent="0.2">
      <c r="R177" s="702"/>
    </row>
    <row r="178" spans="18:18" x14ac:dyDescent="0.2">
      <c r="R178" s="702"/>
    </row>
    <row r="179" spans="18:18" x14ac:dyDescent="0.2">
      <c r="R179" s="702"/>
    </row>
    <row r="180" spans="18:18" x14ac:dyDescent="0.2">
      <c r="R180" s="702"/>
    </row>
    <row r="181" spans="18:18" x14ac:dyDescent="0.2">
      <c r="R181" s="702"/>
    </row>
    <row r="182" spans="18:18" x14ac:dyDescent="0.2">
      <c r="R182" s="702"/>
    </row>
    <row r="183" spans="18:18" x14ac:dyDescent="0.2">
      <c r="R183" s="702"/>
    </row>
    <row r="184" spans="18:18" x14ac:dyDescent="0.2">
      <c r="R184" s="702"/>
    </row>
    <row r="185" spans="18:18" x14ac:dyDescent="0.2">
      <c r="R185" s="702"/>
    </row>
    <row r="186" spans="18:18" x14ac:dyDescent="0.2">
      <c r="R186" s="702"/>
    </row>
    <row r="187" spans="18:18" x14ac:dyDescent="0.2">
      <c r="R187" s="702"/>
    </row>
    <row r="188" spans="18:18" x14ac:dyDescent="0.2">
      <c r="R188" s="702"/>
    </row>
    <row r="189" spans="18:18" x14ac:dyDescent="0.2">
      <c r="R189" s="702"/>
    </row>
    <row r="190" spans="18:18" x14ac:dyDescent="0.2">
      <c r="R190" s="702"/>
    </row>
    <row r="191" spans="18:18" x14ac:dyDescent="0.2">
      <c r="R191" s="702"/>
    </row>
    <row r="192" spans="18:18" x14ac:dyDescent="0.2">
      <c r="R192" s="702"/>
    </row>
    <row r="193" spans="18:18" x14ac:dyDescent="0.2">
      <c r="R193" s="702"/>
    </row>
    <row r="194" spans="18:18" x14ac:dyDescent="0.2">
      <c r="R194" s="702"/>
    </row>
    <row r="195" spans="18:18" x14ac:dyDescent="0.2">
      <c r="R195" s="702"/>
    </row>
    <row r="196" spans="18:18" x14ac:dyDescent="0.2">
      <c r="R196" s="702"/>
    </row>
    <row r="197" spans="18:18" x14ac:dyDescent="0.2">
      <c r="R197" s="702"/>
    </row>
    <row r="198" spans="18:18" x14ac:dyDescent="0.2">
      <c r="R198" s="702"/>
    </row>
    <row r="199" spans="18:18" x14ac:dyDescent="0.2">
      <c r="R199" s="702"/>
    </row>
    <row r="200" spans="18:18" x14ac:dyDescent="0.2">
      <c r="R200" s="702"/>
    </row>
    <row r="201" spans="18:18" x14ac:dyDescent="0.2">
      <c r="R201" s="702"/>
    </row>
    <row r="202" spans="18:18" x14ac:dyDescent="0.2">
      <c r="R202" s="702"/>
    </row>
    <row r="203" spans="18:18" x14ac:dyDescent="0.2">
      <c r="R203" s="702"/>
    </row>
    <row r="204" spans="18:18" x14ac:dyDescent="0.2">
      <c r="R204" s="702"/>
    </row>
    <row r="205" spans="18:18" x14ac:dyDescent="0.2">
      <c r="R205" s="702"/>
    </row>
    <row r="206" spans="18:18" x14ac:dyDescent="0.2">
      <c r="R206" s="702"/>
    </row>
    <row r="207" spans="18:18" x14ac:dyDescent="0.2">
      <c r="R207" s="702"/>
    </row>
    <row r="208" spans="18:18" x14ac:dyDescent="0.2">
      <c r="R208" s="702"/>
    </row>
    <row r="209" spans="18:18" x14ac:dyDescent="0.2">
      <c r="R209" s="702"/>
    </row>
    <row r="210" spans="18:18" x14ac:dyDescent="0.2">
      <c r="R210" s="702"/>
    </row>
    <row r="211" spans="18:18" x14ac:dyDescent="0.2">
      <c r="R211" s="702"/>
    </row>
    <row r="212" spans="18:18" x14ac:dyDescent="0.2">
      <c r="R212" s="702"/>
    </row>
    <row r="213" spans="18:18" x14ac:dyDescent="0.2">
      <c r="R213" s="702"/>
    </row>
    <row r="214" spans="18:18" x14ac:dyDescent="0.2">
      <c r="R214" s="702"/>
    </row>
    <row r="215" spans="18:18" x14ac:dyDescent="0.2">
      <c r="R215" s="702"/>
    </row>
    <row r="216" spans="18:18" x14ac:dyDescent="0.2">
      <c r="R216" s="702"/>
    </row>
    <row r="217" spans="18:18" x14ac:dyDescent="0.2">
      <c r="R217" s="702"/>
    </row>
    <row r="218" spans="18:18" x14ac:dyDescent="0.2">
      <c r="R218" s="702"/>
    </row>
    <row r="219" spans="18:18" x14ac:dyDescent="0.2">
      <c r="R219" s="702"/>
    </row>
    <row r="220" spans="18:18" x14ac:dyDescent="0.2">
      <c r="R220" s="702"/>
    </row>
    <row r="221" spans="18:18" x14ac:dyDescent="0.2">
      <c r="R221" s="702"/>
    </row>
    <row r="222" spans="18:18" x14ac:dyDescent="0.2">
      <c r="R222" s="702"/>
    </row>
    <row r="223" spans="18:18" x14ac:dyDescent="0.2">
      <c r="R223" s="702"/>
    </row>
    <row r="224" spans="18:18" x14ac:dyDescent="0.2">
      <c r="R224" s="702"/>
    </row>
    <row r="225" spans="18:18" x14ac:dyDescent="0.2">
      <c r="R225" s="702"/>
    </row>
    <row r="226" spans="18:18" x14ac:dyDescent="0.2">
      <c r="R226" s="702"/>
    </row>
    <row r="227" spans="18:18" x14ac:dyDescent="0.2">
      <c r="R227" s="702"/>
    </row>
    <row r="228" spans="18:18" x14ac:dyDescent="0.2">
      <c r="R228" s="702"/>
    </row>
    <row r="229" spans="18:18" x14ac:dyDescent="0.2">
      <c r="R229" s="702"/>
    </row>
    <row r="230" spans="18:18" x14ac:dyDescent="0.2">
      <c r="R230" s="702"/>
    </row>
    <row r="231" spans="18:18" x14ac:dyDescent="0.2">
      <c r="R231" s="702"/>
    </row>
    <row r="232" spans="18:18" x14ac:dyDescent="0.2">
      <c r="R232" s="702"/>
    </row>
    <row r="233" spans="18:18" x14ac:dyDescent="0.2">
      <c r="R233" s="702"/>
    </row>
    <row r="234" spans="18:18" x14ac:dyDescent="0.2">
      <c r="R234" s="702"/>
    </row>
    <row r="235" spans="18:18" x14ac:dyDescent="0.2">
      <c r="R235" s="702"/>
    </row>
    <row r="236" spans="18:18" x14ac:dyDescent="0.2">
      <c r="R236" s="702"/>
    </row>
    <row r="237" spans="18:18" x14ac:dyDescent="0.2">
      <c r="R237" s="702"/>
    </row>
    <row r="238" spans="18:18" x14ac:dyDescent="0.2">
      <c r="R238" s="702"/>
    </row>
    <row r="239" spans="18:18" x14ac:dyDescent="0.2">
      <c r="R239" s="702"/>
    </row>
    <row r="240" spans="18:18" x14ac:dyDescent="0.2">
      <c r="R240" s="702"/>
    </row>
    <row r="241" spans="18:18" x14ac:dyDescent="0.2">
      <c r="R241" s="702"/>
    </row>
    <row r="242" spans="18:18" x14ac:dyDescent="0.2">
      <c r="R242" s="702"/>
    </row>
    <row r="243" spans="18:18" x14ac:dyDescent="0.2">
      <c r="R243" s="702"/>
    </row>
    <row r="244" spans="18:18" x14ac:dyDescent="0.2">
      <c r="R244" s="702"/>
    </row>
    <row r="245" spans="18:18" x14ac:dyDescent="0.2">
      <c r="R245" s="702"/>
    </row>
    <row r="246" spans="18:18" x14ac:dyDescent="0.2">
      <c r="R246" s="702"/>
    </row>
    <row r="247" spans="18:18" x14ac:dyDescent="0.2">
      <c r="R247" s="702"/>
    </row>
    <row r="248" spans="18:18" x14ac:dyDescent="0.2">
      <c r="R248" s="702"/>
    </row>
    <row r="249" spans="18:18" x14ac:dyDescent="0.2">
      <c r="R249" s="702"/>
    </row>
    <row r="250" spans="18:18" x14ac:dyDescent="0.2">
      <c r="R250" s="702"/>
    </row>
    <row r="251" spans="18:18" x14ac:dyDescent="0.2">
      <c r="R251" s="702"/>
    </row>
    <row r="252" spans="18:18" x14ac:dyDescent="0.2">
      <c r="R252" s="702"/>
    </row>
    <row r="253" spans="18:18" x14ac:dyDescent="0.2">
      <c r="R253" s="702"/>
    </row>
    <row r="254" spans="18:18" x14ac:dyDescent="0.2">
      <c r="R254" s="702"/>
    </row>
    <row r="255" spans="18:18" x14ac:dyDescent="0.2">
      <c r="R255" s="702"/>
    </row>
    <row r="256" spans="18:18" x14ac:dyDescent="0.2">
      <c r="R256" s="702"/>
    </row>
    <row r="257" spans="18:18" x14ac:dyDescent="0.2">
      <c r="R257" s="702"/>
    </row>
    <row r="258" spans="18:18" x14ac:dyDescent="0.2">
      <c r="R258" s="702"/>
    </row>
    <row r="259" spans="18:18" x14ac:dyDescent="0.2">
      <c r="R259" s="702"/>
    </row>
    <row r="260" spans="18:18" x14ac:dyDescent="0.2">
      <c r="R260" s="702"/>
    </row>
    <row r="261" spans="18:18" x14ac:dyDescent="0.2">
      <c r="R261" s="702"/>
    </row>
    <row r="262" spans="18:18" x14ac:dyDescent="0.2">
      <c r="R262" s="702"/>
    </row>
    <row r="263" spans="18:18" x14ac:dyDescent="0.2">
      <c r="R263" s="702"/>
    </row>
    <row r="264" spans="18:18" x14ac:dyDescent="0.2">
      <c r="R264" s="702"/>
    </row>
    <row r="265" spans="18:18" x14ac:dyDescent="0.2">
      <c r="R265" s="702"/>
    </row>
    <row r="266" spans="18:18" x14ac:dyDescent="0.2">
      <c r="R266" s="702"/>
    </row>
    <row r="267" spans="18:18" x14ac:dyDescent="0.2">
      <c r="R267" s="702"/>
    </row>
    <row r="268" spans="18:18" x14ac:dyDescent="0.2">
      <c r="R268" s="702"/>
    </row>
    <row r="269" spans="18:18" x14ac:dyDescent="0.2">
      <c r="R269" s="702"/>
    </row>
    <row r="270" spans="18:18" x14ac:dyDescent="0.2">
      <c r="R270" s="702"/>
    </row>
    <row r="271" spans="18:18" x14ac:dyDescent="0.2">
      <c r="R271" s="702"/>
    </row>
    <row r="272" spans="18:18" x14ac:dyDescent="0.2">
      <c r="R272" s="702"/>
    </row>
    <row r="273" spans="18:18" x14ac:dyDescent="0.2">
      <c r="R273" s="702"/>
    </row>
    <row r="274" spans="18:18" x14ac:dyDescent="0.2">
      <c r="R274" s="702"/>
    </row>
    <row r="275" spans="18:18" x14ac:dyDescent="0.2">
      <c r="R275" s="702"/>
    </row>
    <row r="276" spans="18:18" x14ac:dyDescent="0.2">
      <c r="R276" s="702"/>
    </row>
    <row r="277" spans="18:18" x14ac:dyDescent="0.2">
      <c r="R277" s="702"/>
    </row>
    <row r="278" spans="18:18" x14ac:dyDescent="0.2">
      <c r="R278" s="702"/>
    </row>
    <row r="279" spans="18:18" x14ac:dyDescent="0.2">
      <c r="R279" s="702"/>
    </row>
    <row r="280" spans="18:18" x14ac:dyDescent="0.2">
      <c r="R280" s="702"/>
    </row>
    <row r="281" spans="18:18" x14ac:dyDescent="0.2">
      <c r="R281" s="702"/>
    </row>
    <row r="282" spans="18:18" x14ac:dyDescent="0.2">
      <c r="R282" s="702"/>
    </row>
    <row r="283" spans="18:18" x14ac:dyDescent="0.2">
      <c r="R283" s="702"/>
    </row>
    <row r="284" spans="18:18" x14ac:dyDescent="0.2">
      <c r="R284" s="702"/>
    </row>
    <row r="285" spans="18:18" x14ac:dyDescent="0.2">
      <c r="R285" s="702"/>
    </row>
    <row r="286" spans="18:18" x14ac:dyDescent="0.2">
      <c r="R286" s="702"/>
    </row>
    <row r="287" spans="18:18" x14ac:dyDescent="0.2">
      <c r="R287" s="702"/>
    </row>
    <row r="288" spans="18:18" x14ac:dyDescent="0.2">
      <c r="R288" s="702"/>
    </row>
    <row r="289" spans="18:18" x14ac:dyDescent="0.2">
      <c r="R289" s="702"/>
    </row>
    <row r="290" spans="18:18" x14ac:dyDescent="0.2">
      <c r="R290" s="702"/>
    </row>
    <row r="291" spans="18:18" x14ac:dyDescent="0.2">
      <c r="R291" s="702"/>
    </row>
    <row r="292" spans="18:18" x14ac:dyDescent="0.2">
      <c r="R292" s="702"/>
    </row>
    <row r="293" spans="18:18" x14ac:dyDescent="0.2">
      <c r="R293" s="702"/>
    </row>
    <row r="294" spans="18:18" x14ac:dyDescent="0.2">
      <c r="R294" s="702"/>
    </row>
    <row r="295" spans="18:18" x14ac:dyDescent="0.2">
      <c r="R295" s="702"/>
    </row>
    <row r="296" spans="18:18" x14ac:dyDescent="0.2">
      <c r="R296" s="702"/>
    </row>
    <row r="297" spans="18:18" x14ac:dyDescent="0.2">
      <c r="R297" s="702"/>
    </row>
    <row r="298" spans="18:18" x14ac:dyDescent="0.2">
      <c r="R298" s="702"/>
    </row>
    <row r="299" spans="18:18" x14ac:dyDescent="0.2">
      <c r="R299" s="702"/>
    </row>
    <row r="300" spans="18:18" x14ac:dyDescent="0.2">
      <c r="R300" s="702"/>
    </row>
    <row r="301" spans="18:18" x14ac:dyDescent="0.2">
      <c r="R301" s="702"/>
    </row>
    <row r="302" spans="18:18" x14ac:dyDescent="0.2">
      <c r="R302" s="702"/>
    </row>
    <row r="303" spans="18:18" x14ac:dyDescent="0.2">
      <c r="R303" s="702"/>
    </row>
    <row r="304" spans="18:18" x14ac:dyDescent="0.2">
      <c r="R304" s="702"/>
    </row>
    <row r="305" spans="18:18" x14ac:dyDescent="0.2">
      <c r="R305" s="702"/>
    </row>
    <row r="306" spans="18:18" x14ac:dyDescent="0.2">
      <c r="R306" s="702"/>
    </row>
    <row r="307" spans="18:18" x14ac:dyDescent="0.2">
      <c r="R307" s="702"/>
    </row>
    <row r="308" spans="18:18" x14ac:dyDescent="0.2">
      <c r="R308" s="702"/>
    </row>
    <row r="309" spans="18:18" x14ac:dyDescent="0.2">
      <c r="R309" s="702"/>
    </row>
    <row r="310" spans="18:18" x14ac:dyDescent="0.2">
      <c r="R310" s="702"/>
    </row>
    <row r="311" spans="18:18" x14ac:dyDescent="0.2">
      <c r="R311" s="702"/>
    </row>
    <row r="312" spans="18:18" x14ac:dyDescent="0.2">
      <c r="R312" s="702"/>
    </row>
    <row r="313" spans="18:18" x14ac:dyDescent="0.2">
      <c r="R313" s="702"/>
    </row>
    <row r="314" spans="18:18" x14ac:dyDescent="0.2">
      <c r="R314" s="702"/>
    </row>
    <row r="315" spans="18:18" x14ac:dyDescent="0.2">
      <c r="R315" s="702"/>
    </row>
    <row r="316" spans="18:18" x14ac:dyDescent="0.2">
      <c r="R316" s="702"/>
    </row>
    <row r="317" spans="18:18" x14ac:dyDescent="0.2">
      <c r="R317" s="702"/>
    </row>
    <row r="318" spans="18:18" x14ac:dyDescent="0.2">
      <c r="R318" s="702"/>
    </row>
    <row r="319" spans="18:18" x14ac:dyDescent="0.2">
      <c r="R319" s="702"/>
    </row>
    <row r="320" spans="18:18" x14ac:dyDescent="0.2">
      <c r="R320" s="702"/>
    </row>
    <row r="321" spans="18:18" x14ac:dyDescent="0.2">
      <c r="R321" s="702"/>
    </row>
    <row r="322" spans="18:18" x14ac:dyDescent="0.2">
      <c r="R322" s="702"/>
    </row>
    <row r="323" spans="18:18" x14ac:dyDescent="0.2">
      <c r="R323" s="702"/>
    </row>
    <row r="324" spans="18:18" x14ac:dyDescent="0.2">
      <c r="R324" s="702"/>
    </row>
    <row r="325" spans="18:18" x14ac:dyDescent="0.2">
      <c r="R325" s="702"/>
    </row>
    <row r="326" spans="18:18" x14ac:dyDescent="0.2">
      <c r="R326" s="702"/>
    </row>
    <row r="327" spans="18:18" x14ac:dyDescent="0.2">
      <c r="R327" s="702"/>
    </row>
    <row r="328" spans="18:18" x14ac:dyDescent="0.2">
      <c r="R328" s="702"/>
    </row>
    <row r="329" spans="18:18" x14ac:dyDescent="0.2">
      <c r="R329" s="702"/>
    </row>
    <row r="330" spans="18:18" x14ac:dyDescent="0.2">
      <c r="R330" s="702"/>
    </row>
    <row r="331" spans="18:18" x14ac:dyDescent="0.2">
      <c r="R331" s="702"/>
    </row>
    <row r="332" spans="18:18" x14ac:dyDescent="0.2">
      <c r="R332" s="702"/>
    </row>
    <row r="333" spans="18:18" x14ac:dyDescent="0.2">
      <c r="R333" s="702"/>
    </row>
    <row r="334" spans="18:18" x14ac:dyDescent="0.2">
      <c r="R334" s="702"/>
    </row>
    <row r="335" spans="18:18" x14ac:dyDescent="0.2">
      <c r="R335" s="702"/>
    </row>
    <row r="336" spans="18:18" x14ac:dyDescent="0.2">
      <c r="R336" s="702"/>
    </row>
    <row r="337" spans="18:18" x14ac:dyDescent="0.2">
      <c r="R337" s="702"/>
    </row>
    <row r="338" spans="18:18" x14ac:dyDescent="0.2">
      <c r="R338" s="702"/>
    </row>
    <row r="339" spans="18:18" x14ac:dyDescent="0.2">
      <c r="R339" s="702"/>
    </row>
    <row r="340" spans="18:18" x14ac:dyDescent="0.2">
      <c r="R340" s="702"/>
    </row>
    <row r="341" spans="18:18" x14ac:dyDescent="0.2">
      <c r="R341" s="702"/>
    </row>
    <row r="342" spans="18:18" x14ac:dyDescent="0.2">
      <c r="R342" s="702"/>
    </row>
    <row r="343" spans="18:18" x14ac:dyDescent="0.2">
      <c r="R343" s="702"/>
    </row>
    <row r="344" spans="18:18" x14ac:dyDescent="0.2">
      <c r="R344" s="702"/>
    </row>
    <row r="345" spans="18:18" x14ac:dyDescent="0.2">
      <c r="R345" s="702"/>
    </row>
    <row r="346" spans="18:18" x14ac:dyDescent="0.2">
      <c r="R346" s="702"/>
    </row>
    <row r="347" spans="18:18" x14ac:dyDescent="0.2">
      <c r="R347" s="702"/>
    </row>
    <row r="348" spans="18:18" x14ac:dyDescent="0.2">
      <c r="R348" s="702"/>
    </row>
    <row r="349" spans="18:18" x14ac:dyDescent="0.2">
      <c r="R349" s="702"/>
    </row>
    <row r="350" spans="18:18" x14ac:dyDescent="0.2">
      <c r="R350" s="702"/>
    </row>
    <row r="351" spans="18:18" x14ac:dyDescent="0.2">
      <c r="R351" s="702"/>
    </row>
    <row r="352" spans="18:18" x14ac:dyDescent="0.2">
      <c r="R352" s="702"/>
    </row>
    <row r="353" spans="18:18" x14ac:dyDescent="0.2">
      <c r="R353" s="702"/>
    </row>
    <row r="354" spans="18:18" x14ac:dyDescent="0.2">
      <c r="R354" s="702"/>
    </row>
    <row r="355" spans="18:18" x14ac:dyDescent="0.2">
      <c r="R355" s="702"/>
    </row>
    <row r="356" spans="18:18" x14ac:dyDescent="0.2">
      <c r="R356" s="702"/>
    </row>
    <row r="357" spans="18:18" x14ac:dyDescent="0.2">
      <c r="R357" s="702"/>
    </row>
    <row r="358" spans="18:18" x14ac:dyDescent="0.2">
      <c r="R358" s="702"/>
    </row>
    <row r="359" spans="18:18" x14ac:dyDescent="0.2">
      <c r="R359" s="702"/>
    </row>
    <row r="360" spans="18:18" x14ac:dyDescent="0.2">
      <c r="R360" s="702"/>
    </row>
    <row r="361" spans="18:18" x14ac:dyDescent="0.2">
      <c r="R361" s="702"/>
    </row>
    <row r="362" spans="18:18" x14ac:dyDescent="0.2">
      <c r="R362" s="702"/>
    </row>
    <row r="363" spans="18:18" x14ac:dyDescent="0.2">
      <c r="R363" s="702"/>
    </row>
    <row r="364" spans="18:18" x14ac:dyDescent="0.2">
      <c r="R364" s="702"/>
    </row>
    <row r="365" spans="18:18" x14ac:dyDescent="0.2">
      <c r="R365" s="702"/>
    </row>
    <row r="366" spans="18:18" x14ac:dyDescent="0.2">
      <c r="R366" s="702"/>
    </row>
    <row r="367" spans="18:18" x14ac:dyDescent="0.2">
      <c r="R367" s="702"/>
    </row>
    <row r="368" spans="18:18" x14ac:dyDescent="0.2">
      <c r="R368" s="702"/>
    </row>
    <row r="369" spans="18:18" x14ac:dyDescent="0.2">
      <c r="R369" s="702"/>
    </row>
    <row r="370" spans="18:18" x14ac:dyDescent="0.2">
      <c r="R370" s="702"/>
    </row>
    <row r="371" spans="18:18" x14ac:dyDescent="0.2">
      <c r="R371" s="702"/>
    </row>
    <row r="372" spans="18:18" x14ac:dyDescent="0.2">
      <c r="R372" s="702"/>
    </row>
    <row r="373" spans="18:18" x14ac:dyDescent="0.2">
      <c r="R373" s="702"/>
    </row>
    <row r="374" spans="18:18" x14ac:dyDescent="0.2">
      <c r="R374" s="702"/>
    </row>
    <row r="375" spans="18:18" x14ac:dyDescent="0.2">
      <c r="R375" s="702"/>
    </row>
    <row r="376" spans="18:18" x14ac:dyDescent="0.2">
      <c r="R376" s="702"/>
    </row>
    <row r="377" spans="18:18" x14ac:dyDescent="0.2">
      <c r="R377" s="702"/>
    </row>
    <row r="378" spans="18:18" x14ac:dyDescent="0.2">
      <c r="R378" s="702"/>
    </row>
    <row r="379" spans="18:18" x14ac:dyDescent="0.2">
      <c r="R379" s="702"/>
    </row>
    <row r="380" spans="18:18" x14ac:dyDescent="0.2">
      <c r="R380" s="702"/>
    </row>
    <row r="381" spans="18:18" x14ac:dyDescent="0.2">
      <c r="R381" s="702"/>
    </row>
    <row r="382" spans="18:18" x14ac:dyDescent="0.2">
      <c r="R382" s="702"/>
    </row>
    <row r="383" spans="18:18" x14ac:dyDescent="0.2">
      <c r="R383" s="702"/>
    </row>
    <row r="384" spans="18:18" x14ac:dyDescent="0.2">
      <c r="R384" s="702"/>
    </row>
    <row r="385" spans="18:18" x14ac:dyDescent="0.2">
      <c r="R385" s="702"/>
    </row>
    <row r="386" spans="18:18" x14ac:dyDescent="0.2">
      <c r="R386" s="702"/>
    </row>
    <row r="387" spans="18:18" x14ac:dyDescent="0.2">
      <c r="R387" s="702"/>
    </row>
    <row r="388" spans="18:18" x14ac:dyDescent="0.2">
      <c r="R388" s="702"/>
    </row>
    <row r="389" spans="18:18" x14ac:dyDescent="0.2">
      <c r="R389" s="702"/>
    </row>
    <row r="390" spans="18:18" x14ac:dyDescent="0.2">
      <c r="R390" s="702"/>
    </row>
    <row r="391" spans="18:18" x14ac:dyDescent="0.2">
      <c r="R391" s="702"/>
    </row>
    <row r="392" spans="18:18" x14ac:dyDescent="0.2">
      <c r="R392" s="702"/>
    </row>
    <row r="393" spans="18:18" x14ac:dyDescent="0.2">
      <c r="R393" s="702"/>
    </row>
    <row r="394" spans="18:18" x14ac:dyDescent="0.2">
      <c r="R394" s="702"/>
    </row>
    <row r="395" spans="18:18" x14ac:dyDescent="0.2">
      <c r="R395" s="702"/>
    </row>
    <row r="396" spans="18:18" x14ac:dyDescent="0.2">
      <c r="R396" s="702"/>
    </row>
    <row r="397" spans="18:18" x14ac:dyDescent="0.2">
      <c r="R397" s="702"/>
    </row>
    <row r="398" spans="18:18" x14ac:dyDescent="0.2">
      <c r="R398" s="702"/>
    </row>
    <row r="399" spans="18:18" x14ac:dyDescent="0.2">
      <c r="R399" s="702"/>
    </row>
    <row r="400" spans="18:18" x14ac:dyDescent="0.2">
      <c r="R400" s="702"/>
    </row>
    <row r="401" spans="18:18" x14ac:dyDescent="0.2">
      <c r="R401" s="702"/>
    </row>
    <row r="402" spans="18:18" x14ac:dyDescent="0.2">
      <c r="R402" s="702"/>
    </row>
    <row r="403" spans="18:18" x14ac:dyDescent="0.2">
      <c r="R403" s="702"/>
    </row>
    <row r="404" spans="18:18" x14ac:dyDescent="0.2">
      <c r="R404" s="702"/>
    </row>
    <row r="405" spans="18:18" x14ac:dyDescent="0.2">
      <c r="R405" s="702"/>
    </row>
    <row r="406" spans="18:18" x14ac:dyDescent="0.2">
      <c r="R406" s="702"/>
    </row>
    <row r="407" spans="18:18" x14ac:dyDescent="0.2">
      <c r="R407" s="702"/>
    </row>
    <row r="408" spans="18:18" x14ac:dyDescent="0.2">
      <c r="R408" s="702"/>
    </row>
    <row r="409" spans="18:18" x14ac:dyDescent="0.2">
      <c r="R409" s="702"/>
    </row>
    <row r="410" spans="18:18" x14ac:dyDescent="0.2">
      <c r="R410" s="702"/>
    </row>
    <row r="411" spans="18:18" x14ac:dyDescent="0.2">
      <c r="R411" s="702"/>
    </row>
    <row r="412" spans="18:18" x14ac:dyDescent="0.2">
      <c r="R412" s="702"/>
    </row>
    <row r="413" spans="18:18" x14ac:dyDescent="0.2">
      <c r="R413" s="702"/>
    </row>
    <row r="414" spans="18:18" x14ac:dyDescent="0.2">
      <c r="R414" s="702"/>
    </row>
    <row r="415" spans="18:18" x14ac:dyDescent="0.2">
      <c r="R415" s="702"/>
    </row>
    <row r="416" spans="18:18" x14ac:dyDescent="0.2">
      <c r="R416" s="702"/>
    </row>
    <row r="417" spans="18:18" x14ac:dyDescent="0.2">
      <c r="R417" s="702"/>
    </row>
    <row r="418" spans="18:18" x14ac:dyDescent="0.2">
      <c r="R418" s="702"/>
    </row>
    <row r="419" spans="18:18" x14ac:dyDescent="0.2">
      <c r="R419" s="702"/>
    </row>
    <row r="420" spans="18:18" x14ac:dyDescent="0.2">
      <c r="R420" s="702"/>
    </row>
    <row r="421" spans="18:18" x14ac:dyDescent="0.2">
      <c r="R421" s="702"/>
    </row>
    <row r="422" spans="18:18" x14ac:dyDescent="0.2">
      <c r="R422" s="702"/>
    </row>
    <row r="423" spans="18:18" x14ac:dyDescent="0.2">
      <c r="R423" s="702"/>
    </row>
    <row r="424" spans="18:18" x14ac:dyDescent="0.2">
      <c r="R424" s="702"/>
    </row>
    <row r="425" spans="18:18" x14ac:dyDescent="0.2">
      <c r="R425" s="702"/>
    </row>
    <row r="426" spans="18:18" x14ac:dyDescent="0.2">
      <c r="R426" s="702"/>
    </row>
    <row r="427" spans="18:18" x14ac:dyDescent="0.2">
      <c r="R427" s="702"/>
    </row>
    <row r="428" spans="18:18" x14ac:dyDescent="0.2">
      <c r="R428" s="702"/>
    </row>
    <row r="429" spans="18:18" x14ac:dyDescent="0.2">
      <c r="R429" s="702"/>
    </row>
    <row r="430" spans="18:18" x14ac:dyDescent="0.2">
      <c r="R430" s="702"/>
    </row>
    <row r="431" spans="18:18" x14ac:dyDescent="0.2">
      <c r="R431" s="702"/>
    </row>
    <row r="432" spans="18:18" x14ac:dyDescent="0.2">
      <c r="R432" s="702"/>
    </row>
    <row r="433" spans="18:18" x14ac:dyDescent="0.2">
      <c r="R433" s="702"/>
    </row>
    <row r="434" spans="18:18" x14ac:dyDescent="0.2">
      <c r="R434" s="702"/>
    </row>
    <row r="435" spans="18:18" x14ac:dyDescent="0.2">
      <c r="R435" s="702"/>
    </row>
    <row r="436" spans="18:18" x14ac:dyDescent="0.2">
      <c r="R436" s="702"/>
    </row>
    <row r="437" spans="18:18" x14ac:dyDescent="0.2">
      <c r="R437" s="702"/>
    </row>
    <row r="438" spans="18:18" x14ac:dyDescent="0.2">
      <c r="R438" s="702"/>
    </row>
    <row r="439" spans="18:18" x14ac:dyDescent="0.2">
      <c r="R439" s="702"/>
    </row>
    <row r="440" spans="18:18" x14ac:dyDescent="0.2">
      <c r="R440" s="702"/>
    </row>
    <row r="441" spans="18:18" x14ac:dyDescent="0.2">
      <c r="R441" s="702"/>
    </row>
    <row r="442" spans="18:18" x14ac:dyDescent="0.2">
      <c r="R442" s="702"/>
    </row>
    <row r="443" spans="18:18" x14ac:dyDescent="0.2">
      <c r="R443" s="702"/>
    </row>
    <row r="444" spans="18:18" x14ac:dyDescent="0.2">
      <c r="R444" s="702"/>
    </row>
    <row r="445" spans="18:18" x14ac:dyDescent="0.2">
      <c r="R445" s="702"/>
    </row>
    <row r="446" spans="18:18" x14ac:dyDescent="0.2">
      <c r="R446" s="702"/>
    </row>
    <row r="447" spans="18:18" x14ac:dyDescent="0.2">
      <c r="R447" s="702"/>
    </row>
    <row r="448" spans="18:18" x14ac:dyDescent="0.2">
      <c r="R448" s="702"/>
    </row>
    <row r="449" spans="18:18" x14ac:dyDescent="0.2">
      <c r="R449" s="702"/>
    </row>
    <row r="450" spans="18:18" x14ac:dyDescent="0.2">
      <c r="R450" s="702"/>
    </row>
    <row r="451" spans="18:18" x14ac:dyDescent="0.2">
      <c r="R451" s="702"/>
    </row>
    <row r="452" spans="18:18" x14ac:dyDescent="0.2">
      <c r="R452" s="702"/>
    </row>
    <row r="453" spans="18:18" x14ac:dyDescent="0.2">
      <c r="R453" s="702"/>
    </row>
  </sheetData>
  <sheetProtection selectLockedCells="1"/>
  <mergeCells count="2">
    <mergeCell ref="A1:Q1"/>
    <mergeCell ref="O3:P3"/>
  </mergeCells>
  <conditionalFormatting sqref="A5:Q5 A19:Q81 Q6:Q18">
    <cfRule type="expression" dxfId="7" priority="14">
      <formula>MODE=2</formula>
    </cfRule>
  </conditionalFormatting>
  <hyperlinks>
    <hyperlink ref="O2" r:id="rId1" xr:uid="{00000000-0004-0000-0100-000000000000}"/>
    <hyperlink ref="C3" r:id="rId2" xr:uid="{00000000-0004-0000-0100-000001000000}"/>
  </hyperlinks>
  <pageMargins left="0.7" right="0.7" top="0.75" bottom="0.75" header="0.3" footer="0.3"/>
  <pageSetup orientation="portrait" r:id="rId3"/>
  <drawing r:id="rId4"/>
  <legacyDrawing r:id="rId5"/>
  <oleObjects>
    <mc:AlternateContent xmlns:mc="http://schemas.openxmlformats.org/markup-compatibility/2006">
      <mc:Choice Requires="x14">
        <oleObject progId="Visio.Drawing.11" shapeId="797704" r:id="rId6">
          <objectPr defaultSize="0" autoPict="0" r:id="rId7">
            <anchor moveWithCells="1" sizeWithCells="1">
              <from>
                <xdr:col>0</xdr:col>
                <xdr:colOff>533400</xdr:colOff>
                <xdr:row>18</xdr:row>
                <xdr:rowOff>38100</xdr:rowOff>
              </from>
              <to>
                <xdr:col>6</xdr:col>
                <xdr:colOff>342900</xdr:colOff>
                <xdr:row>35</xdr:row>
                <xdr:rowOff>95250</xdr:rowOff>
              </to>
            </anchor>
          </objectPr>
        </oleObject>
      </mc:Choice>
      <mc:Fallback>
        <oleObject progId="Visio.Drawing.11" shapeId="797704" r:id="rId6"/>
      </mc:Fallback>
    </mc:AlternateContent>
    <mc:AlternateContent xmlns:mc="http://schemas.openxmlformats.org/markup-compatibility/2006">
      <mc:Choice Requires="x14">
        <oleObject progId="Visio.Drawing.15" shapeId="797852" r:id="rId8">
          <objectPr defaultSize="0" autoPict="0" r:id="rId9">
            <anchor moveWithCells="1">
              <from>
                <xdr:col>8</xdr:col>
                <xdr:colOff>419100</xdr:colOff>
                <xdr:row>19</xdr:row>
                <xdr:rowOff>38100</xdr:rowOff>
              </from>
              <to>
                <xdr:col>14</xdr:col>
                <xdr:colOff>19050</xdr:colOff>
                <xdr:row>32</xdr:row>
                <xdr:rowOff>133350</xdr:rowOff>
              </to>
            </anchor>
          </objectPr>
        </oleObject>
      </mc:Choice>
      <mc:Fallback>
        <oleObject progId="Visio.Drawing.15" shapeId="797852" r:id="rId8"/>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2">
    <tabColor rgb="FF00B0F0"/>
  </sheetPr>
  <dimension ref="A1:R452"/>
  <sheetViews>
    <sheetView topLeftCell="C1" zoomScale="115" zoomScaleNormal="115" workbookViewId="0">
      <selection activeCell="G34" sqref="G34"/>
    </sheetView>
  </sheetViews>
  <sheetFormatPr defaultRowHeight="12.75" x14ac:dyDescent="0.2"/>
  <cols>
    <col min="4" max="4" width="4.28515625" customWidth="1"/>
    <col min="16" max="16" width="20.28515625" customWidth="1"/>
    <col min="17" max="17" width="71.5703125" customWidth="1"/>
    <col min="18" max="18" width="30.42578125" style="79" customWidth="1"/>
  </cols>
  <sheetData>
    <row r="1" spans="1:18" ht="40.5" x14ac:dyDescent="0.2">
      <c r="A1" s="796" t="s">
        <v>805</v>
      </c>
      <c r="B1" s="797"/>
      <c r="C1" s="797"/>
      <c r="D1" s="797"/>
      <c r="E1" s="797"/>
      <c r="F1" s="797"/>
      <c r="G1" s="797"/>
      <c r="H1" s="797"/>
      <c r="I1" s="797"/>
      <c r="J1" s="797"/>
      <c r="K1" s="797"/>
      <c r="L1" s="797"/>
      <c r="M1" s="797"/>
      <c r="N1" s="797"/>
      <c r="O1" s="797"/>
      <c r="P1" s="797"/>
      <c r="Q1" s="797"/>
      <c r="R1" s="484"/>
    </row>
    <row r="2" spans="1:18" ht="17.649999999999999" customHeight="1" x14ac:dyDescent="0.45">
      <c r="A2" s="487"/>
      <c r="B2" s="488"/>
      <c r="C2" s="488"/>
      <c r="D2" s="488"/>
      <c r="E2" s="488"/>
      <c r="F2" s="488"/>
      <c r="G2" s="488"/>
      <c r="H2" s="488"/>
      <c r="I2" s="488"/>
      <c r="J2" s="488"/>
      <c r="K2" s="488"/>
      <c r="L2" s="488"/>
      <c r="M2" s="488"/>
      <c r="N2" s="488"/>
      <c r="O2" s="502" t="s">
        <v>585</v>
      </c>
      <c r="P2" s="488"/>
      <c r="Q2" s="488"/>
      <c r="R2" s="484"/>
    </row>
    <row r="3" spans="1:18" ht="16.149999999999999" customHeight="1" x14ac:dyDescent="0.45">
      <c r="A3" s="489" t="s">
        <v>232</v>
      </c>
      <c r="B3" s="490"/>
      <c r="C3" s="501" t="s">
        <v>233</v>
      </c>
      <c r="D3" s="491"/>
      <c r="E3" s="119"/>
      <c r="F3" s="495" t="s">
        <v>145</v>
      </c>
      <c r="G3" s="496"/>
      <c r="H3" s="488"/>
      <c r="I3" s="488"/>
      <c r="J3" s="496"/>
      <c r="K3" s="497"/>
      <c r="L3" s="498"/>
      <c r="M3" s="484"/>
      <c r="N3" s="484"/>
      <c r="O3" s="786" t="s">
        <v>51</v>
      </c>
      <c r="P3" s="786"/>
      <c r="Q3" s="484" t="s">
        <v>165</v>
      </c>
      <c r="R3" s="484"/>
    </row>
    <row r="4" spans="1:18" ht="14.65" customHeight="1" thickBot="1" x14ac:dyDescent="0.35">
      <c r="A4" s="492"/>
      <c r="B4" s="493"/>
      <c r="C4" s="494"/>
      <c r="D4" s="494"/>
      <c r="E4" s="494"/>
      <c r="F4" s="494"/>
      <c r="G4" s="494"/>
      <c r="H4" s="494"/>
      <c r="I4" s="494"/>
      <c r="J4" s="494"/>
      <c r="K4" s="494"/>
      <c r="L4" s="494"/>
      <c r="M4" s="499"/>
      <c r="N4" s="499"/>
      <c r="O4" s="499"/>
      <c r="P4" s="499"/>
      <c r="Q4" s="500"/>
      <c r="R4" s="484"/>
    </row>
    <row r="5" spans="1:18" x14ac:dyDescent="0.2">
      <c r="A5" s="134"/>
      <c r="B5" s="134"/>
      <c r="C5" s="134"/>
      <c r="D5" s="134"/>
      <c r="E5" s="134"/>
      <c r="F5" s="134"/>
      <c r="G5" s="134"/>
      <c r="H5" s="134"/>
      <c r="I5" s="134"/>
      <c r="J5" s="134"/>
      <c r="K5" s="134"/>
      <c r="L5" s="134"/>
      <c r="M5" s="134"/>
      <c r="N5" s="134"/>
      <c r="O5" s="134"/>
      <c r="P5" s="134"/>
      <c r="Q5" s="134"/>
      <c r="R5" s="484"/>
    </row>
    <row r="6" spans="1:18" x14ac:dyDescent="0.2">
      <c r="A6" s="134"/>
      <c r="B6" s="134"/>
      <c r="C6" s="134"/>
      <c r="D6" s="134"/>
      <c r="E6" s="134"/>
      <c r="F6" s="134"/>
      <c r="G6" s="134"/>
      <c r="H6" s="134"/>
      <c r="I6" s="134"/>
      <c r="J6" s="134"/>
      <c r="K6" s="134"/>
      <c r="L6" s="134"/>
      <c r="M6" s="134"/>
      <c r="N6" s="134"/>
      <c r="O6" s="134"/>
      <c r="P6" s="134"/>
      <c r="Q6" s="134"/>
      <c r="R6" s="484"/>
    </row>
    <row r="7" spans="1:18" ht="13.5" thickBot="1" x14ac:dyDescent="0.25">
      <c r="A7" s="644"/>
      <c r="B7" s="607" t="s">
        <v>813</v>
      </c>
      <c r="C7" s="134"/>
      <c r="D7" s="134"/>
      <c r="E7" s="134"/>
      <c r="F7" s="134"/>
      <c r="G7" s="134"/>
      <c r="H7" s="134"/>
      <c r="I7" s="134"/>
      <c r="J7" s="134"/>
      <c r="K7" s="134"/>
      <c r="L7" s="134"/>
      <c r="M7" s="134"/>
      <c r="N7" s="134"/>
      <c r="O7" s="134"/>
      <c r="P7" s="134"/>
      <c r="Q7" s="134"/>
      <c r="R7" s="484"/>
    </row>
    <row r="8" spans="1:18" x14ac:dyDescent="0.2">
      <c r="A8" s="134"/>
      <c r="B8" s="654" t="s">
        <v>812</v>
      </c>
      <c r="C8" s="658" t="str">
        <f>CHOOSE(INFILTER_TYPE,"","0.01-1","0.1-10")</f>
        <v/>
      </c>
      <c r="D8" s="161" t="s">
        <v>214</v>
      </c>
      <c r="E8" s="655"/>
      <c r="F8" s="654" t="s">
        <v>809</v>
      </c>
      <c r="G8" s="293">
        <v>1</v>
      </c>
      <c r="H8" s="161" t="s">
        <v>214</v>
      </c>
      <c r="I8" s="134"/>
      <c r="J8" s="134"/>
      <c r="K8" s="134"/>
      <c r="L8" s="134"/>
      <c r="M8" s="134"/>
      <c r="N8" s="134"/>
      <c r="O8" s="134"/>
      <c r="P8" s="134"/>
      <c r="Q8" s="134"/>
      <c r="R8" s="484"/>
    </row>
    <row r="9" spans="1:18" x14ac:dyDescent="0.2">
      <c r="A9" s="134"/>
      <c r="B9" s="124" t="str">
        <f>CHOOSE(INFILTER_TYPE,"","Suggested Cinj","Suggested Cf")</f>
        <v/>
      </c>
      <c r="C9" s="127" t="str">
        <f>CHOOSE(INFILTER_TYPE,"",'Standard Value Calculator'!S24,'Standard Value Calculator'!S23)</f>
        <v/>
      </c>
      <c r="D9" s="162" t="s">
        <v>215</v>
      </c>
      <c r="E9" s="134"/>
      <c r="F9" s="607" t="str">
        <f>CHOOSE(INFILTER_TYPE,"","Chosen Cinj","Chosen Cf")</f>
        <v/>
      </c>
      <c r="G9" s="128">
        <v>6.8000000000000005E-2</v>
      </c>
      <c r="H9" s="162" t="s">
        <v>215</v>
      </c>
      <c r="I9" s="134"/>
      <c r="J9" s="134"/>
      <c r="K9" s="134"/>
      <c r="L9" s="134"/>
      <c r="M9" s="134"/>
      <c r="N9" s="134"/>
      <c r="O9" s="134"/>
      <c r="P9" s="134"/>
      <c r="Q9" s="134"/>
      <c r="R9" s="484"/>
    </row>
    <row r="10" spans="1:18" x14ac:dyDescent="0.2">
      <c r="A10" s="134"/>
      <c r="B10" s="124" t="s">
        <v>807</v>
      </c>
      <c r="C10" s="124" t="str">
        <f>CHOOSE(INFILTER_TYPE,"",CHOOSE(OSC,"DNP",'Standard Value Calculator'!S25),'Standard Value Calculator'!S28)</f>
        <v/>
      </c>
      <c r="D10" s="162" t="s">
        <v>215</v>
      </c>
      <c r="E10" s="134"/>
      <c r="F10" s="607" t="s">
        <v>810</v>
      </c>
      <c r="G10" s="128">
        <v>3.3000000000000002E-2</v>
      </c>
      <c r="H10" s="162" t="s">
        <v>215</v>
      </c>
      <c r="I10" s="134"/>
      <c r="J10" s="134"/>
      <c r="K10" s="134"/>
      <c r="L10" s="134"/>
      <c r="M10" s="134"/>
      <c r="N10" s="134"/>
      <c r="O10" s="134"/>
      <c r="P10" s="134"/>
      <c r="Q10" s="134"/>
      <c r="R10" s="484"/>
    </row>
    <row r="11" spans="1:18" ht="13.5" thickBot="1" x14ac:dyDescent="0.25">
      <c r="A11" s="657"/>
      <c r="B11" s="648" t="s">
        <v>808</v>
      </c>
      <c r="C11" s="554" t="str">
        <f>CHOOSE(INFILTER_TYPE,"",'Standard Value Calculator'!S26,Rdamp_PassiveStd)</f>
        <v/>
      </c>
      <c r="D11" s="260" t="s">
        <v>138</v>
      </c>
      <c r="E11" s="643"/>
      <c r="F11" s="656" t="s">
        <v>811</v>
      </c>
      <c r="G11" s="246">
        <v>43.2</v>
      </c>
      <c r="H11" s="260" t="s">
        <v>138</v>
      </c>
      <c r="I11" s="134"/>
      <c r="J11" s="134"/>
      <c r="K11" s="134"/>
      <c r="L11" s="134"/>
      <c r="M11" s="134"/>
      <c r="N11" s="134"/>
      <c r="O11" s="134"/>
      <c r="P11" s="134"/>
      <c r="Q11" s="134"/>
      <c r="R11" s="484"/>
    </row>
    <row r="12" spans="1:18" x14ac:dyDescent="0.2">
      <c r="A12" s="134"/>
      <c r="B12" s="134"/>
      <c r="C12" s="134"/>
      <c r="D12" s="134"/>
      <c r="E12" s="655"/>
      <c r="F12" s="124" t="s">
        <v>784</v>
      </c>
      <c r="G12" s="127">
        <f>-'Variable Management'!B303</f>
        <v>0</v>
      </c>
      <c r="H12" s="162" t="s">
        <v>804</v>
      </c>
      <c r="I12" s="134"/>
      <c r="J12" s="134"/>
      <c r="K12" s="134"/>
      <c r="L12" s="134"/>
      <c r="M12" s="134"/>
      <c r="N12" s="134"/>
      <c r="O12" s="134"/>
      <c r="P12" s="134"/>
      <c r="Q12" s="134"/>
      <c r="R12" s="484"/>
    </row>
    <row r="13" spans="1:18" x14ac:dyDescent="0.2">
      <c r="A13" s="134"/>
      <c r="B13" s="134"/>
      <c r="C13" s="134"/>
      <c r="D13" s="134"/>
      <c r="E13" s="582"/>
      <c r="F13" s="124" t="s">
        <v>787</v>
      </c>
      <c r="G13" s="127">
        <f>VinRipple_dBuV</f>
        <v>92.071785793915453</v>
      </c>
      <c r="H13" s="162" t="s">
        <v>786</v>
      </c>
      <c r="I13" s="134"/>
      <c r="J13" s="134"/>
      <c r="K13" s="134"/>
      <c r="L13" s="134"/>
      <c r="M13" s="134"/>
      <c r="N13" s="134"/>
      <c r="O13" s="134"/>
      <c r="P13" s="134"/>
      <c r="Q13" s="134"/>
      <c r="R13" s="484"/>
    </row>
    <row r="14" spans="1:18" ht="13.5" thickBot="1" x14ac:dyDescent="0.25">
      <c r="A14" s="134"/>
      <c r="B14" s="134"/>
      <c r="C14" s="134"/>
      <c r="D14" s="134"/>
      <c r="E14" s="659"/>
      <c r="F14" s="648" t="s">
        <v>803</v>
      </c>
      <c r="G14" s="554">
        <f>'Variable Management'!B304</f>
        <v>92.071785793915453</v>
      </c>
      <c r="H14" s="260" t="s">
        <v>786</v>
      </c>
      <c r="I14" s="134"/>
      <c r="J14" s="134"/>
      <c r="K14" s="134"/>
      <c r="L14" s="134"/>
      <c r="M14" s="134"/>
      <c r="N14" s="134"/>
      <c r="O14" s="134"/>
      <c r="P14" s="134"/>
      <c r="Q14" s="134"/>
      <c r="R14" s="484"/>
    </row>
    <row r="15" spans="1:18" x14ac:dyDescent="0.2">
      <c r="A15" s="134"/>
      <c r="B15" s="134"/>
      <c r="C15" s="134"/>
      <c r="D15" s="134"/>
      <c r="E15" s="134"/>
      <c r="F15" s="134"/>
      <c r="G15" s="134"/>
      <c r="H15" s="134"/>
      <c r="I15" s="134"/>
      <c r="J15" s="134"/>
      <c r="K15" s="134"/>
      <c r="L15" s="134"/>
      <c r="M15" s="134"/>
      <c r="N15" s="134"/>
      <c r="O15" s="134"/>
      <c r="P15" s="134"/>
      <c r="Q15" s="134"/>
      <c r="R15" s="484"/>
    </row>
    <row r="16" spans="1:18" x14ac:dyDescent="0.2">
      <c r="A16" s="134"/>
      <c r="B16" s="134"/>
      <c r="C16" s="134"/>
      <c r="D16" s="134"/>
      <c r="E16" s="134"/>
      <c r="F16" s="134"/>
      <c r="G16" s="134"/>
      <c r="H16" s="134"/>
      <c r="I16" s="134"/>
      <c r="J16" s="134"/>
      <c r="K16" s="134"/>
      <c r="L16" s="134"/>
      <c r="M16" s="134"/>
      <c r="N16" s="134"/>
      <c r="O16" s="134"/>
      <c r="P16" s="134"/>
      <c r="Q16" s="134"/>
      <c r="R16" s="484"/>
    </row>
    <row r="17" spans="1:18" x14ac:dyDescent="0.2">
      <c r="A17" s="134"/>
      <c r="B17" s="134"/>
      <c r="C17" s="134"/>
      <c r="D17" s="134"/>
      <c r="E17" s="134"/>
      <c r="F17" s="134"/>
      <c r="G17" s="134"/>
      <c r="H17" s="134"/>
      <c r="I17" s="134"/>
      <c r="J17" s="134"/>
      <c r="K17" s="134"/>
      <c r="L17" s="134"/>
      <c r="M17" s="134"/>
      <c r="N17" s="134"/>
      <c r="O17" s="134"/>
      <c r="P17" s="134"/>
      <c r="Q17" s="134"/>
      <c r="R17" s="484"/>
    </row>
    <row r="18" spans="1:18" x14ac:dyDescent="0.2">
      <c r="A18" s="134"/>
      <c r="B18" s="134"/>
      <c r="C18" s="134"/>
      <c r="D18" s="134"/>
      <c r="E18" s="134"/>
      <c r="F18" s="134"/>
      <c r="G18" s="134"/>
      <c r="H18" s="134"/>
      <c r="I18" s="134"/>
      <c r="J18" s="134"/>
      <c r="K18" s="134"/>
      <c r="L18" s="134"/>
      <c r="M18" s="134"/>
      <c r="N18" s="134"/>
      <c r="O18" s="134"/>
      <c r="P18" s="134"/>
      <c r="Q18" s="134"/>
      <c r="R18" s="484"/>
    </row>
    <row r="19" spans="1:18" x14ac:dyDescent="0.2">
      <c r="A19" s="134"/>
      <c r="B19" s="134"/>
      <c r="C19" s="134"/>
      <c r="D19" s="134"/>
      <c r="E19" s="134"/>
      <c r="F19" s="134"/>
      <c r="G19" s="134"/>
      <c r="H19" s="134"/>
      <c r="I19" s="134"/>
      <c r="J19" s="134"/>
      <c r="K19" s="134"/>
      <c r="L19" s="134"/>
      <c r="M19" s="134"/>
      <c r="N19" s="134"/>
      <c r="O19" s="134"/>
      <c r="P19" s="134"/>
      <c r="Q19" s="134"/>
      <c r="R19" s="484"/>
    </row>
    <row r="20" spans="1:18" x14ac:dyDescent="0.2">
      <c r="A20" s="134"/>
      <c r="B20" s="134"/>
      <c r="C20" s="134"/>
      <c r="D20" s="134"/>
      <c r="E20" s="134"/>
      <c r="F20" s="134"/>
      <c r="G20" s="134"/>
      <c r="H20" s="134"/>
      <c r="I20" s="134"/>
      <c r="J20" s="134"/>
      <c r="K20" s="134"/>
      <c r="L20" s="134"/>
      <c r="M20" s="134"/>
      <c r="N20" s="134"/>
      <c r="O20" s="134"/>
      <c r="P20" s="134"/>
      <c r="Q20" s="134"/>
      <c r="R20" s="484"/>
    </row>
    <row r="21" spans="1:18" x14ac:dyDescent="0.2">
      <c r="A21" s="134"/>
      <c r="B21" s="134"/>
      <c r="C21" s="134"/>
      <c r="D21" s="134"/>
      <c r="E21" s="134"/>
      <c r="F21" s="134"/>
      <c r="G21" s="134"/>
      <c r="H21" s="134"/>
      <c r="I21" s="134"/>
      <c r="J21" s="134"/>
      <c r="K21" s="134"/>
      <c r="L21" s="134"/>
      <c r="M21" s="134"/>
      <c r="N21" s="134"/>
      <c r="O21" s="134"/>
      <c r="P21" s="134"/>
      <c r="Q21" s="134"/>
      <c r="R21" s="484"/>
    </row>
    <row r="22" spans="1:18" x14ac:dyDescent="0.2">
      <c r="A22" s="134"/>
      <c r="B22" s="134"/>
      <c r="C22" s="134"/>
      <c r="D22" s="134"/>
      <c r="E22" s="134"/>
      <c r="F22" s="134"/>
      <c r="G22" s="134"/>
      <c r="H22" s="134"/>
      <c r="I22" s="134"/>
      <c r="J22" s="134"/>
      <c r="K22" s="134"/>
      <c r="L22" s="134"/>
      <c r="M22" s="134"/>
      <c r="N22" s="134"/>
      <c r="O22" s="134"/>
      <c r="P22" s="134"/>
      <c r="Q22" s="134"/>
      <c r="R22" s="484"/>
    </row>
    <row r="23" spans="1:18" x14ac:dyDescent="0.2">
      <c r="A23" s="134"/>
      <c r="B23" s="134"/>
      <c r="C23" s="134"/>
      <c r="D23" s="134"/>
      <c r="E23" s="134"/>
      <c r="F23" s="134"/>
      <c r="G23" s="134"/>
      <c r="H23" s="134"/>
      <c r="I23" s="134"/>
      <c r="J23" s="134"/>
      <c r="K23" s="134"/>
      <c r="L23" s="134"/>
      <c r="M23" s="134"/>
      <c r="N23" s="134"/>
      <c r="O23" s="134"/>
      <c r="P23" s="134"/>
      <c r="Q23" s="134"/>
      <c r="R23" s="484"/>
    </row>
    <row r="24" spans="1:18" x14ac:dyDescent="0.2">
      <c r="A24" s="134"/>
      <c r="B24" s="134"/>
      <c r="C24" s="134"/>
      <c r="D24" s="134"/>
      <c r="E24" s="134"/>
      <c r="F24" s="134"/>
      <c r="G24" s="134"/>
      <c r="H24" s="134"/>
      <c r="I24" s="134"/>
      <c r="J24" s="134"/>
      <c r="K24" s="134"/>
      <c r="L24" s="134"/>
      <c r="M24" s="134"/>
      <c r="N24" s="134"/>
      <c r="O24" s="134"/>
      <c r="P24" s="134"/>
      <c r="Q24" s="134"/>
      <c r="R24" s="484"/>
    </row>
    <row r="25" spans="1:18" x14ac:dyDescent="0.2">
      <c r="A25" s="134"/>
      <c r="B25" s="134"/>
      <c r="C25" s="134"/>
      <c r="D25" s="134"/>
      <c r="E25" s="134"/>
      <c r="F25" s="134"/>
      <c r="G25" s="134"/>
      <c r="H25" s="134"/>
      <c r="I25" s="134"/>
      <c r="J25" s="134"/>
      <c r="K25" s="134"/>
      <c r="L25" s="134"/>
      <c r="M25" s="134"/>
      <c r="N25" s="134"/>
      <c r="O25" s="134"/>
      <c r="P25" s="134"/>
      <c r="Q25" s="134"/>
      <c r="R25" s="484"/>
    </row>
    <row r="26" spans="1:18" x14ac:dyDescent="0.2">
      <c r="A26" s="134"/>
      <c r="B26" s="134"/>
      <c r="C26" s="134"/>
      <c r="D26" s="134"/>
      <c r="E26" s="134"/>
      <c r="F26" s="134"/>
      <c r="G26" s="134"/>
      <c r="H26" s="134"/>
      <c r="I26" s="134"/>
      <c r="J26" s="134"/>
      <c r="K26" s="134"/>
      <c r="L26" s="134"/>
      <c r="M26" s="134"/>
      <c r="N26" s="134"/>
      <c r="O26" s="134"/>
      <c r="P26" s="134"/>
      <c r="Q26" s="134"/>
      <c r="R26" s="484"/>
    </row>
    <row r="27" spans="1:18" x14ac:dyDescent="0.2">
      <c r="A27" s="134"/>
      <c r="B27" s="134"/>
      <c r="C27" s="134"/>
      <c r="D27" s="134"/>
      <c r="E27" s="134"/>
      <c r="F27" s="134"/>
      <c r="G27" s="134"/>
      <c r="H27" s="134"/>
      <c r="I27" s="134"/>
      <c r="J27" s="134"/>
      <c r="K27" s="134"/>
      <c r="L27" s="134"/>
      <c r="M27" s="134"/>
      <c r="N27" s="134"/>
      <c r="O27" s="134"/>
      <c r="P27" s="134"/>
      <c r="Q27" s="134"/>
      <c r="R27" s="484"/>
    </row>
    <row r="28" spans="1:18" x14ac:dyDescent="0.2">
      <c r="A28" s="134"/>
      <c r="B28" s="134"/>
      <c r="C28" s="134"/>
      <c r="D28" s="134"/>
      <c r="E28" s="134"/>
      <c r="F28" s="134"/>
      <c r="G28" s="134"/>
      <c r="H28" s="134"/>
      <c r="I28" s="134"/>
      <c r="J28" s="134"/>
      <c r="K28" s="134"/>
      <c r="L28" s="134"/>
      <c r="M28" s="134"/>
      <c r="N28" s="134"/>
      <c r="O28" s="134"/>
      <c r="P28" s="134"/>
      <c r="Q28" s="134"/>
      <c r="R28" s="484"/>
    </row>
    <row r="29" spans="1:18" x14ac:dyDescent="0.2">
      <c r="A29" s="134"/>
      <c r="B29" s="134"/>
      <c r="C29" s="134"/>
      <c r="D29" s="134"/>
      <c r="E29" s="134"/>
      <c r="F29" s="134"/>
      <c r="G29" s="134"/>
      <c r="H29" s="134"/>
      <c r="I29" s="134"/>
      <c r="J29" s="134"/>
      <c r="K29" s="134"/>
      <c r="L29" s="134"/>
      <c r="M29" s="134"/>
      <c r="N29" s="134"/>
      <c r="O29" s="134"/>
      <c r="P29" s="134"/>
      <c r="Q29" s="134"/>
      <c r="R29" s="484"/>
    </row>
    <row r="30" spans="1:18" x14ac:dyDescent="0.2">
      <c r="A30" s="134"/>
      <c r="B30" s="134"/>
      <c r="C30" s="134"/>
      <c r="D30" s="134"/>
      <c r="E30" s="134"/>
      <c r="F30" s="134"/>
      <c r="G30" s="134"/>
      <c r="H30" s="134"/>
      <c r="I30" s="134"/>
      <c r="J30" s="134"/>
      <c r="K30" s="134"/>
      <c r="L30" s="134"/>
      <c r="M30" s="134"/>
      <c r="N30" s="134"/>
      <c r="O30" s="134"/>
      <c r="P30" s="134"/>
      <c r="Q30" s="134"/>
      <c r="R30" s="484"/>
    </row>
    <row r="31" spans="1:18" x14ac:dyDescent="0.2">
      <c r="A31" s="134"/>
      <c r="B31" s="134"/>
      <c r="C31" s="134"/>
      <c r="D31" s="134"/>
      <c r="E31" s="134"/>
      <c r="F31" s="134"/>
      <c r="G31" s="134"/>
      <c r="H31" s="134"/>
      <c r="I31" s="134"/>
      <c r="J31" s="134"/>
      <c r="K31" s="134"/>
      <c r="L31" s="134"/>
      <c r="M31" s="134"/>
      <c r="N31" s="134"/>
      <c r="O31" s="134"/>
      <c r="P31" s="134"/>
      <c r="Q31" s="134"/>
      <c r="R31" s="484"/>
    </row>
    <row r="32" spans="1:18" x14ac:dyDescent="0.2">
      <c r="A32" s="134"/>
      <c r="B32" s="134"/>
      <c r="C32" s="134"/>
      <c r="D32" s="134"/>
      <c r="E32" s="134"/>
      <c r="F32" s="134"/>
      <c r="G32" s="134"/>
      <c r="H32" s="134"/>
      <c r="I32" s="134"/>
      <c r="J32" s="134"/>
      <c r="K32" s="134"/>
      <c r="L32" s="134"/>
      <c r="M32" s="134"/>
      <c r="N32" s="134"/>
      <c r="O32" s="134"/>
      <c r="P32" s="134"/>
      <c r="Q32" s="134"/>
      <c r="R32" s="484"/>
    </row>
    <row r="33" spans="1:18" x14ac:dyDescent="0.2">
      <c r="A33" s="134"/>
      <c r="B33" s="134"/>
      <c r="C33" s="134"/>
      <c r="D33" s="134"/>
      <c r="E33" s="134"/>
      <c r="F33" s="134"/>
      <c r="G33" s="134"/>
      <c r="H33" s="134"/>
      <c r="I33" s="134"/>
      <c r="J33" s="134"/>
      <c r="K33" s="134"/>
      <c r="L33" s="134"/>
      <c r="M33" s="134"/>
      <c r="N33" s="134"/>
      <c r="O33" s="134"/>
      <c r="P33" s="134"/>
      <c r="Q33" s="134"/>
      <c r="R33" s="484"/>
    </row>
    <row r="34" spans="1:18" x14ac:dyDescent="0.2">
      <c r="A34" s="134"/>
      <c r="B34" s="134"/>
      <c r="C34" s="134"/>
      <c r="D34" s="134"/>
      <c r="E34" s="134"/>
      <c r="F34" s="134"/>
      <c r="G34" s="134"/>
      <c r="H34" s="134"/>
      <c r="I34" s="134"/>
      <c r="J34" s="134"/>
      <c r="K34" s="134"/>
      <c r="L34" s="134"/>
      <c r="M34" s="134"/>
      <c r="N34" s="134"/>
      <c r="O34" s="134"/>
      <c r="P34" s="134"/>
      <c r="Q34" s="134"/>
      <c r="R34" s="484"/>
    </row>
    <row r="35" spans="1:18" x14ac:dyDescent="0.2">
      <c r="A35" s="134"/>
      <c r="B35" s="134"/>
      <c r="C35" s="134"/>
      <c r="D35" s="134"/>
      <c r="E35" s="134"/>
      <c r="F35" s="134"/>
      <c r="G35" s="134"/>
      <c r="H35" s="134"/>
      <c r="I35" s="134"/>
      <c r="J35" s="134"/>
      <c r="K35" s="134"/>
      <c r="L35" s="134"/>
      <c r="M35" s="134"/>
      <c r="N35" s="134"/>
      <c r="O35" s="134"/>
      <c r="P35" s="134"/>
      <c r="Q35" s="134"/>
      <c r="R35" s="484"/>
    </row>
    <row r="36" spans="1:18" x14ac:dyDescent="0.2">
      <c r="A36" s="134"/>
      <c r="B36" s="134"/>
      <c r="C36" s="134"/>
      <c r="D36" s="134"/>
      <c r="E36" s="134"/>
      <c r="F36" s="134"/>
      <c r="G36" s="134"/>
      <c r="H36" s="134"/>
      <c r="I36" s="134"/>
      <c r="J36" s="134"/>
      <c r="K36" s="134"/>
      <c r="L36" s="134"/>
      <c r="M36" s="134"/>
      <c r="N36" s="134"/>
      <c r="O36" s="134"/>
      <c r="P36" s="134"/>
      <c r="Q36" s="134"/>
      <c r="R36" s="484"/>
    </row>
    <row r="37" spans="1:18" x14ac:dyDescent="0.2">
      <c r="A37" s="134"/>
      <c r="B37" s="134"/>
      <c r="C37" s="134"/>
      <c r="D37" s="134"/>
      <c r="E37" s="134"/>
      <c r="F37" s="134"/>
      <c r="G37" s="134"/>
      <c r="H37" s="134"/>
      <c r="I37" s="134"/>
      <c r="J37" s="134"/>
      <c r="K37" s="134"/>
      <c r="L37" s="134"/>
      <c r="M37" s="134"/>
      <c r="N37" s="134"/>
      <c r="O37" s="134"/>
      <c r="P37" s="134"/>
      <c r="Q37" s="134"/>
      <c r="R37" s="484"/>
    </row>
    <row r="38" spans="1:18" x14ac:dyDescent="0.2">
      <c r="A38" s="134"/>
      <c r="B38" s="134"/>
      <c r="C38" s="134"/>
      <c r="D38" s="134"/>
      <c r="E38" s="134"/>
      <c r="F38" s="134"/>
      <c r="G38" s="134"/>
      <c r="H38" s="134"/>
      <c r="I38" s="134"/>
      <c r="J38" s="134"/>
      <c r="K38" s="134"/>
      <c r="L38" s="134"/>
      <c r="M38" s="134"/>
      <c r="N38" s="134"/>
      <c r="O38" s="134"/>
      <c r="P38" s="134"/>
      <c r="Q38" s="134"/>
      <c r="R38" s="484"/>
    </row>
    <row r="39" spans="1:18" x14ac:dyDescent="0.2">
      <c r="A39" s="134"/>
      <c r="B39" s="134"/>
      <c r="C39" s="134"/>
      <c r="D39" s="134"/>
      <c r="E39" s="134"/>
      <c r="F39" s="134"/>
      <c r="G39" s="134"/>
      <c r="H39" s="134"/>
      <c r="I39" s="134"/>
      <c r="J39" s="134"/>
      <c r="K39" s="134"/>
      <c r="L39" s="134"/>
      <c r="M39" s="134"/>
      <c r="N39" s="134"/>
      <c r="O39" s="134"/>
      <c r="P39" s="134"/>
      <c r="Q39" s="134"/>
      <c r="R39" s="484"/>
    </row>
    <row r="40" spans="1:18" x14ac:dyDescent="0.2">
      <c r="A40" s="134"/>
      <c r="B40" s="134"/>
      <c r="C40" s="134"/>
      <c r="D40" s="134"/>
      <c r="E40" s="134"/>
      <c r="F40" s="134"/>
      <c r="G40" s="134"/>
      <c r="H40" s="134"/>
      <c r="I40" s="134"/>
      <c r="J40" s="134"/>
      <c r="K40" s="134"/>
      <c r="L40" s="134"/>
      <c r="M40" s="134"/>
      <c r="N40" s="134"/>
      <c r="O40" s="134"/>
      <c r="P40" s="134"/>
      <c r="Q40" s="134"/>
      <c r="R40" s="484"/>
    </row>
    <row r="41" spans="1:18" x14ac:dyDescent="0.2">
      <c r="A41" s="134"/>
      <c r="B41" s="134"/>
      <c r="C41" s="134"/>
      <c r="D41" s="134"/>
      <c r="E41" s="134"/>
      <c r="F41" s="134"/>
      <c r="G41" s="134"/>
      <c r="H41" s="134"/>
      <c r="I41" s="134"/>
      <c r="J41" s="134"/>
      <c r="K41" s="134"/>
      <c r="L41" s="134"/>
      <c r="M41" s="134"/>
      <c r="N41" s="134"/>
      <c r="O41" s="134"/>
      <c r="P41" s="134"/>
      <c r="Q41" s="134"/>
      <c r="R41" s="484"/>
    </row>
    <row r="42" spans="1:18" x14ac:dyDescent="0.2">
      <c r="A42" s="134"/>
      <c r="B42" s="134"/>
      <c r="C42" s="134"/>
      <c r="D42" s="134"/>
      <c r="E42" s="134"/>
      <c r="F42" s="134"/>
      <c r="G42" s="134"/>
      <c r="H42" s="134"/>
      <c r="I42" s="134"/>
      <c r="J42" s="134"/>
      <c r="K42" s="134"/>
      <c r="L42" s="134"/>
      <c r="M42" s="134"/>
      <c r="N42" s="134"/>
      <c r="O42" s="134"/>
      <c r="P42" s="134"/>
      <c r="Q42" s="134"/>
      <c r="R42" s="484"/>
    </row>
    <row r="43" spans="1:18" x14ac:dyDescent="0.2">
      <c r="A43" s="134"/>
      <c r="B43" s="134"/>
      <c r="C43" s="134"/>
      <c r="D43" s="134"/>
      <c r="E43" s="134"/>
      <c r="F43" s="134"/>
      <c r="G43" s="134"/>
      <c r="H43" s="134"/>
      <c r="I43" s="134"/>
      <c r="J43" s="134"/>
      <c r="K43" s="134"/>
      <c r="L43" s="134"/>
      <c r="M43" s="134"/>
      <c r="N43" s="134"/>
      <c r="O43" s="134"/>
      <c r="P43" s="134"/>
      <c r="Q43" s="134"/>
      <c r="R43" s="484"/>
    </row>
    <row r="44" spans="1:18" x14ac:dyDescent="0.2">
      <c r="A44" s="134"/>
      <c r="B44" s="134"/>
      <c r="C44" s="134"/>
      <c r="D44" s="134"/>
      <c r="E44" s="134"/>
      <c r="F44" s="134"/>
      <c r="G44" s="134"/>
      <c r="H44" s="134"/>
      <c r="I44" s="134"/>
      <c r="J44" s="134"/>
      <c r="K44" s="134"/>
      <c r="L44" s="134"/>
      <c r="M44" s="134"/>
      <c r="N44" s="134"/>
      <c r="O44" s="134"/>
      <c r="P44" s="134"/>
      <c r="Q44" s="134"/>
      <c r="R44" s="484"/>
    </row>
    <row r="45" spans="1:18" x14ac:dyDescent="0.2">
      <c r="A45" s="134"/>
      <c r="B45" s="134"/>
      <c r="C45" s="134"/>
      <c r="D45" s="134"/>
      <c r="E45" s="134"/>
      <c r="F45" s="134"/>
      <c r="G45" s="134"/>
      <c r="H45" s="134"/>
      <c r="I45" s="134"/>
      <c r="J45" s="134"/>
      <c r="K45" s="134"/>
      <c r="L45" s="134"/>
      <c r="M45" s="134"/>
      <c r="N45" s="134"/>
      <c r="O45" s="134"/>
      <c r="P45" s="134"/>
      <c r="Q45" s="134"/>
      <c r="R45" s="484"/>
    </row>
    <row r="46" spans="1:18" x14ac:dyDescent="0.2">
      <c r="A46" s="134"/>
      <c r="B46" s="134"/>
      <c r="C46" s="134"/>
      <c r="D46" s="134"/>
      <c r="E46" s="134"/>
      <c r="F46" s="134"/>
      <c r="G46" s="134"/>
      <c r="H46" s="134"/>
      <c r="I46" s="134"/>
      <c r="J46" s="134"/>
      <c r="K46" s="134"/>
      <c r="L46" s="134"/>
      <c r="M46" s="134"/>
      <c r="N46" s="134"/>
      <c r="O46" s="134"/>
      <c r="P46" s="134"/>
      <c r="Q46" s="134"/>
      <c r="R46" s="484"/>
    </row>
    <row r="47" spans="1:18" x14ac:dyDescent="0.2">
      <c r="A47" s="134"/>
      <c r="B47" s="134"/>
      <c r="C47" s="134"/>
      <c r="D47" s="134"/>
      <c r="E47" s="134"/>
      <c r="F47" s="134"/>
      <c r="G47" s="134"/>
      <c r="H47" s="134"/>
      <c r="I47" s="134"/>
      <c r="J47" s="134"/>
      <c r="K47" s="134"/>
      <c r="L47" s="134"/>
      <c r="M47" s="134"/>
      <c r="N47" s="134"/>
      <c r="O47" s="134"/>
      <c r="P47" s="134"/>
      <c r="Q47" s="134"/>
      <c r="R47" s="484"/>
    </row>
    <row r="48" spans="1:18" x14ac:dyDescent="0.2">
      <c r="A48" s="134"/>
      <c r="B48" s="134"/>
      <c r="C48" s="134"/>
      <c r="D48" s="134"/>
      <c r="E48" s="134"/>
      <c r="F48" s="134"/>
      <c r="G48" s="134"/>
      <c r="H48" s="134"/>
      <c r="I48" s="134"/>
      <c r="J48" s="134"/>
      <c r="K48" s="134"/>
      <c r="L48" s="134"/>
      <c r="M48" s="134"/>
      <c r="N48" s="134"/>
      <c r="O48" s="134"/>
      <c r="P48" s="134"/>
      <c r="Q48" s="134"/>
      <c r="R48" s="484"/>
    </row>
    <row r="49" spans="1:18" x14ac:dyDescent="0.2">
      <c r="A49" s="134"/>
      <c r="B49" s="134"/>
      <c r="C49" s="134"/>
      <c r="D49" s="134"/>
      <c r="E49" s="134"/>
      <c r="F49" s="134"/>
      <c r="G49" s="134"/>
      <c r="H49" s="134"/>
      <c r="I49" s="134"/>
      <c r="J49" s="134"/>
      <c r="K49" s="134"/>
      <c r="L49" s="134"/>
      <c r="M49" s="134"/>
      <c r="N49" s="134"/>
      <c r="O49" s="134"/>
      <c r="P49" s="134"/>
      <c r="Q49" s="134"/>
      <c r="R49" s="484"/>
    </row>
    <row r="50" spans="1:18" x14ac:dyDescent="0.2">
      <c r="A50" s="134"/>
      <c r="B50" s="134"/>
      <c r="C50" s="134"/>
      <c r="D50" s="134"/>
      <c r="E50" s="134"/>
      <c r="F50" s="134"/>
      <c r="G50" s="134"/>
      <c r="H50" s="134"/>
      <c r="I50" s="134"/>
      <c r="J50" s="134"/>
      <c r="K50" s="134"/>
      <c r="L50" s="134"/>
      <c r="M50" s="134"/>
      <c r="N50" s="134"/>
      <c r="O50" s="134"/>
      <c r="P50" s="134"/>
      <c r="Q50" s="134"/>
      <c r="R50" s="484"/>
    </row>
    <row r="51" spans="1:18" x14ac:dyDescent="0.2">
      <c r="A51" s="134"/>
      <c r="B51" s="134"/>
      <c r="C51" s="134"/>
      <c r="D51" s="134"/>
      <c r="E51" s="134"/>
      <c r="F51" s="134"/>
      <c r="G51" s="134"/>
      <c r="H51" s="134"/>
      <c r="I51" s="134"/>
      <c r="J51" s="134"/>
      <c r="K51" s="134"/>
      <c r="L51" s="134"/>
      <c r="M51" s="134"/>
      <c r="N51" s="134"/>
      <c r="O51" s="134"/>
      <c r="P51" s="134"/>
      <c r="Q51" s="134"/>
      <c r="R51" s="484"/>
    </row>
    <row r="52" spans="1:18" x14ac:dyDescent="0.2">
      <c r="A52" s="134"/>
      <c r="B52" s="134"/>
      <c r="C52" s="134"/>
      <c r="D52" s="134"/>
      <c r="E52" s="134"/>
      <c r="F52" s="134"/>
      <c r="G52" s="134"/>
      <c r="H52" s="134"/>
      <c r="I52" s="134"/>
      <c r="J52" s="134"/>
      <c r="K52" s="134"/>
      <c r="L52" s="134"/>
      <c r="M52" s="134"/>
      <c r="N52" s="134"/>
      <c r="O52" s="134"/>
      <c r="P52" s="134"/>
      <c r="Q52" s="134"/>
      <c r="R52" s="484"/>
    </row>
    <row r="53" spans="1:18" x14ac:dyDescent="0.2">
      <c r="A53" s="134"/>
      <c r="B53" s="134"/>
      <c r="C53" s="134"/>
      <c r="D53" s="134"/>
      <c r="E53" s="134"/>
      <c r="F53" s="134"/>
      <c r="G53" s="134"/>
      <c r="H53" s="134"/>
      <c r="I53" s="134"/>
      <c r="J53" s="134"/>
      <c r="K53" s="134"/>
      <c r="L53" s="134"/>
      <c r="M53" s="134"/>
      <c r="N53" s="134"/>
      <c r="O53" s="134"/>
      <c r="P53" s="134"/>
      <c r="Q53" s="134"/>
      <c r="R53" s="484"/>
    </row>
    <row r="54" spans="1:18" x14ac:dyDescent="0.2">
      <c r="A54" s="134"/>
      <c r="B54" s="134"/>
      <c r="C54" s="134"/>
      <c r="D54" s="134"/>
      <c r="E54" s="134"/>
      <c r="F54" s="134"/>
      <c r="G54" s="134"/>
      <c r="H54" s="134"/>
      <c r="I54" s="134"/>
      <c r="J54" s="134"/>
      <c r="K54" s="134"/>
      <c r="L54" s="134"/>
      <c r="M54" s="134"/>
      <c r="N54" s="134"/>
      <c r="O54" s="134"/>
      <c r="P54" s="134"/>
      <c r="Q54" s="134"/>
      <c r="R54" s="484"/>
    </row>
    <row r="55" spans="1:18" x14ac:dyDescent="0.2">
      <c r="A55" s="134"/>
      <c r="B55" s="134"/>
      <c r="C55" s="134"/>
      <c r="D55" s="134"/>
      <c r="E55" s="134"/>
      <c r="F55" s="134"/>
      <c r="G55" s="134"/>
      <c r="H55" s="134"/>
      <c r="I55" s="134"/>
      <c r="J55" s="134"/>
      <c r="K55" s="134"/>
      <c r="L55" s="134"/>
      <c r="M55" s="134"/>
      <c r="N55" s="134"/>
      <c r="O55" s="134"/>
      <c r="P55" s="134"/>
      <c r="Q55" s="134"/>
      <c r="R55" s="484"/>
    </row>
    <row r="56" spans="1:18" x14ac:dyDescent="0.2">
      <c r="A56" s="134"/>
      <c r="B56" s="134"/>
      <c r="C56" s="134"/>
      <c r="D56" s="134"/>
      <c r="E56" s="134"/>
      <c r="F56" s="134"/>
      <c r="G56" s="134"/>
      <c r="H56" s="134"/>
      <c r="I56" s="134"/>
      <c r="J56" s="134"/>
      <c r="K56" s="134"/>
      <c r="L56" s="134"/>
      <c r="M56" s="134"/>
      <c r="N56" s="134"/>
      <c r="O56" s="134"/>
      <c r="P56" s="134"/>
      <c r="Q56" s="134"/>
      <c r="R56" s="484"/>
    </row>
    <row r="57" spans="1:18" x14ac:dyDescent="0.2">
      <c r="A57" s="134"/>
      <c r="B57" s="134"/>
      <c r="C57" s="134"/>
      <c r="D57" s="134"/>
      <c r="E57" s="134"/>
      <c r="F57" s="134"/>
      <c r="G57" s="134"/>
      <c r="H57" s="134"/>
      <c r="I57" s="134"/>
      <c r="J57" s="134"/>
      <c r="K57" s="134"/>
      <c r="L57" s="134"/>
      <c r="M57" s="134"/>
      <c r="N57" s="134"/>
      <c r="O57" s="134"/>
      <c r="P57" s="134"/>
      <c r="Q57" s="134"/>
      <c r="R57" s="484"/>
    </row>
    <row r="58" spans="1:18" x14ac:dyDescent="0.2">
      <c r="A58" s="134"/>
      <c r="B58" s="134"/>
      <c r="C58" s="134"/>
      <c r="D58" s="134"/>
      <c r="E58" s="134"/>
      <c r="F58" s="134"/>
      <c r="G58" s="134"/>
      <c r="H58" s="134"/>
      <c r="I58" s="134"/>
      <c r="J58" s="134"/>
      <c r="K58" s="134"/>
      <c r="L58" s="134"/>
      <c r="M58" s="134"/>
      <c r="N58" s="134"/>
      <c r="O58" s="134"/>
      <c r="P58" s="134"/>
      <c r="Q58" s="134"/>
      <c r="R58" s="484"/>
    </row>
    <row r="59" spans="1:18" x14ac:dyDescent="0.2">
      <c r="A59" s="134"/>
      <c r="B59" s="134"/>
      <c r="C59" s="134"/>
      <c r="D59" s="134"/>
      <c r="E59" s="134"/>
      <c r="F59" s="134"/>
      <c r="G59" s="134"/>
      <c r="H59" s="134"/>
      <c r="I59" s="134"/>
      <c r="J59" s="134"/>
      <c r="K59" s="134"/>
      <c r="L59" s="134"/>
      <c r="M59" s="134"/>
      <c r="N59" s="134"/>
      <c r="O59" s="134"/>
      <c r="P59" s="134"/>
      <c r="Q59" s="134"/>
      <c r="R59" s="484"/>
    </row>
    <row r="60" spans="1:18" x14ac:dyDescent="0.2">
      <c r="A60" s="134"/>
      <c r="B60" s="134"/>
      <c r="C60" s="134"/>
      <c r="D60" s="134"/>
      <c r="E60" s="134"/>
      <c r="F60" s="134"/>
      <c r="G60" s="134"/>
      <c r="H60" s="134"/>
      <c r="I60" s="134"/>
      <c r="J60" s="134"/>
      <c r="K60" s="134"/>
      <c r="L60" s="134"/>
      <c r="M60" s="134"/>
      <c r="N60" s="134"/>
      <c r="O60" s="134"/>
      <c r="P60" s="134"/>
      <c r="Q60" s="134"/>
      <c r="R60" s="483"/>
    </row>
    <row r="61" spans="1:18" x14ac:dyDescent="0.2">
      <c r="A61" s="134"/>
      <c r="B61" s="134"/>
      <c r="C61" s="134"/>
      <c r="D61" s="134"/>
      <c r="E61" s="134"/>
      <c r="F61" s="134"/>
      <c r="G61" s="134"/>
      <c r="H61" s="134"/>
      <c r="I61" s="134"/>
      <c r="J61" s="134"/>
      <c r="K61" s="134"/>
      <c r="L61" s="134"/>
      <c r="M61" s="134"/>
      <c r="N61" s="134"/>
      <c r="O61" s="134"/>
      <c r="P61" s="134"/>
      <c r="Q61" s="134"/>
      <c r="R61" s="483"/>
    </row>
    <row r="62" spans="1:18" x14ac:dyDescent="0.2">
      <c r="A62" s="134"/>
      <c r="B62" s="134"/>
      <c r="C62" s="134"/>
      <c r="D62" s="134"/>
      <c r="E62" s="134"/>
      <c r="F62" s="134"/>
      <c r="G62" s="134"/>
      <c r="H62" s="134"/>
      <c r="I62" s="134"/>
      <c r="J62" s="134"/>
      <c r="K62" s="134"/>
      <c r="L62" s="134"/>
      <c r="M62" s="134"/>
      <c r="N62" s="134"/>
      <c r="O62" s="134"/>
      <c r="P62" s="134"/>
      <c r="Q62" s="134"/>
      <c r="R62" s="483"/>
    </row>
    <row r="63" spans="1:18" x14ac:dyDescent="0.2">
      <c r="A63" s="134"/>
      <c r="B63" s="134"/>
      <c r="C63" s="134"/>
      <c r="D63" s="134"/>
      <c r="E63" s="134"/>
      <c r="F63" s="134"/>
      <c r="G63" s="134"/>
      <c r="H63" s="134"/>
      <c r="I63" s="134"/>
      <c r="J63" s="134"/>
      <c r="K63" s="134"/>
      <c r="L63" s="134"/>
      <c r="M63" s="134"/>
      <c r="N63" s="134"/>
      <c r="O63" s="134"/>
      <c r="P63" s="134"/>
      <c r="Q63" s="134"/>
      <c r="R63" s="483"/>
    </row>
    <row r="64" spans="1:18" x14ac:dyDescent="0.2">
      <c r="A64" s="134"/>
      <c r="B64" s="134"/>
      <c r="C64" s="134"/>
      <c r="D64" s="134"/>
      <c r="E64" s="134"/>
      <c r="F64" s="134"/>
      <c r="G64" s="134"/>
      <c r="H64" s="134"/>
      <c r="I64" s="134"/>
      <c r="J64" s="134"/>
      <c r="K64" s="134"/>
      <c r="L64" s="134"/>
      <c r="M64" s="134"/>
      <c r="N64" s="134"/>
      <c r="O64" s="134"/>
      <c r="P64" s="134"/>
      <c r="Q64" s="134"/>
      <c r="R64" s="483"/>
    </row>
    <row r="65" spans="1:18" x14ac:dyDescent="0.2">
      <c r="A65" s="134"/>
      <c r="B65" s="134"/>
      <c r="C65" s="134"/>
      <c r="D65" s="134"/>
      <c r="E65" s="134"/>
      <c r="F65" s="134"/>
      <c r="G65" s="134"/>
      <c r="H65" s="134"/>
      <c r="I65" s="134"/>
      <c r="J65" s="134"/>
      <c r="K65" s="134"/>
      <c r="L65" s="134"/>
      <c r="M65" s="134"/>
      <c r="N65" s="134"/>
      <c r="O65" s="134"/>
      <c r="P65" s="134"/>
      <c r="Q65" s="134"/>
      <c r="R65" s="483"/>
    </row>
    <row r="66" spans="1:18" x14ac:dyDescent="0.2">
      <c r="A66" s="134"/>
      <c r="B66" s="134"/>
      <c r="C66" s="134"/>
      <c r="D66" s="134"/>
      <c r="E66" s="134"/>
      <c r="F66" s="134"/>
      <c r="G66" s="134"/>
      <c r="H66" s="134"/>
      <c r="I66" s="134"/>
      <c r="J66" s="134"/>
      <c r="K66" s="134"/>
      <c r="L66" s="134"/>
      <c r="M66" s="134"/>
      <c r="N66" s="134"/>
      <c r="O66" s="134"/>
      <c r="P66" s="134"/>
      <c r="Q66" s="134"/>
      <c r="R66" s="483"/>
    </row>
    <row r="67" spans="1:18" x14ac:dyDescent="0.2">
      <c r="A67" s="134"/>
      <c r="B67" s="134"/>
      <c r="C67" s="134"/>
      <c r="D67" s="134"/>
      <c r="E67" s="134"/>
      <c r="F67" s="134"/>
      <c r="G67" s="134"/>
      <c r="H67" s="134"/>
      <c r="I67" s="134"/>
      <c r="J67" s="134"/>
      <c r="K67" s="134"/>
      <c r="L67" s="134"/>
      <c r="M67" s="134"/>
      <c r="N67" s="134"/>
      <c r="O67" s="134"/>
      <c r="P67" s="134"/>
      <c r="Q67" s="134"/>
      <c r="R67" s="483"/>
    </row>
    <row r="68" spans="1:18" x14ac:dyDescent="0.2">
      <c r="A68" s="134"/>
      <c r="B68" s="134"/>
      <c r="C68" s="134"/>
      <c r="D68" s="134"/>
      <c r="E68" s="134"/>
      <c r="F68" s="134"/>
      <c r="G68" s="134"/>
      <c r="H68" s="134"/>
      <c r="I68" s="134"/>
      <c r="J68" s="134"/>
      <c r="K68" s="134"/>
      <c r="L68" s="134"/>
      <c r="M68" s="134"/>
      <c r="N68" s="134"/>
      <c r="O68" s="134"/>
      <c r="P68" s="134"/>
      <c r="Q68" s="134"/>
      <c r="R68" s="483"/>
    </row>
    <row r="69" spans="1:18" x14ac:dyDescent="0.2">
      <c r="A69" s="134"/>
      <c r="B69" s="134"/>
      <c r="C69" s="134"/>
      <c r="D69" s="134"/>
      <c r="E69" s="134"/>
      <c r="F69" s="134"/>
      <c r="G69" s="134"/>
      <c r="H69" s="134"/>
      <c r="I69" s="134"/>
      <c r="J69" s="134"/>
      <c r="K69" s="134"/>
      <c r="L69" s="134"/>
      <c r="M69" s="134"/>
      <c r="N69" s="134"/>
      <c r="O69" s="134"/>
      <c r="P69" s="134"/>
      <c r="Q69" s="134"/>
      <c r="R69" s="485"/>
    </row>
    <row r="70" spans="1:18" x14ac:dyDescent="0.2">
      <c r="A70" s="134"/>
      <c r="B70" s="134"/>
      <c r="C70" s="134"/>
      <c r="D70" s="134"/>
      <c r="E70" s="134"/>
      <c r="F70" s="134"/>
      <c r="G70" s="134"/>
      <c r="H70" s="134"/>
      <c r="I70" s="134"/>
      <c r="J70" s="134"/>
      <c r="K70" s="134"/>
      <c r="L70" s="134"/>
      <c r="M70" s="134"/>
      <c r="N70" s="134"/>
      <c r="O70" s="134"/>
      <c r="P70" s="134"/>
      <c r="Q70" s="134"/>
      <c r="R70" s="483"/>
    </row>
    <row r="71" spans="1:18" x14ac:dyDescent="0.2">
      <c r="A71" s="134"/>
      <c r="B71" s="134"/>
      <c r="C71" s="134"/>
      <c r="D71" s="134"/>
      <c r="E71" s="134"/>
      <c r="F71" s="134"/>
      <c r="G71" s="134"/>
      <c r="H71" s="134"/>
      <c r="I71" s="134"/>
      <c r="J71" s="134"/>
      <c r="K71" s="134"/>
      <c r="L71" s="134"/>
      <c r="M71" s="134"/>
      <c r="N71" s="134"/>
      <c r="O71" s="134"/>
      <c r="P71" s="134"/>
      <c r="Q71" s="134"/>
      <c r="R71" s="483"/>
    </row>
    <row r="72" spans="1:18" x14ac:dyDescent="0.2">
      <c r="A72" s="134"/>
      <c r="B72" s="134"/>
      <c r="C72" s="134"/>
      <c r="D72" s="134"/>
      <c r="E72" s="134"/>
      <c r="F72" s="134"/>
      <c r="G72" s="134"/>
      <c r="H72" s="134"/>
      <c r="I72" s="134"/>
      <c r="J72" s="134"/>
      <c r="K72" s="134"/>
      <c r="L72" s="134"/>
      <c r="M72" s="134"/>
      <c r="N72" s="134"/>
      <c r="O72" s="134"/>
      <c r="P72" s="134"/>
      <c r="Q72" s="134"/>
      <c r="R72" s="483"/>
    </row>
    <row r="73" spans="1:18" x14ac:dyDescent="0.2">
      <c r="A73" s="134"/>
      <c r="B73" s="134"/>
      <c r="C73" s="134"/>
      <c r="D73" s="134"/>
      <c r="E73" s="134"/>
      <c r="F73" s="134"/>
      <c r="G73" s="134"/>
      <c r="H73" s="134"/>
      <c r="I73" s="134"/>
      <c r="J73" s="134"/>
      <c r="K73" s="134"/>
      <c r="L73" s="134"/>
      <c r="M73" s="134"/>
      <c r="N73" s="134"/>
      <c r="O73" s="134"/>
      <c r="P73" s="134"/>
      <c r="Q73" s="134"/>
      <c r="R73" s="483"/>
    </row>
    <row r="74" spans="1:18" x14ac:dyDescent="0.2">
      <c r="A74" s="134"/>
      <c r="B74" s="134"/>
      <c r="C74" s="134"/>
      <c r="D74" s="134"/>
      <c r="E74" s="134"/>
      <c r="F74" s="134"/>
      <c r="G74" s="134"/>
      <c r="H74" s="134"/>
      <c r="I74" s="134"/>
      <c r="J74" s="134"/>
      <c r="K74" s="134"/>
      <c r="L74" s="134"/>
      <c r="M74" s="134"/>
      <c r="N74" s="134"/>
      <c r="O74" s="134"/>
      <c r="P74" s="134"/>
      <c r="Q74" s="134"/>
      <c r="R74" s="483"/>
    </row>
    <row r="75" spans="1:18" ht="15.75" x14ac:dyDescent="0.25">
      <c r="A75" s="134"/>
      <c r="B75" s="134"/>
      <c r="C75" s="134"/>
      <c r="D75" s="134"/>
      <c r="E75" s="134"/>
      <c r="F75" s="134"/>
      <c r="G75" s="134"/>
      <c r="H75" s="134"/>
      <c r="I75" s="134"/>
      <c r="J75" s="134"/>
      <c r="K75" s="134"/>
      <c r="L75" s="134"/>
      <c r="M75" s="134"/>
      <c r="N75" s="134"/>
      <c r="O75" s="134"/>
      <c r="P75" s="134"/>
      <c r="Q75" s="134"/>
      <c r="R75" s="486"/>
    </row>
    <row r="76" spans="1:18" x14ac:dyDescent="0.2">
      <c r="A76" s="134"/>
      <c r="B76" s="134"/>
      <c r="C76" s="134"/>
      <c r="D76" s="134"/>
      <c r="E76" s="134"/>
      <c r="F76" s="134"/>
      <c r="G76" s="134"/>
      <c r="H76" s="134"/>
      <c r="I76" s="134"/>
      <c r="J76" s="134"/>
      <c r="K76" s="134"/>
      <c r="L76" s="134"/>
      <c r="M76" s="134"/>
      <c r="N76" s="134"/>
      <c r="O76" s="134"/>
      <c r="P76" s="134"/>
      <c r="Q76" s="134"/>
      <c r="R76" s="483"/>
    </row>
    <row r="77" spans="1:18" x14ac:dyDescent="0.2">
      <c r="A77" s="134"/>
      <c r="B77" s="134"/>
      <c r="C77" s="134"/>
      <c r="D77" s="134"/>
      <c r="E77" s="134"/>
      <c r="F77" s="134"/>
      <c r="G77" s="134"/>
      <c r="H77" s="134"/>
      <c r="I77" s="134"/>
      <c r="J77" s="134"/>
      <c r="K77" s="134"/>
      <c r="L77" s="134"/>
      <c r="M77" s="134"/>
      <c r="N77" s="134"/>
      <c r="O77" s="134"/>
      <c r="P77" s="134"/>
      <c r="Q77" s="134"/>
      <c r="R77" s="483"/>
    </row>
    <row r="78" spans="1:18" x14ac:dyDescent="0.2">
      <c r="A78" s="134"/>
      <c r="B78" s="134"/>
      <c r="C78" s="134"/>
      <c r="D78" s="134"/>
      <c r="E78" s="134"/>
      <c r="F78" s="134"/>
      <c r="G78" s="134"/>
      <c r="H78" s="134"/>
      <c r="I78" s="134"/>
      <c r="J78" s="134"/>
      <c r="K78" s="134"/>
      <c r="L78" s="134"/>
      <c r="M78" s="134"/>
      <c r="N78" s="134"/>
      <c r="O78" s="134"/>
      <c r="P78" s="134"/>
      <c r="Q78" s="134"/>
      <c r="R78" s="483"/>
    </row>
    <row r="79" spans="1:18" x14ac:dyDescent="0.2">
      <c r="A79" s="134"/>
      <c r="B79" s="134"/>
      <c r="C79" s="134"/>
      <c r="D79" s="134"/>
      <c r="E79" s="134"/>
      <c r="F79" s="134"/>
      <c r="G79" s="134"/>
      <c r="H79" s="134"/>
      <c r="I79" s="134"/>
      <c r="J79" s="134"/>
      <c r="K79" s="134"/>
      <c r="L79" s="134"/>
      <c r="M79" s="134"/>
      <c r="N79" s="134"/>
      <c r="O79" s="134"/>
      <c r="P79" s="134"/>
      <c r="Q79" s="134"/>
      <c r="R79" s="483"/>
    </row>
    <row r="80" spans="1:18" x14ac:dyDescent="0.2">
      <c r="A80" s="134"/>
      <c r="B80" s="134"/>
      <c r="C80" s="134"/>
      <c r="D80" s="134"/>
      <c r="E80" s="134"/>
      <c r="F80" s="134"/>
      <c r="G80" s="134"/>
      <c r="H80" s="134"/>
      <c r="I80" s="134"/>
      <c r="J80" s="134"/>
      <c r="K80" s="134"/>
      <c r="L80" s="134"/>
      <c r="M80" s="134"/>
      <c r="N80" s="134"/>
      <c r="O80" s="134"/>
      <c r="P80" s="134"/>
      <c r="Q80" s="134"/>
      <c r="R80" s="483"/>
    </row>
    <row r="81" spans="18:18" x14ac:dyDescent="0.2">
      <c r="R81" s="483"/>
    </row>
    <row r="82" spans="18:18" x14ac:dyDescent="0.2">
      <c r="R82" s="483"/>
    </row>
    <row r="83" spans="18:18" x14ac:dyDescent="0.2">
      <c r="R83" s="483"/>
    </row>
    <row r="84" spans="18:18" x14ac:dyDescent="0.2">
      <c r="R84" s="483"/>
    </row>
    <row r="85" spans="18:18" x14ac:dyDescent="0.2">
      <c r="R85" s="483"/>
    </row>
    <row r="86" spans="18:18" x14ac:dyDescent="0.2">
      <c r="R86" s="483"/>
    </row>
    <row r="87" spans="18:18" x14ac:dyDescent="0.2">
      <c r="R87" s="483"/>
    </row>
    <row r="88" spans="18:18" x14ac:dyDescent="0.2">
      <c r="R88" s="483"/>
    </row>
    <row r="89" spans="18:18" x14ac:dyDescent="0.2">
      <c r="R89" s="483"/>
    </row>
    <row r="90" spans="18:18" x14ac:dyDescent="0.2">
      <c r="R90" s="483"/>
    </row>
    <row r="91" spans="18:18" x14ac:dyDescent="0.2">
      <c r="R91" s="483"/>
    </row>
    <row r="92" spans="18:18" x14ac:dyDescent="0.2">
      <c r="R92" s="483"/>
    </row>
    <row r="93" spans="18:18" x14ac:dyDescent="0.2">
      <c r="R93" s="483"/>
    </row>
    <row r="94" spans="18:18" x14ac:dyDescent="0.2">
      <c r="R94" s="483"/>
    </row>
    <row r="95" spans="18:18" x14ac:dyDescent="0.2">
      <c r="R95" s="483"/>
    </row>
    <row r="96" spans="18:18" x14ac:dyDescent="0.2">
      <c r="R96" s="483"/>
    </row>
    <row r="97" spans="18:18" x14ac:dyDescent="0.2">
      <c r="R97" s="483"/>
    </row>
    <row r="98" spans="18:18" x14ac:dyDescent="0.2">
      <c r="R98" s="483"/>
    </row>
    <row r="99" spans="18:18" x14ac:dyDescent="0.2">
      <c r="R99" s="483"/>
    </row>
    <row r="100" spans="18:18" x14ac:dyDescent="0.2">
      <c r="R100" s="483"/>
    </row>
    <row r="101" spans="18:18" x14ac:dyDescent="0.2">
      <c r="R101" s="483"/>
    </row>
    <row r="102" spans="18:18" x14ac:dyDescent="0.2">
      <c r="R102" s="483"/>
    </row>
    <row r="103" spans="18:18" x14ac:dyDescent="0.2">
      <c r="R103" s="483"/>
    </row>
    <row r="104" spans="18:18" x14ac:dyDescent="0.2">
      <c r="R104" s="483"/>
    </row>
    <row r="105" spans="18:18" x14ac:dyDescent="0.2">
      <c r="R105" s="483"/>
    </row>
    <row r="106" spans="18:18" x14ac:dyDescent="0.2">
      <c r="R106" s="483"/>
    </row>
    <row r="107" spans="18:18" x14ac:dyDescent="0.2">
      <c r="R107" s="54"/>
    </row>
    <row r="108" spans="18:18" x14ac:dyDescent="0.2">
      <c r="R108" s="54"/>
    </row>
    <row r="109" spans="18:18" x14ac:dyDescent="0.2">
      <c r="R109" s="54"/>
    </row>
    <row r="110" spans="18:18" x14ac:dyDescent="0.2">
      <c r="R110" s="54"/>
    </row>
    <row r="111" spans="18:18" x14ac:dyDescent="0.2">
      <c r="R111" s="54"/>
    </row>
    <row r="112" spans="18:18" x14ac:dyDescent="0.2">
      <c r="R112" s="54"/>
    </row>
    <row r="113" spans="18:18" x14ac:dyDescent="0.2">
      <c r="R113" s="54"/>
    </row>
    <row r="114" spans="18:18" x14ac:dyDescent="0.2">
      <c r="R114" s="54"/>
    </row>
    <row r="115" spans="18:18" x14ac:dyDescent="0.2">
      <c r="R115" s="54"/>
    </row>
    <row r="116" spans="18:18" x14ac:dyDescent="0.2">
      <c r="R116" s="54"/>
    </row>
    <row r="117" spans="18:18" x14ac:dyDescent="0.2">
      <c r="R117" s="54"/>
    </row>
    <row r="118" spans="18:18" x14ac:dyDescent="0.2">
      <c r="R118" s="54"/>
    </row>
    <row r="119" spans="18:18" x14ac:dyDescent="0.2">
      <c r="R119" s="54"/>
    </row>
    <row r="120" spans="18:18" x14ac:dyDescent="0.2">
      <c r="R120" s="54"/>
    </row>
    <row r="121" spans="18:18" x14ac:dyDescent="0.2">
      <c r="R121" s="54"/>
    </row>
    <row r="122" spans="18:18" x14ac:dyDescent="0.2">
      <c r="R122" s="54"/>
    </row>
    <row r="123" spans="18:18" x14ac:dyDescent="0.2">
      <c r="R123" s="54"/>
    </row>
    <row r="124" spans="18:18" x14ac:dyDescent="0.2">
      <c r="R124" s="54"/>
    </row>
    <row r="125" spans="18:18" x14ac:dyDescent="0.2">
      <c r="R125" s="54"/>
    </row>
    <row r="126" spans="18:18" x14ac:dyDescent="0.2">
      <c r="R126" s="54"/>
    </row>
    <row r="127" spans="18:18" x14ac:dyDescent="0.2">
      <c r="R127" s="54"/>
    </row>
    <row r="128" spans="18:18" x14ac:dyDescent="0.2">
      <c r="R128" s="54"/>
    </row>
    <row r="129" spans="18:18" x14ac:dyDescent="0.2">
      <c r="R129" s="54"/>
    </row>
    <row r="130" spans="18:18" x14ac:dyDescent="0.2">
      <c r="R130" s="54"/>
    </row>
    <row r="131" spans="18:18" x14ac:dyDescent="0.2">
      <c r="R131" s="54"/>
    </row>
    <row r="132" spans="18:18" x14ac:dyDescent="0.2">
      <c r="R132" s="54"/>
    </row>
    <row r="133" spans="18:18" x14ac:dyDescent="0.2">
      <c r="R133" s="54"/>
    </row>
    <row r="134" spans="18:18" x14ac:dyDescent="0.2">
      <c r="R134" s="54"/>
    </row>
    <row r="135" spans="18:18" x14ac:dyDescent="0.2">
      <c r="R135" s="54"/>
    </row>
    <row r="136" spans="18:18" x14ac:dyDescent="0.2">
      <c r="R136" s="54"/>
    </row>
    <row r="137" spans="18:18" x14ac:dyDescent="0.2">
      <c r="R137" s="54"/>
    </row>
    <row r="138" spans="18:18" x14ac:dyDescent="0.2">
      <c r="R138" s="54"/>
    </row>
    <row r="139" spans="18:18" x14ac:dyDescent="0.2">
      <c r="R139" s="54"/>
    </row>
    <row r="140" spans="18:18" x14ac:dyDescent="0.2">
      <c r="R140" s="54"/>
    </row>
    <row r="141" spans="18:18" x14ac:dyDescent="0.2">
      <c r="R141" s="54"/>
    </row>
    <row r="142" spans="18:18" x14ac:dyDescent="0.2">
      <c r="R142" s="54"/>
    </row>
    <row r="143" spans="18:18" x14ac:dyDescent="0.2">
      <c r="R143" s="54"/>
    </row>
    <row r="144" spans="18:18" x14ac:dyDescent="0.2">
      <c r="R144" s="54"/>
    </row>
    <row r="145" spans="18:18" x14ac:dyDescent="0.2">
      <c r="R145" s="54"/>
    </row>
    <row r="146" spans="18:18" x14ac:dyDescent="0.2">
      <c r="R146" s="54"/>
    </row>
    <row r="147" spans="18:18" x14ac:dyDescent="0.2">
      <c r="R147" s="54"/>
    </row>
    <row r="148" spans="18:18" x14ac:dyDescent="0.2">
      <c r="R148" s="54"/>
    </row>
    <row r="149" spans="18:18" x14ac:dyDescent="0.2">
      <c r="R149" s="54"/>
    </row>
    <row r="150" spans="18:18" x14ac:dyDescent="0.2">
      <c r="R150" s="54"/>
    </row>
    <row r="151" spans="18:18" x14ac:dyDescent="0.2">
      <c r="R151" s="54"/>
    </row>
    <row r="152" spans="18:18" x14ac:dyDescent="0.2">
      <c r="R152" s="54"/>
    </row>
    <row r="153" spans="18:18" x14ac:dyDescent="0.2">
      <c r="R153" s="54"/>
    </row>
    <row r="154" spans="18:18" x14ac:dyDescent="0.2">
      <c r="R154" s="54"/>
    </row>
    <row r="155" spans="18:18" x14ac:dyDescent="0.2">
      <c r="R155" s="54"/>
    </row>
    <row r="156" spans="18:18" x14ac:dyDescent="0.2">
      <c r="R156" s="54"/>
    </row>
    <row r="157" spans="18:18" x14ac:dyDescent="0.2">
      <c r="R157" s="54"/>
    </row>
    <row r="158" spans="18:18" x14ac:dyDescent="0.2">
      <c r="R158" s="54"/>
    </row>
    <row r="159" spans="18:18" x14ac:dyDescent="0.2">
      <c r="R159" s="54"/>
    </row>
    <row r="160" spans="18:18" x14ac:dyDescent="0.2">
      <c r="R160" s="54"/>
    </row>
    <row r="161" spans="18:18" x14ac:dyDescent="0.2">
      <c r="R161" s="54"/>
    </row>
    <row r="162" spans="18:18" x14ac:dyDescent="0.2">
      <c r="R162" s="54"/>
    </row>
    <row r="163" spans="18:18" x14ac:dyDescent="0.2">
      <c r="R163" s="54"/>
    </row>
    <row r="164" spans="18:18" x14ac:dyDescent="0.2">
      <c r="R164" s="54"/>
    </row>
    <row r="165" spans="18:18" x14ac:dyDescent="0.2">
      <c r="R165" s="54"/>
    </row>
    <row r="166" spans="18:18" x14ac:dyDescent="0.2">
      <c r="R166" s="54"/>
    </row>
    <row r="167" spans="18:18" x14ac:dyDescent="0.2">
      <c r="R167" s="54"/>
    </row>
    <row r="168" spans="18:18" x14ac:dyDescent="0.2">
      <c r="R168" s="54"/>
    </row>
    <row r="169" spans="18:18" x14ac:dyDescent="0.2">
      <c r="R169" s="54"/>
    </row>
    <row r="170" spans="18:18" x14ac:dyDescent="0.2">
      <c r="R170" s="54"/>
    </row>
    <row r="171" spans="18:18" x14ac:dyDescent="0.2">
      <c r="R171" s="54"/>
    </row>
    <row r="172" spans="18:18" x14ac:dyDescent="0.2">
      <c r="R172" s="54"/>
    </row>
    <row r="173" spans="18:18" x14ac:dyDescent="0.2">
      <c r="R173" s="54"/>
    </row>
    <row r="174" spans="18:18" x14ac:dyDescent="0.2">
      <c r="R174" s="54"/>
    </row>
    <row r="175" spans="18:18" x14ac:dyDescent="0.2">
      <c r="R175" s="54"/>
    </row>
    <row r="176" spans="18:18" x14ac:dyDescent="0.2">
      <c r="R176" s="54"/>
    </row>
    <row r="177" spans="18:18" x14ac:dyDescent="0.2">
      <c r="R177" s="54"/>
    </row>
    <row r="178" spans="18:18" x14ac:dyDescent="0.2">
      <c r="R178" s="54"/>
    </row>
    <row r="179" spans="18:18" x14ac:dyDescent="0.2">
      <c r="R179" s="54"/>
    </row>
    <row r="180" spans="18:18" x14ac:dyDescent="0.2">
      <c r="R180" s="54"/>
    </row>
    <row r="181" spans="18:18" x14ac:dyDescent="0.2">
      <c r="R181" s="54"/>
    </row>
    <row r="182" spans="18:18" x14ac:dyDescent="0.2">
      <c r="R182" s="54"/>
    </row>
    <row r="183" spans="18:18" x14ac:dyDescent="0.2">
      <c r="R183" s="54"/>
    </row>
    <row r="184" spans="18:18" x14ac:dyDescent="0.2">
      <c r="R184" s="54"/>
    </row>
    <row r="185" spans="18:18" x14ac:dyDescent="0.2">
      <c r="R185" s="54"/>
    </row>
    <row r="186" spans="18:18" x14ac:dyDescent="0.2">
      <c r="R186" s="54"/>
    </row>
    <row r="187" spans="18:18" x14ac:dyDescent="0.2">
      <c r="R187" s="54"/>
    </row>
    <row r="188" spans="18:18" x14ac:dyDescent="0.2">
      <c r="R188" s="54"/>
    </row>
    <row r="189" spans="18:18" x14ac:dyDescent="0.2">
      <c r="R189" s="54"/>
    </row>
    <row r="190" spans="18:18" x14ac:dyDescent="0.2">
      <c r="R190" s="54"/>
    </row>
    <row r="191" spans="18:18" x14ac:dyDescent="0.2">
      <c r="R191" s="54"/>
    </row>
    <row r="192" spans="18:18" x14ac:dyDescent="0.2">
      <c r="R192" s="54"/>
    </row>
    <row r="193" spans="18:18" x14ac:dyDescent="0.2">
      <c r="R193" s="54"/>
    </row>
    <row r="194" spans="18:18" x14ac:dyDescent="0.2">
      <c r="R194" s="54"/>
    </row>
    <row r="195" spans="18:18" x14ac:dyDescent="0.2">
      <c r="R195" s="54"/>
    </row>
    <row r="196" spans="18:18" x14ac:dyDescent="0.2">
      <c r="R196" s="54"/>
    </row>
    <row r="197" spans="18:18" x14ac:dyDescent="0.2">
      <c r="R197" s="54"/>
    </row>
    <row r="198" spans="18:18" x14ac:dyDescent="0.2">
      <c r="R198" s="54"/>
    </row>
    <row r="199" spans="18:18" x14ac:dyDescent="0.2">
      <c r="R199" s="54"/>
    </row>
    <row r="200" spans="18:18" x14ac:dyDescent="0.2">
      <c r="R200" s="54"/>
    </row>
    <row r="201" spans="18:18" x14ac:dyDescent="0.2">
      <c r="R201" s="54"/>
    </row>
    <row r="202" spans="18:18" x14ac:dyDescent="0.2">
      <c r="R202" s="54"/>
    </row>
    <row r="203" spans="18:18" x14ac:dyDescent="0.2">
      <c r="R203" s="54"/>
    </row>
    <row r="204" spans="18:18" x14ac:dyDescent="0.2">
      <c r="R204" s="54"/>
    </row>
    <row r="205" spans="18:18" x14ac:dyDescent="0.2">
      <c r="R205" s="54"/>
    </row>
    <row r="206" spans="18:18" x14ac:dyDescent="0.2">
      <c r="R206" s="54"/>
    </row>
    <row r="207" spans="18:18" x14ac:dyDescent="0.2">
      <c r="R207" s="54"/>
    </row>
    <row r="208" spans="18:18" x14ac:dyDescent="0.2">
      <c r="R208" s="54"/>
    </row>
    <row r="209" spans="18:18" x14ac:dyDescent="0.2">
      <c r="R209" s="54"/>
    </row>
    <row r="210" spans="18:18" x14ac:dyDescent="0.2">
      <c r="R210" s="54"/>
    </row>
    <row r="211" spans="18:18" x14ac:dyDescent="0.2">
      <c r="R211" s="54"/>
    </row>
    <row r="212" spans="18:18" x14ac:dyDescent="0.2">
      <c r="R212" s="54"/>
    </row>
    <row r="213" spans="18:18" x14ac:dyDescent="0.2">
      <c r="R213" s="54"/>
    </row>
    <row r="214" spans="18:18" x14ac:dyDescent="0.2">
      <c r="R214" s="54"/>
    </row>
    <row r="215" spans="18:18" x14ac:dyDescent="0.2">
      <c r="R215" s="54"/>
    </row>
    <row r="216" spans="18:18" x14ac:dyDescent="0.2">
      <c r="R216" s="54"/>
    </row>
    <row r="217" spans="18:18" x14ac:dyDescent="0.2">
      <c r="R217" s="54"/>
    </row>
    <row r="218" spans="18:18" x14ac:dyDescent="0.2">
      <c r="R218" s="54"/>
    </row>
    <row r="219" spans="18:18" x14ac:dyDescent="0.2">
      <c r="R219" s="54"/>
    </row>
    <row r="220" spans="18:18" x14ac:dyDescent="0.2">
      <c r="R220" s="54"/>
    </row>
    <row r="221" spans="18:18" x14ac:dyDescent="0.2">
      <c r="R221" s="54"/>
    </row>
    <row r="222" spans="18:18" x14ac:dyDescent="0.2">
      <c r="R222" s="54"/>
    </row>
    <row r="223" spans="18:18" x14ac:dyDescent="0.2">
      <c r="R223" s="54"/>
    </row>
    <row r="224" spans="18:18" x14ac:dyDescent="0.2">
      <c r="R224" s="54"/>
    </row>
    <row r="225" spans="18:18" x14ac:dyDescent="0.2">
      <c r="R225" s="54"/>
    </row>
    <row r="226" spans="18:18" x14ac:dyDescent="0.2">
      <c r="R226" s="54"/>
    </row>
    <row r="227" spans="18:18" x14ac:dyDescent="0.2">
      <c r="R227" s="54"/>
    </row>
    <row r="228" spans="18:18" x14ac:dyDescent="0.2">
      <c r="R228" s="54"/>
    </row>
    <row r="229" spans="18:18" x14ac:dyDescent="0.2">
      <c r="R229" s="54"/>
    </row>
    <row r="230" spans="18:18" x14ac:dyDescent="0.2">
      <c r="R230" s="54"/>
    </row>
    <row r="231" spans="18:18" x14ac:dyDescent="0.2">
      <c r="R231" s="54"/>
    </row>
    <row r="232" spans="18:18" x14ac:dyDescent="0.2">
      <c r="R232" s="54"/>
    </row>
    <row r="233" spans="18:18" x14ac:dyDescent="0.2">
      <c r="R233" s="54"/>
    </row>
    <row r="234" spans="18:18" x14ac:dyDescent="0.2">
      <c r="R234" s="54"/>
    </row>
    <row r="235" spans="18:18" x14ac:dyDescent="0.2">
      <c r="R235" s="54"/>
    </row>
    <row r="236" spans="18:18" x14ac:dyDescent="0.2">
      <c r="R236" s="54"/>
    </row>
    <row r="237" spans="18:18" x14ac:dyDescent="0.2">
      <c r="R237" s="54"/>
    </row>
    <row r="238" spans="18:18" x14ac:dyDescent="0.2">
      <c r="R238" s="54"/>
    </row>
    <row r="239" spans="18:18" x14ac:dyDescent="0.2">
      <c r="R239" s="54"/>
    </row>
    <row r="240" spans="18:18" x14ac:dyDescent="0.2">
      <c r="R240" s="54"/>
    </row>
    <row r="241" spans="18:18" x14ac:dyDescent="0.2">
      <c r="R241" s="54"/>
    </row>
    <row r="242" spans="18:18" x14ac:dyDescent="0.2">
      <c r="R242" s="54"/>
    </row>
    <row r="243" spans="18:18" x14ac:dyDescent="0.2">
      <c r="R243" s="54"/>
    </row>
    <row r="244" spans="18:18" x14ac:dyDescent="0.2">
      <c r="R244" s="54"/>
    </row>
    <row r="245" spans="18:18" x14ac:dyDescent="0.2">
      <c r="R245" s="54"/>
    </row>
    <row r="246" spans="18:18" x14ac:dyDescent="0.2">
      <c r="R246" s="54"/>
    </row>
    <row r="247" spans="18:18" x14ac:dyDescent="0.2">
      <c r="R247" s="54"/>
    </row>
    <row r="248" spans="18:18" x14ac:dyDescent="0.2">
      <c r="R248" s="54"/>
    </row>
    <row r="249" spans="18:18" x14ac:dyDescent="0.2">
      <c r="R249" s="54"/>
    </row>
    <row r="250" spans="18:18" x14ac:dyDescent="0.2">
      <c r="R250" s="54"/>
    </row>
    <row r="251" spans="18:18" x14ac:dyDescent="0.2">
      <c r="R251" s="54"/>
    </row>
    <row r="252" spans="18:18" x14ac:dyDescent="0.2">
      <c r="R252" s="54"/>
    </row>
    <row r="253" spans="18:18" x14ac:dyDescent="0.2">
      <c r="R253" s="54"/>
    </row>
    <row r="254" spans="18:18" x14ac:dyDescent="0.2">
      <c r="R254" s="54"/>
    </row>
    <row r="255" spans="18:18" x14ac:dyDescent="0.2">
      <c r="R255" s="54"/>
    </row>
    <row r="256" spans="18:18" x14ac:dyDescent="0.2">
      <c r="R256" s="54"/>
    </row>
    <row r="257" spans="18:18" x14ac:dyDescent="0.2">
      <c r="R257" s="54"/>
    </row>
    <row r="258" spans="18:18" x14ac:dyDescent="0.2">
      <c r="R258" s="54"/>
    </row>
    <row r="259" spans="18:18" x14ac:dyDescent="0.2">
      <c r="R259" s="54"/>
    </row>
    <row r="260" spans="18:18" x14ac:dyDescent="0.2">
      <c r="R260" s="54"/>
    </row>
    <row r="261" spans="18:18" x14ac:dyDescent="0.2">
      <c r="R261" s="54"/>
    </row>
    <row r="262" spans="18:18" x14ac:dyDescent="0.2">
      <c r="R262" s="54"/>
    </row>
    <row r="263" spans="18:18" x14ac:dyDescent="0.2">
      <c r="R263" s="54"/>
    </row>
    <row r="264" spans="18:18" x14ac:dyDescent="0.2">
      <c r="R264" s="54"/>
    </row>
    <row r="265" spans="18:18" x14ac:dyDescent="0.2">
      <c r="R265" s="54"/>
    </row>
    <row r="266" spans="18:18" x14ac:dyDescent="0.2">
      <c r="R266" s="54"/>
    </row>
    <row r="267" spans="18:18" x14ac:dyDescent="0.2">
      <c r="R267" s="54"/>
    </row>
    <row r="268" spans="18:18" x14ac:dyDescent="0.2">
      <c r="R268" s="54"/>
    </row>
    <row r="269" spans="18:18" x14ac:dyDescent="0.2">
      <c r="R269" s="54"/>
    </row>
    <row r="270" spans="18:18" x14ac:dyDescent="0.2">
      <c r="R270" s="54"/>
    </row>
    <row r="271" spans="18:18" x14ac:dyDescent="0.2">
      <c r="R271" s="54"/>
    </row>
    <row r="272" spans="18:18" x14ac:dyDescent="0.2">
      <c r="R272" s="54"/>
    </row>
    <row r="273" spans="18:18" x14ac:dyDescent="0.2">
      <c r="R273" s="54"/>
    </row>
    <row r="274" spans="18:18" x14ac:dyDescent="0.2">
      <c r="R274" s="54"/>
    </row>
    <row r="275" spans="18:18" x14ac:dyDescent="0.2">
      <c r="R275" s="54"/>
    </row>
    <row r="276" spans="18:18" x14ac:dyDescent="0.2">
      <c r="R276" s="54"/>
    </row>
    <row r="277" spans="18:18" x14ac:dyDescent="0.2">
      <c r="R277" s="54"/>
    </row>
    <row r="278" spans="18:18" x14ac:dyDescent="0.2">
      <c r="R278" s="54"/>
    </row>
    <row r="279" spans="18:18" x14ac:dyDescent="0.2">
      <c r="R279" s="54"/>
    </row>
    <row r="280" spans="18:18" x14ac:dyDescent="0.2">
      <c r="R280" s="54"/>
    </row>
    <row r="281" spans="18:18" x14ac:dyDescent="0.2">
      <c r="R281" s="54"/>
    </row>
    <row r="282" spans="18:18" x14ac:dyDescent="0.2">
      <c r="R282" s="54"/>
    </row>
    <row r="283" spans="18:18" x14ac:dyDescent="0.2">
      <c r="R283" s="54"/>
    </row>
    <row r="284" spans="18:18" x14ac:dyDescent="0.2">
      <c r="R284" s="54"/>
    </row>
    <row r="285" spans="18:18" x14ac:dyDescent="0.2">
      <c r="R285" s="54"/>
    </row>
    <row r="286" spans="18:18" x14ac:dyDescent="0.2">
      <c r="R286" s="54"/>
    </row>
    <row r="287" spans="18:18" x14ac:dyDescent="0.2">
      <c r="R287" s="54"/>
    </row>
    <row r="288" spans="18:18" x14ac:dyDescent="0.2">
      <c r="R288" s="54"/>
    </row>
    <row r="289" spans="18:18" x14ac:dyDescent="0.2">
      <c r="R289" s="54"/>
    </row>
    <row r="290" spans="18:18" x14ac:dyDescent="0.2">
      <c r="R290" s="54"/>
    </row>
    <row r="291" spans="18:18" x14ac:dyDescent="0.2">
      <c r="R291" s="54"/>
    </row>
    <row r="292" spans="18:18" x14ac:dyDescent="0.2">
      <c r="R292" s="54"/>
    </row>
    <row r="293" spans="18:18" x14ac:dyDescent="0.2">
      <c r="R293" s="54"/>
    </row>
    <row r="294" spans="18:18" x14ac:dyDescent="0.2">
      <c r="R294" s="54"/>
    </row>
    <row r="295" spans="18:18" x14ac:dyDescent="0.2">
      <c r="R295" s="54"/>
    </row>
    <row r="296" spans="18:18" x14ac:dyDescent="0.2">
      <c r="R296" s="54"/>
    </row>
    <row r="297" spans="18:18" x14ac:dyDescent="0.2">
      <c r="R297" s="54"/>
    </row>
    <row r="298" spans="18:18" x14ac:dyDescent="0.2">
      <c r="R298" s="54"/>
    </row>
    <row r="299" spans="18:18" x14ac:dyDescent="0.2">
      <c r="R299" s="54"/>
    </row>
    <row r="300" spans="18:18" x14ac:dyDescent="0.2">
      <c r="R300" s="54"/>
    </row>
    <row r="301" spans="18:18" x14ac:dyDescent="0.2">
      <c r="R301" s="54"/>
    </row>
    <row r="302" spans="18:18" x14ac:dyDescent="0.2">
      <c r="R302" s="54"/>
    </row>
    <row r="303" spans="18:18" x14ac:dyDescent="0.2">
      <c r="R303" s="54"/>
    </row>
    <row r="304" spans="18:18" x14ac:dyDescent="0.2">
      <c r="R304" s="54"/>
    </row>
    <row r="305" spans="18:18" x14ac:dyDescent="0.2">
      <c r="R305" s="54"/>
    </row>
    <row r="306" spans="18:18" x14ac:dyDescent="0.2">
      <c r="R306" s="54"/>
    </row>
    <row r="307" spans="18:18" x14ac:dyDescent="0.2">
      <c r="R307" s="54"/>
    </row>
    <row r="308" spans="18:18" x14ac:dyDescent="0.2">
      <c r="R308" s="54"/>
    </row>
    <row r="309" spans="18:18" x14ac:dyDescent="0.2">
      <c r="R309" s="54"/>
    </row>
    <row r="310" spans="18:18" x14ac:dyDescent="0.2">
      <c r="R310" s="54"/>
    </row>
    <row r="311" spans="18:18" x14ac:dyDescent="0.2">
      <c r="R311" s="54"/>
    </row>
    <row r="312" spans="18:18" x14ac:dyDescent="0.2">
      <c r="R312" s="54"/>
    </row>
    <row r="313" spans="18:18" x14ac:dyDescent="0.2">
      <c r="R313" s="54"/>
    </row>
    <row r="314" spans="18:18" x14ac:dyDescent="0.2">
      <c r="R314" s="54"/>
    </row>
    <row r="315" spans="18:18" x14ac:dyDescent="0.2">
      <c r="R315" s="54"/>
    </row>
    <row r="316" spans="18:18" x14ac:dyDescent="0.2">
      <c r="R316" s="54"/>
    </row>
    <row r="317" spans="18:18" x14ac:dyDescent="0.2">
      <c r="R317" s="54"/>
    </row>
    <row r="318" spans="18:18" x14ac:dyDescent="0.2">
      <c r="R318" s="54"/>
    </row>
    <row r="319" spans="18:18" x14ac:dyDescent="0.2">
      <c r="R319" s="54"/>
    </row>
    <row r="320" spans="18:18" x14ac:dyDescent="0.2">
      <c r="R320" s="54"/>
    </row>
    <row r="321" spans="18:18" x14ac:dyDescent="0.2">
      <c r="R321" s="54"/>
    </row>
    <row r="322" spans="18:18" x14ac:dyDescent="0.2">
      <c r="R322" s="54"/>
    </row>
    <row r="323" spans="18:18" x14ac:dyDescent="0.2">
      <c r="R323" s="54"/>
    </row>
    <row r="324" spans="18:18" x14ac:dyDescent="0.2">
      <c r="R324" s="54"/>
    </row>
    <row r="325" spans="18:18" x14ac:dyDescent="0.2">
      <c r="R325" s="54"/>
    </row>
    <row r="326" spans="18:18" x14ac:dyDescent="0.2">
      <c r="R326" s="54"/>
    </row>
    <row r="327" spans="18:18" x14ac:dyDescent="0.2">
      <c r="R327" s="54"/>
    </row>
    <row r="328" spans="18:18" x14ac:dyDescent="0.2">
      <c r="R328" s="54"/>
    </row>
    <row r="329" spans="18:18" x14ac:dyDescent="0.2">
      <c r="R329" s="54"/>
    </row>
    <row r="330" spans="18:18" x14ac:dyDescent="0.2">
      <c r="R330" s="54"/>
    </row>
    <row r="331" spans="18:18" x14ac:dyDescent="0.2">
      <c r="R331" s="54"/>
    </row>
    <row r="332" spans="18:18" x14ac:dyDescent="0.2">
      <c r="R332" s="54"/>
    </row>
    <row r="333" spans="18:18" x14ac:dyDescent="0.2">
      <c r="R333" s="54"/>
    </row>
    <row r="334" spans="18:18" x14ac:dyDescent="0.2">
      <c r="R334" s="54"/>
    </row>
    <row r="335" spans="18:18" x14ac:dyDescent="0.2">
      <c r="R335" s="54"/>
    </row>
    <row r="336" spans="18:18" x14ac:dyDescent="0.2">
      <c r="R336" s="54"/>
    </row>
    <row r="337" spans="18:18" x14ac:dyDescent="0.2">
      <c r="R337" s="54"/>
    </row>
    <row r="338" spans="18:18" x14ac:dyDescent="0.2">
      <c r="R338" s="54"/>
    </row>
    <row r="339" spans="18:18" x14ac:dyDescent="0.2">
      <c r="R339" s="54"/>
    </row>
    <row r="340" spans="18:18" x14ac:dyDescent="0.2">
      <c r="R340" s="54"/>
    </row>
    <row r="341" spans="18:18" x14ac:dyDescent="0.2">
      <c r="R341" s="54"/>
    </row>
    <row r="342" spans="18:18" x14ac:dyDescent="0.2">
      <c r="R342" s="54"/>
    </row>
    <row r="343" spans="18:18" x14ac:dyDescent="0.2">
      <c r="R343" s="54"/>
    </row>
    <row r="344" spans="18:18" x14ac:dyDescent="0.2">
      <c r="R344" s="54"/>
    </row>
    <row r="345" spans="18:18" x14ac:dyDescent="0.2">
      <c r="R345" s="54"/>
    </row>
    <row r="346" spans="18:18" x14ac:dyDescent="0.2">
      <c r="R346" s="54"/>
    </row>
    <row r="347" spans="18:18" x14ac:dyDescent="0.2">
      <c r="R347" s="54"/>
    </row>
    <row r="348" spans="18:18" x14ac:dyDescent="0.2">
      <c r="R348" s="54"/>
    </row>
    <row r="349" spans="18:18" x14ac:dyDescent="0.2">
      <c r="R349" s="54"/>
    </row>
    <row r="350" spans="18:18" x14ac:dyDescent="0.2">
      <c r="R350" s="54"/>
    </row>
    <row r="351" spans="18:18" x14ac:dyDescent="0.2">
      <c r="R351" s="54"/>
    </row>
    <row r="352" spans="18:18" x14ac:dyDescent="0.2">
      <c r="R352" s="54"/>
    </row>
    <row r="353" spans="18:18" x14ac:dyDescent="0.2">
      <c r="R353" s="54"/>
    </row>
    <row r="354" spans="18:18" x14ac:dyDescent="0.2">
      <c r="R354" s="54"/>
    </row>
    <row r="355" spans="18:18" x14ac:dyDescent="0.2">
      <c r="R355" s="54"/>
    </row>
    <row r="356" spans="18:18" x14ac:dyDescent="0.2">
      <c r="R356" s="54"/>
    </row>
    <row r="357" spans="18:18" x14ac:dyDescent="0.2">
      <c r="R357" s="54"/>
    </row>
    <row r="358" spans="18:18" x14ac:dyDescent="0.2">
      <c r="R358" s="54"/>
    </row>
    <row r="359" spans="18:18" x14ac:dyDescent="0.2">
      <c r="R359" s="54"/>
    </row>
    <row r="360" spans="18:18" x14ac:dyDescent="0.2">
      <c r="R360" s="54"/>
    </row>
    <row r="361" spans="18:18" x14ac:dyDescent="0.2">
      <c r="R361" s="54"/>
    </row>
    <row r="362" spans="18:18" x14ac:dyDescent="0.2">
      <c r="R362" s="54"/>
    </row>
    <row r="363" spans="18:18" x14ac:dyDescent="0.2">
      <c r="R363" s="54"/>
    </row>
    <row r="364" spans="18:18" x14ac:dyDescent="0.2">
      <c r="R364" s="54"/>
    </row>
    <row r="365" spans="18:18" x14ac:dyDescent="0.2">
      <c r="R365" s="54"/>
    </row>
    <row r="366" spans="18:18" x14ac:dyDescent="0.2">
      <c r="R366" s="54"/>
    </row>
    <row r="367" spans="18:18" x14ac:dyDescent="0.2">
      <c r="R367" s="54"/>
    </row>
    <row r="368" spans="18:18" x14ac:dyDescent="0.2">
      <c r="R368" s="54"/>
    </row>
    <row r="369" spans="18:18" x14ac:dyDescent="0.2">
      <c r="R369" s="54"/>
    </row>
    <row r="370" spans="18:18" x14ac:dyDescent="0.2">
      <c r="R370" s="54"/>
    </row>
    <row r="371" spans="18:18" x14ac:dyDescent="0.2">
      <c r="R371" s="54"/>
    </row>
    <row r="372" spans="18:18" x14ac:dyDescent="0.2">
      <c r="R372" s="54"/>
    </row>
    <row r="373" spans="18:18" x14ac:dyDescent="0.2">
      <c r="R373" s="54"/>
    </row>
    <row r="374" spans="18:18" x14ac:dyDescent="0.2">
      <c r="R374" s="54"/>
    </row>
    <row r="375" spans="18:18" x14ac:dyDescent="0.2">
      <c r="R375" s="54"/>
    </row>
    <row r="376" spans="18:18" x14ac:dyDescent="0.2">
      <c r="R376" s="54"/>
    </row>
    <row r="377" spans="18:18" x14ac:dyDescent="0.2">
      <c r="R377" s="54"/>
    </row>
    <row r="378" spans="18:18" x14ac:dyDescent="0.2">
      <c r="R378" s="54"/>
    </row>
    <row r="379" spans="18:18" x14ac:dyDescent="0.2">
      <c r="R379" s="54"/>
    </row>
    <row r="380" spans="18:18" x14ac:dyDescent="0.2">
      <c r="R380" s="54"/>
    </row>
    <row r="381" spans="18:18" x14ac:dyDescent="0.2">
      <c r="R381" s="54"/>
    </row>
    <row r="382" spans="18:18" x14ac:dyDescent="0.2">
      <c r="R382" s="54"/>
    </row>
    <row r="383" spans="18:18" x14ac:dyDescent="0.2">
      <c r="R383" s="54"/>
    </row>
    <row r="384" spans="18:18" x14ac:dyDescent="0.2">
      <c r="R384" s="54"/>
    </row>
    <row r="385" spans="18:18" x14ac:dyDescent="0.2">
      <c r="R385" s="54"/>
    </row>
    <row r="386" spans="18:18" x14ac:dyDescent="0.2">
      <c r="R386" s="54"/>
    </row>
    <row r="387" spans="18:18" x14ac:dyDescent="0.2">
      <c r="R387" s="54"/>
    </row>
    <row r="388" spans="18:18" x14ac:dyDescent="0.2">
      <c r="R388" s="54"/>
    </row>
    <row r="389" spans="18:18" x14ac:dyDescent="0.2">
      <c r="R389" s="54"/>
    </row>
    <row r="390" spans="18:18" x14ac:dyDescent="0.2">
      <c r="R390" s="54"/>
    </row>
    <row r="391" spans="18:18" x14ac:dyDescent="0.2">
      <c r="R391" s="54"/>
    </row>
    <row r="392" spans="18:18" x14ac:dyDescent="0.2">
      <c r="R392" s="54"/>
    </row>
    <row r="393" spans="18:18" x14ac:dyDescent="0.2">
      <c r="R393" s="54"/>
    </row>
    <row r="394" spans="18:18" x14ac:dyDescent="0.2">
      <c r="R394" s="54"/>
    </row>
    <row r="395" spans="18:18" x14ac:dyDescent="0.2">
      <c r="R395" s="54"/>
    </row>
    <row r="396" spans="18:18" x14ac:dyDescent="0.2">
      <c r="R396" s="54"/>
    </row>
    <row r="397" spans="18:18" x14ac:dyDescent="0.2">
      <c r="R397" s="54"/>
    </row>
    <row r="398" spans="18:18" x14ac:dyDescent="0.2">
      <c r="R398" s="54"/>
    </row>
    <row r="399" spans="18:18" x14ac:dyDescent="0.2">
      <c r="R399" s="54"/>
    </row>
    <row r="400" spans="18:18" x14ac:dyDescent="0.2">
      <c r="R400" s="54"/>
    </row>
    <row r="401" spans="18:18" x14ac:dyDescent="0.2">
      <c r="R401" s="54"/>
    </row>
    <row r="402" spans="18:18" x14ac:dyDescent="0.2">
      <c r="R402" s="54"/>
    </row>
    <row r="403" spans="18:18" x14ac:dyDescent="0.2">
      <c r="R403" s="54"/>
    </row>
    <row r="404" spans="18:18" x14ac:dyDescent="0.2">
      <c r="R404" s="54"/>
    </row>
    <row r="405" spans="18:18" x14ac:dyDescent="0.2">
      <c r="R405" s="54"/>
    </row>
    <row r="406" spans="18:18" x14ac:dyDescent="0.2">
      <c r="R406" s="54"/>
    </row>
    <row r="407" spans="18:18" x14ac:dyDescent="0.2">
      <c r="R407" s="54"/>
    </row>
    <row r="408" spans="18:18" x14ac:dyDescent="0.2">
      <c r="R408" s="54"/>
    </row>
    <row r="409" spans="18:18" x14ac:dyDescent="0.2">
      <c r="R409" s="54"/>
    </row>
    <row r="410" spans="18:18" x14ac:dyDescent="0.2">
      <c r="R410" s="54"/>
    </row>
    <row r="411" spans="18:18" x14ac:dyDescent="0.2">
      <c r="R411" s="54"/>
    </row>
    <row r="412" spans="18:18" x14ac:dyDescent="0.2">
      <c r="R412" s="54"/>
    </row>
    <row r="413" spans="18:18" x14ac:dyDescent="0.2">
      <c r="R413" s="54"/>
    </row>
    <row r="414" spans="18:18" x14ac:dyDescent="0.2">
      <c r="R414" s="54"/>
    </row>
    <row r="415" spans="18:18" x14ac:dyDescent="0.2">
      <c r="R415" s="54"/>
    </row>
    <row r="416" spans="18:18" x14ac:dyDescent="0.2">
      <c r="R416" s="54"/>
    </row>
    <row r="417" spans="18:18" x14ac:dyDescent="0.2">
      <c r="R417" s="54"/>
    </row>
    <row r="418" spans="18:18" x14ac:dyDescent="0.2">
      <c r="R418" s="54"/>
    </row>
    <row r="419" spans="18:18" x14ac:dyDescent="0.2">
      <c r="R419" s="54"/>
    </row>
    <row r="420" spans="18:18" x14ac:dyDescent="0.2">
      <c r="R420" s="54"/>
    </row>
    <row r="421" spans="18:18" x14ac:dyDescent="0.2">
      <c r="R421" s="54"/>
    </row>
    <row r="422" spans="18:18" x14ac:dyDescent="0.2">
      <c r="R422" s="54"/>
    </row>
    <row r="423" spans="18:18" x14ac:dyDescent="0.2">
      <c r="R423" s="54"/>
    </row>
    <row r="424" spans="18:18" x14ac:dyDescent="0.2">
      <c r="R424" s="54"/>
    </row>
    <row r="425" spans="18:18" x14ac:dyDescent="0.2">
      <c r="R425" s="54"/>
    </row>
    <row r="426" spans="18:18" x14ac:dyDescent="0.2">
      <c r="R426" s="54"/>
    </row>
    <row r="427" spans="18:18" x14ac:dyDescent="0.2">
      <c r="R427" s="54"/>
    </row>
    <row r="428" spans="18:18" x14ac:dyDescent="0.2">
      <c r="R428" s="54"/>
    </row>
    <row r="429" spans="18:18" x14ac:dyDescent="0.2">
      <c r="R429" s="54"/>
    </row>
    <row r="430" spans="18:18" x14ac:dyDescent="0.2">
      <c r="R430" s="54"/>
    </row>
    <row r="431" spans="18:18" x14ac:dyDescent="0.2">
      <c r="R431" s="54"/>
    </row>
    <row r="432" spans="18:18" x14ac:dyDescent="0.2">
      <c r="R432" s="54"/>
    </row>
    <row r="433" spans="18:18" x14ac:dyDescent="0.2">
      <c r="R433" s="54"/>
    </row>
    <row r="434" spans="18:18" x14ac:dyDescent="0.2">
      <c r="R434" s="54"/>
    </row>
    <row r="435" spans="18:18" x14ac:dyDescent="0.2">
      <c r="R435" s="54"/>
    </row>
    <row r="436" spans="18:18" x14ac:dyDescent="0.2">
      <c r="R436" s="54"/>
    </row>
    <row r="437" spans="18:18" x14ac:dyDescent="0.2">
      <c r="R437" s="54"/>
    </row>
    <row r="438" spans="18:18" x14ac:dyDescent="0.2">
      <c r="R438" s="54"/>
    </row>
    <row r="439" spans="18:18" x14ac:dyDescent="0.2">
      <c r="R439" s="54"/>
    </row>
    <row r="440" spans="18:18" x14ac:dyDescent="0.2">
      <c r="R440" s="54"/>
    </row>
    <row r="441" spans="18:18" x14ac:dyDescent="0.2">
      <c r="R441" s="54"/>
    </row>
    <row r="442" spans="18:18" x14ac:dyDescent="0.2">
      <c r="R442" s="54"/>
    </row>
    <row r="443" spans="18:18" x14ac:dyDescent="0.2">
      <c r="R443" s="54"/>
    </row>
    <row r="444" spans="18:18" x14ac:dyDescent="0.2">
      <c r="R444" s="54"/>
    </row>
    <row r="445" spans="18:18" x14ac:dyDescent="0.2">
      <c r="R445" s="54"/>
    </row>
    <row r="446" spans="18:18" x14ac:dyDescent="0.2">
      <c r="R446" s="54"/>
    </row>
    <row r="447" spans="18:18" x14ac:dyDescent="0.2">
      <c r="R447" s="54"/>
    </row>
    <row r="448" spans="18:18" x14ac:dyDescent="0.2">
      <c r="R448" s="54"/>
    </row>
    <row r="449" spans="18:18" x14ac:dyDescent="0.2">
      <c r="R449" s="54"/>
    </row>
    <row r="450" spans="18:18" x14ac:dyDescent="0.2">
      <c r="R450" s="54"/>
    </row>
    <row r="451" spans="18:18" x14ac:dyDescent="0.2">
      <c r="R451" s="54"/>
    </row>
    <row r="452" spans="18:18" x14ac:dyDescent="0.2">
      <c r="R452" s="54"/>
    </row>
  </sheetData>
  <mergeCells count="2">
    <mergeCell ref="A1:Q1"/>
    <mergeCell ref="O3:P3"/>
  </mergeCells>
  <conditionalFormatting sqref="B8:D11 F12:H14">
    <cfRule type="expression" dxfId="6" priority="6" stopIfTrue="1">
      <formula>INFILTER_TYPE=1</formula>
    </cfRule>
  </conditionalFormatting>
  <conditionalFormatting sqref="A5:Q7 E9:F11 I8:Q14 A15:Q80 A8:A11 A12:E14">
    <cfRule type="expression" dxfId="5" priority="5">
      <formula>MODE=2</formula>
    </cfRule>
  </conditionalFormatting>
  <conditionalFormatting sqref="G8:G11">
    <cfRule type="expression" dxfId="4" priority="4" stopIfTrue="1">
      <formula>INFILTER_TYPE=1</formula>
    </cfRule>
  </conditionalFormatting>
  <conditionalFormatting sqref="F8">
    <cfRule type="expression" dxfId="3" priority="3" stopIfTrue="1">
      <formula>INFILTER_TYPE=1</formula>
    </cfRule>
  </conditionalFormatting>
  <conditionalFormatting sqref="E8">
    <cfRule type="expression" dxfId="2" priority="2">
      <formula>MODE=2</formula>
    </cfRule>
  </conditionalFormatting>
  <conditionalFormatting sqref="H8:H11">
    <cfRule type="expression" dxfId="1" priority="1" stopIfTrue="1">
      <formula>INFILTER_TYPE=1</formula>
    </cfRule>
  </conditionalFormatting>
  <hyperlinks>
    <hyperlink ref="O2" r:id="rId1" xr:uid="{00000000-0004-0000-0200-000000000000}"/>
    <hyperlink ref="C3" r:id="rId2" xr:uid="{00000000-0004-0000-0200-000001000000}"/>
  </hyperlinks>
  <pageMargins left="0.7" right="0.7" top="0.75" bottom="0.75" header="0.3" footer="0.3"/>
  <pageSetup orientation="portrait" r:id="rId3"/>
  <drawing r:id="rId4"/>
  <legacy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F0000"/>
  </sheetPr>
  <dimension ref="A1:M61"/>
  <sheetViews>
    <sheetView topLeftCell="A36" zoomScaleNormal="100" workbookViewId="0">
      <selection activeCell="A37" sqref="A37"/>
    </sheetView>
  </sheetViews>
  <sheetFormatPr defaultRowHeight="12.75" x14ac:dyDescent="0.2"/>
  <cols>
    <col min="1" max="1" width="9.5703125" style="211" customWidth="1"/>
    <col min="2" max="2" width="20.28515625" style="211" customWidth="1"/>
    <col min="3" max="3" width="16.140625" style="211" customWidth="1"/>
    <col min="4" max="4" width="20.140625" style="211" customWidth="1"/>
    <col min="5" max="5" width="17.28515625" style="211" customWidth="1"/>
    <col min="6" max="6" width="20.5703125" style="211" bestFit="1" customWidth="1"/>
    <col min="7" max="7" width="9.7109375" style="211" customWidth="1"/>
    <col min="8" max="8" width="16.140625" style="211" customWidth="1"/>
    <col min="9" max="9" width="17" style="211" customWidth="1"/>
    <col min="10" max="10" width="14.42578125" style="211" customWidth="1"/>
    <col min="11" max="11" width="26.42578125" style="211" customWidth="1"/>
    <col min="12" max="12" width="9.140625" style="211"/>
    <col min="13" max="13" width="9.140625" style="212"/>
    <col min="14" max="256" width="9.140625" style="211"/>
    <col min="257" max="257" width="8.7109375" style="211" bestFit="1" customWidth="1"/>
    <col min="258" max="258" width="13.28515625" style="211" customWidth="1"/>
    <col min="259" max="259" width="16.140625" style="211" bestFit="1" customWidth="1"/>
    <col min="260" max="260" width="23.5703125" style="211" customWidth="1"/>
    <col min="261" max="261" width="17.28515625" style="211" customWidth="1"/>
    <col min="262" max="262" width="20.5703125" style="211" bestFit="1" customWidth="1"/>
    <col min="263" max="263" width="17.140625" style="211" customWidth="1"/>
    <col min="264" max="264" width="21.7109375" style="211" bestFit="1" customWidth="1"/>
    <col min="265" max="265" width="17.140625" style="211" bestFit="1" customWidth="1"/>
    <col min="266" max="266" width="18.140625" style="211" bestFit="1" customWidth="1"/>
    <col min="267" max="267" width="26.42578125" style="211" customWidth="1"/>
    <col min="268" max="512" width="9.140625" style="211"/>
    <col min="513" max="513" width="8.7109375" style="211" bestFit="1" customWidth="1"/>
    <col min="514" max="514" width="13.28515625" style="211" customWidth="1"/>
    <col min="515" max="515" width="16.140625" style="211" bestFit="1" customWidth="1"/>
    <col min="516" max="516" width="23.5703125" style="211" customWidth="1"/>
    <col min="517" max="517" width="17.28515625" style="211" customWidth="1"/>
    <col min="518" max="518" width="20.5703125" style="211" bestFit="1" customWidth="1"/>
    <col min="519" max="519" width="17.140625" style="211" customWidth="1"/>
    <col min="520" max="520" width="21.7109375" style="211" bestFit="1" customWidth="1"/>
    <col min="521" max="521" width="17.140625" style="211" bestFit="1" customWidth="1"/>
    <col min="522" max="522" width="18.140625" style="211" bestFit="1" customWidth="1"/>
    <col min="523" max="523" width="26.42578125" style="211" customWidth="1"/>
    <col min="524" max="768" width="9.140625" style="211"/>
    <col min="769" max="769" width="8.7109375" style="211" bestFit="1" customWidth="1"/>
    <col min="770" max="770" width="13.28515625" style="211" customWidth="1"/>
    <col min="771" max="771" width="16.140625" style="211" bestFit="1" customWidth="1"/>
    <col min="772" max="772" width="23.5703125" style="211" customWidth="1"/>
    <col min="773" max="773" width="17.28515625" style="211" customWidth="1"/>
    <col min="774" max="774" width="20.5703125" style="211" bestFit="1" customWidth="1"/>
    <col min="775" max="775" width="17.140625" style="211" customWidth="1"/>
    <col min="776" max="776" width="21.7109375" style="211" bestFit="1" customWidth="1"/>
    <col min="777" max="777" width="17.140625" style="211" bestFit="1" customWidth="1"/>
    <col min="778" max="778" width="18.140625" style="211" bestFit="1" customWidth="1"/>
    <col min="779" max="779" width="26.42578125" style="211" customWidth="1"/>
    <col min="780" max="1024" width="9.140625" style="211"/>
    <col min="1025" max="1025" width="8.7109375" style="211" bestFit="1" customWidth="1"/>
    <col min="1026" max="1026" width="13.28515625" style="211" customWidth="1"/>
    <col min="1027" max="1027" width="16.140625" style="211" bestFit="1" customWidth="1"/>
    <col min="1028" max="1028" width="23.5703125" style="211" customWidth="1"/>
    <col min="1029" max="1029" width="17.28515625" style="211" customWidth="1"/>
    <col min="1030" max="1030" width="20.5703125" style="211" bestFit="1" customWidth="1"/>
    <col min="1031" max="1031" width="17.140625" style="211" customWidth="1"/>
    <col min="1032" max="1032" width="21.7109375" style="211" bestFit="1" customWidth="1"/>
    <col min="1033" max="1033" width="17.140625" style="211" bestFit="1" customWidth="1"/>
    <col min="1034" max="1034" width="18.140625" style="211" bestFit="1" customWidth="1"/>
    <col min="1035" max="1035" width="26.42578125" style="211" customWidth="1"/>
    <col min="1036" max="1280" width="9.140625" style="211"/>
    <col min="1281" max="1281" width="8.7109375" style="211" bestFit="1" customWidth="1"/>
    <col min="1282" max="1282" width="13.28515625" style="211" customWidth="1"/>
    <col min="1283" max="1283" width="16.140625" style="211" bestFit="1" customWidth="1"/>
    <col min="1284" max="1284" width="23.5703125" style="211" customWidth="1"/>
    <col min="1285" max="1285" width="17.28515625" style="211" customWidth="1"/>
    <col min="1286" max="1286" width="20.5703125" style="211" bestFit="1" customWidth="1"/>
    <col min="1287" max="1287" width="17.140625" style="211" customWidth="1"/>
    <col min="1288" max="1288" width="21.7109375" style="211" bestFit="1" customWidth="1"/>
    <col min="1289" max="1289" width="17.140625" style="211" bestFit="1" customWidth="1"/>
    <col min="1290" max="1290" width="18.140625" style="211" bestFit="1" customWidth="1"/>
    <col min="1291" max="1291" width="26.42578125" style="211" customWidth="1"/>
    <col min="1292" max="1536" width="9.140625" style="211"/>
    <col min="1537" max="1537" width="8.7109375" style="211" bestFit="1" customWidth="1"/>
    <col min="1538" max="1538" width="13.28515625" style="211" customWidth="1"/>
    <col min="1539" max="1539" width="16.140625" style="211" bestFit="1" customWidth="1"/>
    <col min="1540" max="1540" width="23.5703125" style="211" customWidth="1"/>
    <col min="1541" max="1541" width="17.28515625" style="211" customWidth="1"/>
    <col min="1542" max="1542" width="20.5703125" style="211" bestFit="1" customWidth="1"/>
    <col min="1543" max="1543" width="17.140625" style="211" customWidth="1"/>
    <col min="1544" max="1544" width="21.7109375" style="211" bestFit="1" customWidth="1"/>
    <col min="1545" max="1545" width="17.140625" style="211" bestFit="1" customWidth="1"/>
    <col min="1546" max="1546" width="18.140625" style="211" bestFit="1" customWidth="1"/>
    <col min="1547" max="1547" width="26.42578125" style="211" customWidth="1"/>
    <col min="1548" max="1792" width="9.140625" style="211"/>
    <col min="1793" max="1793" width="8.7109375" style="211" bestFit="1" customWidth="1"/>
    <col min="1794" max="1794" width="13.28515625" style="211" customWidth="1"/>
    <col min="1795" max="1795" width="16.140625" style="211" bestFit="1" customWidth="1"/>
    <col min="1796" max="1796" width="23.5703125" style="211" customWidth="1"/>
    <col min="1797" max="1797" width="17.28515625" style="211" customWidth="1"/>
    <col min="1798" max="1798" width="20.5703125" style="211" bestFit="1" customWidth="1"/>
    <col min="1799" max="1799" width="17.140625" style="211" customWidth="1"/>
    <col min="1800" max="1800" width="21.7109375" style="211" bestFit="1" customWidth="1"/>
    <col min="1801" max="1801" width="17.140625" style="211" bestFit="1" customWidth="1"/>
    <col min="1802" max="1802" width="18.140625" style="211" bestFit="1" customWidth="1"/>
    <col min="1803" max="1803" width="26.42578125" style="211" customWidth="1"/>
    <col min="1804" max="2048" width="9.140625" style="211"/>
    <col min="2049" max="2049" width="8.7109375" style="211" bestFit="1" customWidth="1"/>
    <col min="2050" max="2050" width="13.28515625" style="211" customWidth="1"/>
    <col min="2051" max="2051" width="16.140625" style="211" bestFit="1" customWidth="1"/>
    <col min="2052" max="2052" width="23.5703125" style="211" customWidth="1"/>
    <col min="2053" max="2053" width="17.28515625" style="211" customWidth="1"/>
    <col min="2054" max="2054" width="20.5703125" style="211" bestFit="1" customWidth="1"/>
    <col min="2055" max="2055" width="17.140625" style="211" customWidth="1"/>
    <col min="2056" max="2056" width="21.7109375" style="211" bestFit="1" customWidth="1"/>
    <col min="2057" max="2057" width="17.140625" style="211" bestFit="1" customWidth="1"/>
    <col min="2058" max="2058" width="18.140625" style="211" bestFit="1" customWidth="1"/>
    <col min="2059" max="2059" width="26.42578125" style="211" customWidth="1"/>
    <col min="2060" max="2304" width="9.140625" style="211"/>
    <col min="2305" max="2305" width="8.7109375" style="211" bestFit="1" customWidth="1"/>
    <col min="2306" max="2306" width="13.28515625" style="211" customWidth="1"/>
    <col min="2307" max="2307" width="16.140625" style="211" bestFit="1" customWidth="1"/>
    <col min="2308" max="2308" width="23.5703125" style="211" customWidth="1"/>
    <col min="2309" max="2309" width="17.28515625" style="211" customWidth="1"/>
    <col min="2310" max="2310" width="20.5703125" style="211" bestFit="1" customWidth="1"/>
    <col min="2311" max="2311" width="17.140625" style="211" customWidth="1"/>
    <col min="2312" max="2312" width="21.7109375" style="211" bestFit="1" customWidth="1"/>
    <col min="2313" max="2313" width="17.140625" style="211" bestFit="1" customWidth="1"/>
    <col min="2314" max="2314" width="18.140625" style="211" bestFit="1" customWidth="1"/>
    <col min="2315" max="2315" width="26.42578125" style="211" customWidth="1"/>
    <col min="2316" max="2560" width="9.140625" style="211"/>
    <col min="2561" max="2561" width="8.7109375" style="211" bestFit="1" customWidth="1"/>
    <col min="2562" max="2562" width="13.28515625" style="211" customWidth="1"/>
    <col min="2563" max="2563" width="16.140625" style="211" bestFit="1" customWidth="1"/>
    <col min="2564" max="2564" width="23.5703125" style="211" customWidth="1"/>
    <col min="2565" max="2565" width="17.28515625" style="211" customWidth="1"/>
    <col min="2566" max="2566" width="20.5703125" style="211" bestFit="1" customWidth="1"/>
    <col min="2567" max="2567" width="17.140625" style="211" customWidth="1"/>
    <col min="2568" max="2568" width="21.7109375" style="211" bestFit="1" customWidth="1"/>
    <col min="2569" max="2569" width="17.140625" style="211" bestFit="1" customWidth="1"/>
    <col min="2570" max="2570" width="18.140625" style="211" bestFit="1" customWidth="1"/>
    <col min="2571" max="2571" width="26.42578125" style="211" customWidth="1"/>
    <col min="2572" max="2816" width="9.140625" style="211"/>
    <col min="2817" max="2817" width="8.7109375" style="211" bestFit="1" customWidth="1"/>
    <col min="2818" max="2818" width="13.28515625" style="211" customWidth="1"/>
    <col min="2819" max="2819" width="16.140625" style="211" bestFit="1" customWidth="1"/>
    <col min="2820" max="2820" width="23.5703125" style="211" customWidth="1"/>
    <col min="2821" max="2821" width="17.28515625" style="211" customWidth="1"/>
    <col min="2822" max="2822" width="20.5703125" style="211" bestFit="1" customWidth="1"/>
    <col min="2823" max="2823" width="17.140625" style="211" customWidth="1"/>
    <col min="2824" max="2824" width="21.7109375" style="211" bestFit="1" customWidth="1"/>
    <col min="2825" max="2825" width="17.140625" style="211" bestFit="1" customWidth="1"/>
    <col min="2826" max="2826" width="18.140625" style="211" bestFit="1" customWidth="1"/>
    <col min="2827" max="2827" width="26.42578125" style="211" customWidth="1"/>
    <col min="2828" max="3072" width="9.140625" style="211"/>
    <col min="3073" max="3073" width="8.7109375" style="211" bestFit="1" customWidth="1"/>
    <col min="3074" max="3074" width="13.28515625" style="211" customWidth="1"/>
    <col min="3075" max="3075" width="16.140625" style="211" bestFit="1" customWidth="1"/>
    <col min="3076" max="3076" width="23.5703125" style="211" customWidth="1"/>
    <col min="3077" max="3077" width="17.28515625" style="211" customWidth="1"/>
    <col min="3078" max="3078" width="20.5703125" style="211" bestFit="1" customWidth="1"/>
    <col min="3079" max="3079" width="17.140625" style="211" customWidth="1"/>
    <col min="3080" max="3080" width="21.7109375" style="211" bestFit="1" customWidth="1"/>
    <col min="3081" max="3081" width="17.140625" style="211" bestFit="1" customWidth="1"/>
    <col min="3082" max="3082" width="18.140625" style="211" bestFit="1" customWidth="1"/>
    <col min="3083" max="3083" width="26.42578125" style="211" customWidth="1"/>
    <col min="3084" max="3328" width="9.140625" style="211"/>
    <col min="3329" max="3329" width="8.7109375" style="211" bestFit="1" customWidth="1"/>
    <col min="3330" max="3330" width="13.28515625" style="211" customWidth="1"/>
    <col min="3331" max="3331" width="16.140625" style="211" bestFit="1" customWidth="1"/>
    <col min="3332" max="3332" width="23.5703125" style="211" customWidth="1"/>
    <col min="3333" max="3333" width="17.28515625" style="211" customWidth="1"/>
    <col min="3334" max="3334" width="20.5703125" style="211" bestFit="1" customWidth="1"/>
    <col min="3335" max="3335" width="17.140625" style="211" customWidth="1"/>
    <col min="3336" max="3336" width="21.7109375" style="211" bestFit="1" customWidth="1"/>
    <col min="3337" max="3337" width="17.140625" style="211" bestFit="1" customWidth="1"/>
    <col min="3338" max="3338" width="18.140625" style="211" bestFit="1" customWidth="1"/>
    <col min="3339" max="3339" width="26.42578125" style="211" customWidth="1"/>
    <col min="3340" max="3584" width="9.140625" style="211"/>
    <col min="3585" max="3585" width="8.7109375" style="211" bestFit="1" customWidth="1"/>
    <col min="3586" max="3586" width="13.28515625" style="211" customWidth="1"/>
    <col min="3587" max="3587" width="16.140625" style="211" bestFit="1" customWidth="1"/>
    <col min="3588" max="3588" width="23.5703125" style="211" customWidth="1"/>
    <col min="3589" max="3589" width="17.28515625" style="211" customWidth="1"/>
    <col min="3590" max="3590" width="20.5703125" style="211" bestFit="1" customWidth="1"/>
    <col min="3591" max="3591" width="17.140625" style="211" customWidth="1"/>
    <col min="3592" max="3592" width="21.7109375" style="211" bestFit="1" customWidth="1"/>
    <col min="3593" max="3593" width="17.140625" style="211" bestFit="1" customWidth="1"/>
    <col min="3594" max="3594" width="18.140625" style="211" bestFit="1" customWidth="1"/>
    <col min="3595" max="3595" width="26.42578125" style="211" customWidth="1"/>
    <col min="3596" max="3840" width="9.140625" style="211"/>
    <col min="3841" max="3841" width="8.7109375" style="211" bestFit="1" customWidth="1"/>
    <col min="3842" max="3842" width="13.28515625" style="211" customWidth="1"/>
    <col min="3843" max="3843" width="16.140625" style="211" bestFit="1" customWidth="1"/>
    <col min="3844" max="3844" width="23.5703125" style="211" customWidth="1"/>
    <col min="3845" max="3845" width="17.28515625" style="211" customWidth="1"/>
    <col min="3846" max="3846" width="20.5703125" style="211" bestFit="1" customWidth="1"/>
    <col min="3847" max="3847" width="17.140625" style="211" customWidth="1"/>
    <col min="3848" max="3848" width="21.7109375" style="211" bestFit="1" customWidth="1"/>
    <col min="3849" max="3849" width="17.140625" style="211" bestFit="1" customWidth="1"/>
    <col min="3850" max="3850" width="18.140625" style="211" bestFit="1" customWidth="1"/>
    <col min="3851" max="3851" width="26.42578125" style="211" customWidth="1"/>
    <col min="3852" max="4096" width="9.140625" style="211"/>
    <col min="4097" max="4097" width="8.7109375" style="211" bestFit="1" customWidth="1"/>
    <col min="4098" max="4098" width="13.28515625" style="211" customWidth="1"/>
    <col min="4099" max="4099" width="16.140625" style="211" bestFit="1" customWidth="1"/>
    <col min="4100" max="4100" width="23.5703125" style="211" customWidth="1"/>
    <col min="4101" max="4101" width="17.28515625" style="211" customWidth="1"/>
    <col min="4102" max="4102" width="20.5703125" style="211" bestFit="1" customWidth="1"/>
    <col min="4103" max="4103" width="17.140625" style="211" customWidth="1"/>
    <col min="4104" max="4104" width="21.7109375" style="211" bestFit="1" customWidth="1"/>
    <col min="4105" max="4105" width="17.140625" style="211" bestFit="1" customWidth="1"/>
    <col min="4106" max="4106" width="18.140625" style="211" bestFit="1" customWidth="1"/>
    <col min="4107" max="4107" width="26.42578125" style="211" customWidth="1"/>
    <col min="4108" max="4352" width="9.140625" style="211"/>
    <col min="4353" max="4353" width="8.7109375" style="211" bestFit="1" customWidth="1"/>
    <col min="4354" max="4354" width="13.28515625" style="211" customWidth="1"/>
    <col min="4355" max="4355" width="16.140625" style="211" bestFit="1" customWidth="1"/>
    <col min="4356" max="4356" width="23.5703125" style="211" customWidth="1"/>
    <col min="4357" max="4357" width="17.28515625" style="211" customWidth="1"/>
    <col min="4358" max="4358" width="20.5703125" style="211" bestFit="1" customWidth="1"/>
    <col min="4359" max="4359" width="17.140625" style="211" customWidth="1"/>
    <col min="4360" max="4360" width="21.7109375" style="211" bestFit="1" customWidth="1"/>
    <col min="4361" max="4361" width="17.140625" style="211" bestFit="1" customWidth="1"/>
    <col min="4362" max="4362" width="18.140625" style="211" bestFit="1" customWidth="1"/>
    <col min="4363" max="4363" width="26.42578125" style="211" customWidth="1"/>
    <col min="4364" max="4608" width="9.140625" style="211"/>
    <col min="4609" max="4609" width="8.7109375" style="211" bestFit="1" customWidth="1"/>
    <col min="4610" max="4610" width="13.28515625" style="211" customWidth="1"/>
    <col min="4611" max="4611" width="16.140625" style="211" bestFit="1" customWidth="1"/>
    <col min="4612" max="4612" width="23.5703125" style="211" customWidth="1"/>
    <col min="4613" max="4613" width="17.28515625" style="211" customWidth="1"/>
    <col min="4614" max="4614" width="20.5703125" style="211" bestFit="1" customWidth="1"/>
    <col min="4615" max="4615" width="17.140625" style="211" customWidth="1"/>
    <col min="4616" max="4616" width="21.7109375" style="211" bestFit="1" customWidth="1"/>
    <col min="4617" max="4617" width="17.140625" style="211" bestFit="1" customWidth="1"/>
    <col min="4618" max="4618" width="18.140625" style="211" bestFit="1" customWidth="1"/>
    <col min="4619" max="4619" width="26.42578125" style="211" customWidth="1"/>
    <col min="4620" max="4864" width="9.140625" style="211"/>
    <col min="4865" max="4865" width="8.7109375" style="211" bestFit="1" customWidth="1"/>
    <col min="4866" max="4866" width="13.28515625" style="211" customWidth="1"/>
    <col min="4867" max="4867" width="16.140625" style="211" bestFit="1" customWidth="1"/>
    <col min="4868" max="4868" width="23.5703125" style="211" customWidth="1"/>
    <col min="4869" max="4869" width="17.28515625" style="211" customWidth="1"/>
    <col min="4870" max="4870" width="20.5703125" style="211" bestFit="1" customWidth="1"/>
    <col min="4871" max="4871" width="17.140625" style="211" customWidth="1"/>
    <col min="4872" max="4872" width="21.7109375" style="211" bestFit="1" customWidth="1"/>
    <col min="4873" max="4873" width="17.140625" style="211" bestFit="1" customWidth="1"/>
    <col min="4874" max="4874" width="18.140625" style="211" bestFit="1" customWidth="1"/>
    <col min="4875" max="4875" width="26.42578125" style="211" customWidth="1"/>
    <col min="4876" max="5120" width="9.140625" style="211"/>
    <col min="5121" max="5121" width="8.7109375" style="211" bestFit="1" customWidth="1"/>
    <col min="5122" max="5122" width="13.28515625" style="211" customWidth="1"/>
    <col min="5123" max="5123" width="16.140625" style="211" bestFit="1" customWidth="1"/>
    <col min="5124" max="5124" width="23.5703125" style="211" customWidth="1"/>
    <col min="5125" max="5125" width="17.28515625" style="211" customWidth="1"/>
    <col min="5126" max="5126" width="20.5703125" style="211" bestFit="1" customWidth="1"/>
    <col min="5127" max="5127" width="17.140625" style="211" customWidth="1"/>
    <col min="5128" max="5128" width="21.7109375" style="211" bestFit="1" customWidth="1"/>
    <col min="5129" max="5129" width="17.140625" style="211" bestFit="1" customWidth="1"/>
    <col min="5130" max="5130" width="18.140625" style="211" bestFit="1" customWidth="1"/>
    <col min="5131" max="5131" width="26.42578125" style="211" customWidth="1"/>
    <col min="5132" max="5376" width="9.140625" style="211"/>
    <col min="5377" max="5377" width="8.7109375" style="211" bestFit="1" customWidth="1"/>
    <col min="5378" max="5378" width="13.28515625" style="211" customWidth="1"/>
    <col min="5379" max="5379" width="16.140625" style="211" bestFit="1" customWidth="1"/>
    <col min="5380" max="5380" width="23.5703125" style="211" customWidth="1"/>
    <col min="5381" max="5381" width="17.28515625" style="211" customWidth="1"/>
    <col min="5382" max="5382" width="20.5703125" style="211" bestFit="1" customWidth="1"/>
    <col min="5383" max="5383" width="17.140625" style="211" customWidth="1"/>
    <col min="5384" max="5384" width="21.7109375" style="211" bestFit="1" customWidth="1"/>
    <col min="5385" max="5385" width="17.140625" style="211" bestFit="1" customWidth="1"/>
    <col min="5386" max="5386" width="18.140625" style="211" bestFit="1" customWidth="1"/>
    <col min="5387" max="5387" width="26.42578125" style="211" customWidth="1"/>
    <col min="5388" max="5632" width="9.140625" style="211"/>
    <col min="5633" max="5633" width="8.7109375" style="211" bestFit="1" customWidth="1"/>
    <col min="5634" max="5634" width="13.28515625" style="211" customWidth="1"/>
    <col min="5635" max="5635" width="16.140625" style="211" bestFit="1" customWidth="1"/>
    <col min="5636" max="5636" width="23.5703125" style="211" customWidth="1"/>
    <col min="5637" max="5637" width="17.28515625" style="211" customWidth="1"/>
    <col min="5638" max="5638" width="20.5703125" style="211" bestFit="1" customWidth="1"/>
    <col min="5639" max="5639" width="17.140625" style="211" customWidth="1"/>
    <col min="5640" max="5640" width="21.7109375" style="211" bestFit="1" customWidth="1"/>
    <col min="5641" max="5641" width="17.140625" style="211" bestFit="1" customWidth="1"/>
    <col min="5642" max="5642" width="18.140625" style="211" bestFit="1" customWidth="1"/>
    <col min="5643" max="5643" width="26.42578125" style="211" customWidth="1"/>
    <col min="5644" max="5888" width="9.140625" style="211"/>
    <col min="5889" max="5889" width="8.7109375" style="211" bestFit="1" customWidth="1"/>
    <col min="5890" max="5890" width="13.28515625" style="211" customWidth="1"/>
    <col min="5891" max="5891" width="16.140625" style="211" bestFit="1" customWidth="1"/>
    <col min="5892" max="5892" width="23.5703125" style="211" customWidth="1"/>
    <col min="5893" max="5893" width="17.28515625" style="211" customWidth="1"/>
    <col min="5894" max="5894" width="20.5703125" style="211" bestFit="1" customWidth="1"/>
    <col min="5895" max="5895" width="17.140625" style="211" customWidth="1"/>
    <col min="5896" max="5896" width="21.7109375" style="211" bestFit="1" customWidth="1"/>
    <col min="5897" max="5897" width="17.140625" style="211" bestFit="1" customWidth="1"/>
    <col min="5898" max="5898" width="18.140625" style="211" bestFit="1" customWidth="1"/>
    <col min="5899" max="5899" width="26.42578125" style="211" customWidth="1"/>
    <col min="5900" max="6144" width="9.140625" style="211"/>
    <col min="6145" max="6145" width="8.7109375" style="211" bestFit="1" customWidth="1"/>
    <col min="6146" max="6146" width="13.28515625" style="211" customWidth="1"/>
    <col min="6147" max="6147" width="16.140625" style="211" bestFit="1" customWidth="1"/>
    <col min="6148" max="6148" width="23.5703125" style="211" customWidth="1"/>
    <col min="6149" max="6149" width="17.28515625" style="211" customWidth="1"/>
    <col min="6150" max="6150" width="20.5703125" style="211" bestFit="1" customWidth="1"/>
    <col min="6151" max="6151" width="17.140625" style="211" customWidth="1"/>
    <col min="6152" max="6152" width="21.7109375" style="211" bestFit="1" customWidth="1"/>
    <col min="6153" max="6153" width="17.140625" style="211" bestFit="1" customWidth="1"/>
    <col min="6154" max="6154" width="18.140625" style="211" bestFit="1" customWidth="1"/>
    <col min="6155" max="6155" width="26.42578125" style="211" customWidth="1"/>
    <col min="6156" max="6400" width="9.140625" style="211"/>
    <col min="6401" max="6401" width="8.7109375" style="211" bestFit="1" customWidth="1"/>
    <col min="6402" max="6402" width="13.28515625" style="211" customWidth="1"/>
    <col min="6403" max="6403" width="16.140625" style="211" bestFit="1" customWidth="1"/>
    <col min="6404" max="6404" width="23.5703125" style="211" customWidth="1"/>
    <col min="6405" max="6405" width="17.28515625" style="211" customWidth="1"/>
    <col min="6406" max="6406" width="20.5703125" style="211" bestFit="1" customWidth="1"/>
    <col min="6407" max="6407" width="17.140625" style="211" customWidth="1"/>
    <col min="6408" max="6408" width="21.7109375" style="211" bestFit="1" customWidth="1"/>
    <col min="6409" max="6409" width="17.140625" style="211" bestFit="1" customWidth="1"/>
    <col min="6410" max="6410" width="18.140625" style="211" bestFit="1" customWidth="1"/>
    <col min="6411" max="6411" width="26.42578125" style="211" customWidth="1"/>
    <col min="6412" max="6656" width="9.140625" style="211"/>
    <col min="6657" max="6657" width="8.7109375" style="211" bestFit="1" customWidth="1"/>
    <col min="6658" max="6658" width="13.28515625" style="211" customWidth="1"/>
    <col min="6659" max="6659" width="16.140625" style="211" bestFit="1" customWidth="1"/>
    <col min="6660" max="6660" width="23.5703125" style="211" customWidth="1"/>
    <col min="6661" max="6661" width="17.28515625" style="211" customWidth="1"/>
    <col min="6662" max="6662" width="20.5703125" style="211" bestFit="1" customWidth="1"/>
    <col min="6663" max="6663" width="17.140625" style="211" customWidth="1"/>
    <col min="6664" max="6664" width="21.7109375" style="211" bestFit="1" customWidth="1"/>
    <col min="6665" max="6665" width="17.140625" style="211" bestFit="1" customWidth="1"/>
    <col min="6666" max="6666" width="18.140625" style="211" bestFit="1" customWidth="1"/>
    <col min="6667" max="6667" width="26.42578125" style="211" customWidth="1"/>
    <col min="6668" max="6912" width="9.140625" style="211"/>
    <col min="6913" max="6913" width="8.7109375" style="211" bestFit="1" customWidth="1"/>
    <col min="6914" max="6914" width="13.28515625" style="211" customWidth="1"/>
    <col min="6915" max="6915" width="16.140625" style="211" bestFit="1" customWidth="1"/>
    <col min="6916" max="6916" width="23.5703125" style="211" customWidth="1"/>
    <col min="6917" max="6917" width="17.28515625" style="211" customWidth="1"/>
    <col min="6918" max="6918" width="20.5703125" style="211" bestFit="1" customWidth="1"/>
    <col min="6919" max="6919" width="17.140625" style="211" customWidth="1"/>
    <col min="6920" max="6920" width="21.7109375" style="211" bestFit="1" customWidth="1"/>
    <col min="6921" max="6921" width="17.140625" style="211" bestFit="1" customWidth="1"/>
    <col min="6922" max="6922" width="18.140625" style="211" bestFit="1" customWidth="1"/>
    <col min="6923" max="6923" width="26.42578125" style="211" customWidth="1"/>
    <col min="6924" max="7168" width="9.140625" style="211"/>
    <col min="7169" max="7169" width="8.7109375" style="211" bestFit="1" customWidth="1"/>
    <col min="7170" max="7170" width="13.28515625" style="211" customWidth="1"/>
    <col min="7171" max="7171" width="16.140625" style="211" bestFit="1" customWidth="1"/>
    <col min="7172" max="7172" width="23.5703125" style="211" customWidth="1"/>
    <col min="7173" max="7173" width="17.28515625" style="211" customWidth="1"/>
    <col min="7174" max="7174" width="20.5703125" style="211" bestFit="1" customWidth="1"/>
    <col min="7175" max="7175" width="17.140625" style="211" customWidth="1"/>
    <col min="7176" max="7176" width="21.7109375" style="211" bestFit="1" customWidth="1"/>
    <col min="7177" max="7177" width="17.140625" style="211" bestFit="1" customWidth="1"/>
    <col min="7178" max="7178" width="18.140625" style="211" bestFit="1" customWidth="1"/>
    <col min="7179" max="7179" width="26.42578125" style="211" customWidth="1"/>
    <col min="7180" max="7424" width="9.140625" style="211"/>
    <col min="7425" max="7425" width="8.7109375" style="211" bestFit="1" customWidth="1"/>
    <col min="7426" max="7426" width="13.28515625" style="211" customWidth="1"/>
    <col min="7427" max="7427" width="16.140625" style="211" bestFit="1" customWidth="1"/>
    <col min="7428" max="7428" width="23.5703125" style="211" customWidth="1"/>
    <col min="7429" max="7429" width="17.28515625" style="211" customWidth="1"/>
    <col min="7430" max="7430" width="20.5703125" style="211" bestFit="1" customWidth="1"/>
    <col min="7431" max="7431" width="17.140625" style="211" customWidth="1"/>
    <col min="7432" max="7432" width="21.7109375" style="211" bestFit="1" customWidth="1"/>
    <col min="7433" max="7433" width="17.140625" style="211" bestFit="1" customWidth="1"/>
    <col min="7434" max="7434" width="18.140625" style="211" bestFit="1" customWidth="1"/>
    <col min="7435" max="7435" width="26.42578125" style="211" customWidth="1"/>
    <col min="7436" max="7680" width="9.140625" style="211"/>
    <col min="7681" max="7681" width="8.7109375" style="211" bestFit="1" customWidth="1"/>
    <col min="7682" max="7682" width="13.28515625" style="211" customWidth="1"/>
    <col min="7683" max="7683" width="16.140625" style="211" bestFit="1" customWidth="1"/>
    <col min="7684" max="7684" width="23.5703125" style="211" customWidth="1"/>
    <col min="7685" max="7685" width="17.28515625" style="211" customWidth="1"/>
    <col min="7686" max="7686" width="20.5703125" style="211" bestFit="1" customWidth="1"/>
    <col min="7687" max="7687" width="17.140625" style="211" customWidth="1"/>
    <col min="7688" max="7688" width="21.7109375" style="211" bestFit="1" customWidth="1"/>
    <col min="7689" max="7689" width="17.140625" style="211" bestFit="1" customWidth="1"/>
    <col min="7690" max="7690" width="18.140625" style="211" bestFit="1" customWidth="1"/>
    <col min="7691" max="7691" width="26.42578125" style="211" customWidth="1"/>
    <col min="7692" max="7936" width="9.140625" style="211"/>
    <col min="7937" max="7937" width="8.7109375" style="211" bestFit="1" customWidth="1"/>
    <col min="7938" max="7938" width="13.28515625" style="211" customWidth="1"/>
    <col min="7939" max="7939" width="16.140625" style="211" bestFit="1" customWidth="1"/>
    <col min="7940" max="7940" width="23.5703125" style="211" customWidth="1"/>
    <col min="7941" max="7941" width="17.28515625" style="211" customWidth="1"/>
    <col min="7942" max="7942" width="20.5703125" style="211" bestFit="1" customWidth="1"/>
    <col min="7943" max="7943" width="17.140625" style="211" customWidth="1"/>
    <col min="7944" max="7944" width="21.7109375" style="211" bestFit="1" customWidth="1"/>
    <col min="7945" max="7945" width="17.140625" style="211" bestFit="1" customWidth="1"/>
    <col min="7946" max="7946" width="18.140625" style="211" bestFit="1" customWidth="1"/>
    <col min="7947" max="7947" width="26.42578125" style="211" customWidth="1"/>
    <col min="7948" max="8192" width="9.140625" style="211"/>
    <col min="8193" max="8193" width="8.7109375" style="211" bestFit="1" customWidth="1"/>
    <col min="8194" max="8194" width="13.28515625" style="211" customWidth="1"/>
    <col min="8195" max="8195" width="16.140625" style="211" bestFit="1" customWidth="1"/>
    <col min="8196" max="8196" width="23.5703125" style="211" customWidth="1"/>
    <col min="8197" max="8197" width="17.28515625" style="211" customWidth="1"/>
    <col min="8198" max="8198" width="20.5703125" style="211" bestFit="1" customWidth="1"/>
    <col min="8199" max="8199" width="17.140625" style="211" customWidth="1"/>
    <col min="8200" max="8200" width="21.7109375" style="211" bestFit="1" customWidth="1"/>
    <col min="8201" max="8201" width="17.140625" style="211" bestFit="1" customWidth="1"/>
    <col min="8202" max="8202" width="18.140625" style="211" bestFit="1" customWidth="1"/>
    <col min="8203" max="8203" width="26.42578125" style="211" customWidth="1"/>
    <col min="8204" max="8448" width="9.140625" style="211"/>
    <col min="8449" max="8449" width="8.7109375" style="211" bestFit="1" customWidth="1"/>
    <col min="8450" max="8450" width="13.28515625" style="211" customWidth="1"/>
    <col min="8451" max="8451" width="16.140625" style="211" bestFit="1" customWidth="1"/>
    <col min="8452" max="8452" width="23.5703125" style="211" customWidth="1"/>
    <col min="8453" max="8453" width="17.28515625" style="211" customWidth="1"/>
    <col min="8454" max="8454" width="20.5703125" style="211" bestFit="1" customWidth="1"/>
    <col min="8455" max="8455" width="17.140625" style="211" customWidth="1"/>
    <col min="8456" max="8456" width="21.7109375" style="211" bestFit="1" customWidth="1"/>
    <col min="8457" max="8457" width="17.140625" style="211" bestFit="1" customWidth="1"/>
    <col min="8458" max="8458" width="18.140625" style="211" bestFit="1" customWidth="1"/>
    <col min="8459" max="8459" width="26.42578125" style="211" customWidth="1"/>
    <col min="8460" max="8704" width="9.140625" style="211"/>
    <col min="8705" max="8705" width="8.7109375" style="211" bestFit="1" customWidth="1"/>
    <col min="8706" max="8706" width="13.28515625" style="211" customWidth="1"/>
    <col min="8707" max="8707" width="16.140625" style="211" bestFit="1" customWidth="1"/>
    <col min="8708" max="8708" width="23.5703125" style="211" customWidth="1"/>
    <col min="8709" max="8709" width="17.28515625" style="211" customWidth="1"/>
    <col min="8710" max="8710" width="20.5703125" style="211" bestFit="1" customWidth="1"/>
    <col min="8711" max="8711" width="17.140625" style="211" customWidth="1"/>
    <col min="8712" max="8712" width="21.7109375" style="211" bestFit="1" customWidth="1"/>
    <col min="8713" max="8713" width="17.140625" style="211" bestFit="1" customWidth="1"/>
    <col min="8714" max="8714" width="18.140625" style="211" bestFit="1" customWidth="1"/>
    <col min="8715" max="8715" width="26.42578125" style="211" customWidth="1"/>
    <col min="8716" max="8960" width="9.140625" style="211"/>
    <col min="8961" max="8961" width="8.7109375" style="211" bestFit="1" customWidth="1"/>
    <col min="8962" max="8962" width="13.28515625" style="211" customWidth="1"/>
    <col min="8963" max="8963" width="16.140625" style="211" bestFit="1" customWidth="1"/>
    <col min="8964" max="8964" width="23.5703125" style="211" customWidth="1"/>
    <col min="8965" max="8965" width="17.28515625" style="211" customWidth="1"/>
    <col min="8966" max="8966" width="20.5703125" style="211" bestFit="1" customWidth="1"/>
    <col min="8967" max="8967" width="17.140625" style="211" customWidth="1"/>
    <col min="8968" max="8968" width="21.7109375" style="211" bestFit="1" customWidth="1"/>
    <col min="8969" max="8969" width="17.140625" style="211" bestFit="1" customWidth="1"/>
    <col min="8970" max="8970" width="18.140625" style="211" bestFit="1" customWidth="1"/>
    <col min="8971" max="8971" width="26.42578125" style="211" customWidth="1"/>
    <col min="8972" max="9216" width="9.140625" style="211"/>
    <col min="9217" max="9217" width="8.7109375" style="211" bestFit="1" customWidth="1"/>
    <col min="9218" max="9218" width="13.28515625" style="211" customWidth="1"/>
    <col min="9219" max="9219" width="16.140625" style="211" bestFit="1" customWidth="1"/>
    <col min="9220" max="9220" width="23.5703125" style="211" customWidth="1"/>
    <col min="9221" max="9221" width="17.28515625" style="211" customWidth="1"/>
    <col min="9222" max="9222" width="20.5703125" style="211" bestFit="1" customWidth="1"/>
    <col min="9223" max="9223" width="17.140625" style="211" customWidth="1"/>
    <col min="9224" max="9224" width="21.7109375" style="211" bestFit="1" customWidth="1"/>
    <col min="9225" max="9225" width="17.140625" style="211" bestFit="1" customWidth="1"/>
    <col min="9226" max="9226" width="18.140625" style="211" bestFit="1" customWidth="1"/>
    <col min="9227" max="9227" width="26.42578125" style="211" customWidth="1"/>
    <col min="9228" max="9472" width="9.140625" style="211"/>
    <col min="9473" max="9473" width="8.7109375" style="211" bestFit="1" customWidth="1"/>
    <col min="9474" max="9474" width="13.28515625" style="211" customWidth="1"/>
    <col min="9475" max="9475" width="16.140625" style="211" bestFit="1" customWidth="1"/>
    <col min="9476" max="9476" width="23.5703125" style="211" customWidth="1"/>
    <col min="9477" max="9477" width="17.28515625" style="211" customWidth="1"/>
    <col min="9478" max="9478" width="20.5703125" style="211" bestFit="1" customWidth="1"/>
    <col min="9479" max="9479" width="17.140625" style="211" customWidth="1"/>
    <col min="9480" max="9480" width="21.7109375" style="211" bestFit="1" customWidth="1"/>
    <col min="9481" max="9481" width="17.140625" style="211" bestFit="1" customWidth="1"/>
    <col min="9482" max="9482" width="18.140625" style="211" bestFit="1" customWidth="1"/>
    <col min="9483" max="9483" width="26.42578125" style="211" customWidth="1"/>
    <col min="9484" max="9728" width="9.140625" style="211"/>
    <col min="9729" max="9729" width="8.7109375" style="211" bestFit="1" customWidth="1"/>
    <col min="9730" max="9730" width="13.28515625" style="211" customWidth="1"/>
    <col min="9731" max="9731" width="16.140625" style="211" bestFit="1" customWidth="1"/>
    <col min="9732" max="9732" width="23.5703125" style="211" customWidth="1"/>
    <col min="9733" max="9733" width="17.28515625" style="211" customWidth="1"/>
    <col min="9734" max="9734" width="20.5703125" style="211" bestFit="1" customWidth="1"/>
    <col min="9735" max="9735" width="17.140625" style="211" customWidth="1"/>
    <col min="9736" max="9736" width="21.7109375" style="211" bestFit="1" customWidth="1"/>
    <col min="9737" max="9737" width="17.140625" style="211" bestFit="1" customWidth="1"/>
    <col min="9738" max="9738" width="18.140625" style="211" bestFit="1" customWidth="1"/>
    <col min="9739" max="9739" width="26.42578125" style="211" customWidth="1"/>
    <col min="9740" max="9984" width="9.140625" style="211"/>
    <col min="9985" max="9985" width="8.7109375" style="211" bestFit="1" customWidth="1"/>
    <col min="9986" max="9986" width="13.28515625" style="211" customWidth="1"/>
    <col min="9987" max="9987" width="16.140625" style="211" bestFit="1" customWidth="1"/>
    <col min="9988" max="9988" width="23.5703125" style="211" customWidth="1"/>
    <col min="9989" max="9989" width="17.28515625" style="211" customWidth="1"/>
    <col min="9990" max="9990" width="20.5703125" style="211" bestFit="1" customWidth="1"/>
    <col min="9991" max="9991" width="17.140625" style="211" customWidth="1"/>
    <col min="9992" max="9992" width="21.7109375" style="211" bestFit="1" customWidth="1"/>
    <col min="9993" max="9993" width="17.140625" style="211" bestFit="1" customWidth="1"/>
    <col min="9994" max="9994" width="18.140625" style="211" bestFit="1" customWidth="1"/>
    <col min="9995" max="9995" width="26.42578125" style="211" customWidth="1"/>
    <col min="9996" max="10240" width="9.140625" style="211"/>
    <col min="10241" max="10241" width="8.7109375" style="211" bestFit="1" customWidth="1"/>
    <col min="10242" max="10242" width="13.28515625" style="211" customWidth="1"/>
    <col min="10243" max="10243" width="16.140625" style="211" bestFit="1" customWidth="1"/>
    <col min="10244" max="10244" width="23.5703125" style="211" customWidth="1"/>
    <col min="10245" max="10245" width="17.28515625" style="211" customWidth="1"/>
    <col min="10246" max="10246" width="20.5703125" style="211" bestFit="1" customWidth="1"/>
    <col min="10247" max="10247" width="17.140625" style="211" customWidth="1"/>
    <col min="10248" max="10248" width="21.7109375" style="211" bestFit="1" customWidth="1"/>
    <col min="10249" max="10249" width="17.140625" style="211" bestFit="1" customWidth="1"/>
    <col min="10250" max="10250" width="18.140625" style="211" bestFit="1" customWidth="1"/>
    <col min="10251" max="10251" width="26.42578125" style="211" customWidth="1"/>
    <col min="10252" max="10496" width="9.140625" style="211"/>
    <col min="10497" max="10497" width="8.7109375" style="211" bestFit="1" customWidth="1"/>
    <col min="10498" max="10498" width="13.28515625" style="211" customWidth="1"/>
    <col min="10499" max="10499" width="16.140625" style="211" bestFit="1" customWidth="1"/>
    <col min="10500" max="10500" width="23.5703125" style="211" customWidth="1"/>
    <col min="10501" max="10501" width="17.28515625" style="211" customWidth="1"/>
    <col min="10502" max="10502" width="20.5703125" style="211" bestFit="1" customWidth="1"/>
    <col min="10503" max="10503" width="17.140625" style="211" customWidth="1"/>
    <col min="10504" max="10504" width="21.7109375" style="211" bestFit="1" customWidth="1"/>
    <col min="10505" max="10505" width="17.140625" style="211" bestFit="1" customWidth="1"/>
    <col min="10506" max="10506" width="18.140625" style="211" bestFit="1" customWidth="1"/>
    <col min="10507" max="10507" width="26.42578125" style="211" customWidth="1"/>
    <col min="10508" max="10752" width="9.140625" style="211"/>
    <col min="10753" max="10753" width="8.7109375" style="211" bestFit="1" customWidth="1"/>
    <col min="10754" max="10754" width="13.28515625" style="211" customWidth="1"/>
    <col min="10755" max="10755" width="16.140625" style="211" bestFit="1" customWidth="1"/>
    <col min="10756" max="10756" width="23.5703125" style="211" customWidth="1"/>
    <col min="10757" max="10757" width="17.28515625" style="211" customWidth="1"/>
    <col min="10758" max="10758" width="20.5703125" style="211" bestFit="1" customWidth="1"/>
    <col min="10759" max="10759" width="17.140625" style="211" customWidth="1"/>
    <col min="10760" max="10760" width="21.7109375" style="211" bestFit="1" customWidth="1"/>
    <col min="10761" max="10761" width="17.140625" style="211" bestFit="1" customWidth="1"/>
    <col min="10762" max="10762" width="18.140625" style="211" bestFit="1" customWidth="1"/>
    <col min="10763" max="10763" width="26.42578125" style="211" customWidth="1"/>
    <col min="10764" max="11008" width="9.140625" style="211"/>
    <col min="11009" max="11009" width="8.7109375" style="211" bestFit="1" customWidth="1"/>
    <col min="11010" max="11010" width="13.28515625" style="211" customWidth="1"/>
    <col min="11011" max="11011" width="16.140625" style="211" bestFit="1" customWidth="1"/>
    <col min="11012" max="11012" width="23.5703125" style="211" customWidth="1"/>
    <col min="11013" max="11013" width="17.28515625" style="211" customWidth="1"/>
    <col min="11014" max="11014" width="20.5703125" style="211" bestFit="1" customWidth="1"/>
    <col min="11015" max="11015" width="17.140625" style="211" customWidth="1"/>
    <col min="11016" max="11016" width="21.7109375" style="211" bestFit="1" customWidth="1"/>
    <col min="11017" max="11017" width="17.140625" style="211" bestFit="1" customWidth="1"/>
    <col min="11018" max="11018" width="18.140625" style="211" bestFit="1" customWidth="1"/>
    <col min="11019" max="11019" width="26.42578125" style="211" customWidth="1"/>
    <col min="11020" max="11264" width="9.140625" style="211"/>
    <col min="11265" max="11265" width="8.7109375" style="211" bestFit="1" customWidth="1"/>
    <col min="11266" max="11266" width="13.28515625" style="211" customWidth="1"/>
    <col min="11267" max="11267" width="16.140625" style="211" bestFit="1" customWidth="1"/>
    <col min="11268" max="11268" width="23.5703125" style="211" customWidth="1"/>
    <col min="11269" max="11269" width="17.28515625" style="211" customWidth="1"/>
    <col min="11270" max="11270" width="20.5703125" style="211" bestFit="1" customWidth="1"/>
    <col min="11271" max="11271" width="17.140625" style="211" customWidth="1"/>
    <col min="11272" max="11272" width="21.7109375" style="211" bestFit="1" customWidth="1"/>
    <col min="11273" max="11273" width="17.140625" style="211" bestFit="1" customWidth="1"/>
    <col min="11274" max="11274" width="18.140625" style="211" bestFit="1" customWidth="1"/>
    <col min="11275" max="11275" width="26.42578125" style="211" customWidth="1"/>
    <col min="11276" max="11520" width="9.140625" style="211"/>
    <col min="11521" max="11521" width="8.7109375" style="211" bestFit="1" customWidth="1"/>
    <col min="11522" max="11522" width="13.28515625" style="211" customWidth="1"/>
    <col min="11523" max="11523" width="16.140625" style="211" bestFit="1" customWidth="1"/>
    <col min="11524" max="11524" width="23.5703125" style="211" customWidth="1"/>
    <col min="11525" max="11525" width="17.28515625" style="211" customWidth="1"/>
    <col min="11526" max="11526" width="20.5703125" style="211" bestFit="1" customWidth="1"/>
    <col min="11527" max="11527" width="17.140625" style="211" customWidth="1"/>
    <col min="11528" max="11528" width="21.7109375" style="211" bestFit="1" customWidth="1"/>
    <col min="11529" max="11529" width="17.140625" style="211" bestFit="1" customWidth="1"/>
    <col min="11530" max="11530" width="18.140625" style="211" bestFit="1" customWidth="1"/>
    <col min="11531" max="11531" width="26.42578125" style="211" customWidth="1"/>
    <col min="11532" max="11776" width="9.140625" style="211"/>
    <col min="11777" max="11777" width="8.7109375" style="211" bestFit="1" customWidth="1"/>
    <col min="11778" max="11778" width="13.28515625" style="211" customWidth="1"/>
    <col min="11779" max="11779" width="16.140625" style="211" bestFit="1" customWidth="1"/>
    <col min="11780" max="11780" width="23.5703125" style="211" customWidth="1"/>
    <col min="11781" max="11781" width="17.28515625" style="211" customWidth="1"/>
    <col min="11782" max="11782" width="20.5703125" style="211" bestFit="1" customWidth="1"/>
    <col min="11783" max="11783" width="17.140625" style="211" customWidth="1"/>
    <col min="11784" max="11784" width="21.7109375" style="211" bestFit="1" customWidth="1"/>
    <col min="11785" max="11785" width="17.140625" style="211" bestFit="1" customWidth="1"/>
    <col min="11786" max="11786" width="18.140625" style="211" bestFit="1" customWidth="1"/>
    <col min="11787" max="11787" width="26.42578125" style="211" customWidth="1"/>
    <col min="11788" max="12032" width="9.140625" style="211"/>
    <col min="12033" max="12033" width="8.7109375" style="211" bestFit="1" customWidth="1"/>
    <col min="12034" max="12034" width="13.28515625" style="211" customWidth="1"/>
    <col min="12035" max="12035" width="16.140625" style="211" bestFit="1" customWidth="1"/>
    <col min="12036" max="12036" width="23.5703125" style="211" customWidth="1"/>
    <col min="12037" max="12037" width="17.28515625" style="211" customWidth="1"/>
    <col min="12038" max="12038" width="20.5703125" style="211" bestFit="1" customWidth="1"/>
    <col min="12039" max="12039" width="17.140625" style="211" customWidth="1"/>
    <col min="12040" max="12040" width="21.7109375" style="211" bestFit="1" customWidth="1"/>
    <col min="12041" max="12041" width="17.140625" style="211" bestFit="1" customWidth="1"/>
    <col min="12042" max="12042" width="18.140625" style="211" bestFit="1" customWidth="1"/>
    <col min="12043" max="12043" width="26.42578125" style="211" customWidth="1"/>
    <col min="12044" max="12288" width="9.140625" style="211"/>
    <col min="12289" max="12289" width="8.7109375" style="211" bestFit="1" customWidth="1"/>
    <col min="12290" max="12290" width="13.28515625" style="211" customWidth="1"/>
    <col min="12291" max="12291" width="16.140625" style="211" bestFit="1" customWidth="1"/>
    <col min="12292" max="12292" width="23.5703125" style="211" customWidth="1"/>
    <col min="12293" max="12293" width="17.28515625" style="211" customWidth="1"/>
    <col min="12294" max="12294" width="20.5703125" style="211" bestFit="1" customWidth="1"/>
    <col min="12295" max="12295" width="17.140625" style="211" customWidth="1"/>
    <col min="12296" max="12296" width="21.7109375" style="211" bestFit="1" customWidth="1"/>
    <col min="12297" max="12297" width="17.140625" style="211" bestFit="1" customWidth="1"/>
    <col min="12298" max="12298" width="18.140625" style="211" bestFit="1" customWidth="1"/>
    <col min="12299" max="12299" width="26.42578125" style="211" customWidth="1"/>
    <col min="12300" max="12544" width="9.140625" style="211"/>
    <col min="12545" max="12545" width="8.7109375" style="211" bestFit="1" customWidth="1"/>
    <col min="12546" max="12546" width="13.28515625" style="211" customWidth="1"/>
    <col min="12547" max="12547" width="16.140625" style="211" bestFit="1" customWidth="1"/>
    <col min="12548" max="12548" width="23.5703125" style="211" customWidth="1"/>
    <col min="12549" max="12549" width="17.28515625" style="211" customWidth="1"/>
    <col min="12550" max="12550" width="20.5703125" style="211" bestFit="1" customWidth="1"/>
    <col min="12551" max="12551" width="17.140625" style="211" customWidth="1"/>
    <col min="12552" max="12552" width="21.7109375" style="211" bestFit="1" customWidth="1"/>
    <col min="12553" max="12553" width="17.140625" style="211" bestFit="1" customWidth="1"/>
    <col min="12554" max="12554" width="18.140625" style="211" bestFit="1" customWidth="1"/>
    <col min="12555" max="12555" width="26.42578125" style="211" customWidth="1"/>
    <col min="12556" max="12800" width="9.140625" style="211"/>
    <col min="12801" max="12801" width="8.7109375" style="211" bestFit="1" customWidth="1"/>
    <col min="12802" max="12802" width="13.28515625" style="211" customWidth="1"/>
    <col min="12803" max="12803" width="16.140625" style="211" bestFit="1" customWidth="1"/>
    <col min="12804" max="12804" width="23.5703125" style="211" customWidth="1"/>
    <col min="12805" max="12805" width="17.28515625" style="211" customWidth="1"/>
    <col min="12806" max="12806" width="20.5703125" style="211" bestFit="1" customWidth="1"/>
    <col min="12807" max="12807" width="17.140625" style="211" customWidth="1"/>
    <col min="12808" max="12808" width="21.7109375" style="211" bestFit="1" customWidth="1"/>
    <col min="12809" max="12809" width="17.140625" style="211" bestFit="1" customWidth="1"/>
    <col min="12810" max="12810" width="18.140625" style="211" bestFit="1" customWidth="1"/>
    <col min="12811" max="12811" width="26.42578125" style="211" customWidth="1"/>
    <col min="12812" max="13056" width="9.140625" style="211"/>
    <col min="13057" max="13057" width="8.7109375" style="211" bestFit="1" customWidth="1"/>
    <col min="13058" max="13058" width="13.28515625" style="211" customWidth="1"/>
    <col min="13059" max="13059" width="16.140625" style="211" bestFit="1" customWidth="1"/>
    <col min="13060" max="13060" width="23.5703125" style="211" customWidth="1"/>
    <col min="13061" max="13061" width="17.28515625" style="211" customWidth="1"/>
    <col min="13062" max="13062" width="20.5703125" style="211" bestFit="1" customWidth="1"/>
    <col min="13063" max="13063" width="17.140625" style="211" customWidth="1"/>
    <col min="13064" max="13064" width="21.7109375" style="211" bestFit="1" customWidth="1"/>
    <col min="13065" max="13065" width="17.140625" style="211" bestFit="1" customWidth="1"/>
    <col min="13066" max="13066" width="18.140625" style="211" bestFit="1" customWidth="1"/>
    <col min="13067" max="13067" width="26.42578125" style="211" customWidth="1"/>
    <col min="13068" max="13312" width="9.140625" style="211"/>
    <col min="13313" max="13313" width="8.7109375" style="211" bestFit="1" customWidth="1"/>
    <col min="13314" max="13314" width="13.28515625" style="211" customWidth="1"/>
    <col min="13315" max="13315" width="16.140625" style="211" bestFit="1" customWidth="1"/>
    <col min="13316" max="13316" width="23.5703125" style="211" customWidth="1"/>
    <col min="13317" max="13317" width="17.28515625" style="211" customWidth="1"/>
    <col min="13318" max="13318" width="20.5703125" style="211" bestFit="1" customWidth="1"/>
    <col min="13319" max="13319" width="17.140625" style="211" customWidth="1"/>
    <col min="13320" max="13320" width="21.7109375" style="211" bestFit="1" customWidth="1"/>
    <col min="13321" max="13321" width="17.140625" style="211" bestFit="1" customWidth="1"/>
    <col min="13322" max="13322" width="18.140625" style="211" bestFit="1" customWidth="1"/>
    <col min="13323" max="13323" width="26.42578125" style="211" customWidth="1"/>
    <col min="13324" max="13568" width="9.140625" style="211"/>
    <col min="13569" max="13569" width="8.7109375" style="211" bestFit="1" customWidth="1"/>
    <col min="13570" max="13570" width="13.28515625" style="211" customWidth="1"/>
    <col min="13571" max="13571" width="16.140625" style="211" bestFit="1" customWidth="1"/>
    <col min="13572" max="13572" width="23.5703125" style="211" customWidth="1"/>
    <col min="13573" max="13573" width="17.28515625" style="211" customWidth="1"/>
    <col min="13574" max="13574" width="20.5703125" style="211" bestFit="1" customWidth="1"/>
    <col min="13575" max="13575" width="17.140625" style="211" customWidth="1"/>
    <col min="13576" max="13576" width="21.7109375" style="211" bestFit="1" customWidth="1"/>
    <col min="13577" max="13577" width="17.140625" style="211" bestFit="1" customWidth="1"/>
    <col min="13578" max="13578" width="18.140625" style="211" bestFit="1" customWidth="1"/>
    <col min="13579" max="13579" width="26.42578125" style="211" customWidth="1"/>
    <col min="13580" max="13824" width="9.140625" style="211"/>
    <col min="13825" max="13825" width="8.7109375" style="211" bestFit="1" customWidth="1"/>
    <col min="13826" max="13826" width="13.28515625" style="211" customWidth="1"/>
    <col min="13827" max="13827" width="16.140625" style="211" bestFit="1" customWidth="1"/>
    <col min="13828" max="13828" width="23.5703125" style="211" customWidth="1"/>
    <col min="13829" max="13829" width="17.28515625" style="211" customWidth="1"/>
    <col min="13830" max="13830" width="20.5703125" style="211" bestFit="1" customWidth="1"/>
    <col min="13831" max="13831" width="17.140625" style="211" customWidth="1"/>
    <col min="13832" max="13832" width="21.7109375" style="211" bestFit="1" customWidth="1"/>
    <col min="13833" max="13833" width="17.140625" style="211" bestFit="1" customWidth="1"/>
    <col min="13834" max="13834" width="18.140625" style="211" bestFit="1" customWidth="1"/>
    <col min="13835" max="13835" width="26.42578125" style="211" customWidth="1"/>
    <col min="13836" max="14080" width="9.140625" style="211"/>
    <col min="14081" max="14081" width="8.7109375" style="211" bestFit="1" customWidth="1"/>
    <col min="14082" max="14082" width="13.28515625" style="211" customWidth="1"/>
    <col min="14083" max="14083" width="16.140625" style="211" bestFit="1" customWidth="1"/>
    <col min="14084" max="14084" width="23.5703125" style="211" customWidth="1"/>
    <col min="14085" max="14085" width="17.28515625" style="211" customWidth="1"/>
    <col min="14086" max="14086" width="20.5703125" style="211" bestFit="1" customWidth="1"/>
    <col min="14087" max="14087" width="17.140625" style="211" customWidth="1"/>
    <col min="14088" max="14088" width="21.7109375" style="211" bestFit="1" customWidth="1"/>
    <col min="14089" max="14089" width="17.140625" style="211" bestFit="1" customWidth="1"/>
    <col min="14090" max="14090" width="18.140625" style="211" bestFit="1" customWidth="1"/>
    <col min="14091" max="14091" width="26.42578125" style="211" customWidth="1"/>
    <col min="14092" max="14336" width="9.140625" style="211"/>
    <col min="14337" max="14337" width="8.7109375" style="211" bestFit="1" customWidth="1"/>
    <col min="14338" max="14338" width="13.28515625" style="211" customWidth="1"/>
    <col min="14339" max="14339" width="16.140625" style="211" bestFit="1" customWidth="1"/>
    <col min="14340" max="14340" width="23.5703125" style="211" customWidth="1"/>
    <col min="14341" max="14341" width="17.28515625" style="211" customWidth="1"/>
    <col min="14342" max="14342" width="20.5703125" style="211" bestFit="1" customWidth="1"/>
    <col min="14343" max="14343" width="17.140625" style="211" customWidth="1"/>
    <col min="14344" max="14344" width="21.7109375" style="211" bestFit="1" customWidth="1"/>
    <col min="14345" max="14345" width="17.140625" style="211" bestFit="1" customWidth="1"/>
    <col min="14346" max="14346" width="18.140625" style="211" bestFit="1" customWidth="1"/>
    <col min="14347" max="14347" width="26.42578125" style="211" customWidth="1"/>
    <col min="14348" max="14592" width="9.140625" style="211"/>
    <col min="14593" max="14593" width="8.7109375" style="211" bestFit="1" customWidth="1"/>
    <col min="14594" max="14594" width="13.28515625" style="211" customWidth="1"/>
    <col min="14595" max="14595" width="16.140625" style="211" bestFit="1" customWidth="1"/>
    <col min="14596" max="14596" width="23.5703125" style="211" customWidth="1"/>
    <col min="14597" max="14597" width="17.28515625" style="211" customWidth="1"/>
    <col min="14598" max="14598" width="20.5703125" style="211" bestFit="1" customWidth="1"/>
    <col min="14599" max="14599" width="17.140625" style="211" customWidth="1"/>
    <col min="14600" max="14600" width="21.7109375" style="211" bestFit="1" customWidth="1"/>
    <col min="14601" max="14601" width="17.140625" style="211" bestFit="1" customWidth="1"/>
    <col min="14602" max="14602" width="18.140625" style="211" bestFit="1" customWidth="1"/>
    <col min="14603" max="14603" width="26.42578125" style="211" customWidth="1"/>
    <col min="14604" max="14848" width="9.140625" style="211"/>
    <col min="14849" max="14849" width="8.7109375" style="211" bestFit="1" customWidth="1"/>
    <col min="14850" max="14850" width="13.28515625" style="211" customWidth="1"/>
    <col min="14851" max="14851" width="16.140625" style="211" bestFit="1" customWidth="1"/>
    <col min="14852" max="14852" width="23.5703125" style="211" customWidth="1"/>
    <col min="14853" max="14853" width="17.28515625" style="211" customWidth="1"/>
    <col min="14854" max="14854" width="20.5703125" style="211" bestFit="1" customWidth="1"/>
    <col min="14855" max="14855" width="17.140625" style="211" customWidth="1"/>
    <col min="14856" max="14856" width="21.7109375" style="211" bestFit="1" customWidth="1"/>
    <col min="14857" max="14857" width="17.140625" style="211" bestFit="1" customWidth="1"/>
    <col min="14858" max="14858" width="18.140625" style="211" bestFit="1" customWidth="1"/>
    <col min="14859" max="14859" width="26.42578125" style="211" customWidth="1"/>
    <col min="14860" max="15104" width="9.140625" style="211"/>
    <col min="15105" max="15105" width="8.7109375" style="211" bestFit="1" customWidth="1"/>
    <col min="15106" max="15106" width="13.28515625" style="211" customWidth="1"/>
    <col min="15107" max="15107" width="16.140625" style="211" bestFit="1" customWidth="1"/>
    <col min="15108" max="15108" width="23.5703125" style="211" customWidth="1"/>
    <col min="15109" max="15109" width="17.28515625" style="211" customWidth="1"/>
    <col min="15110" max="15110" width="20.5703125" style="211" bestFit="1" customWidth="1"/>
    <col min="15111" max="15111" width="17.140625" style="211" customWidth="1"/>
    <col min="15112" max="15112" width="21.7109375" style="211" bestFit="1" customWidth="1"/>
    <col min="15113" max="15113" width="17.140625" style="211" bestFit="1" customWidth="1"/>
    <col min="15114" max="15114" width="18.140625" style="211" bestFit="1" customWidth="1"/>
    <col min="15115" max="15115" width="26.42578125" style="211" customWidth="1"/>
    <col min="15116" max="15360" width="9.140625" style="211"/>
    <col min="15361" max="15361" width="8.7109375" style="211" bestFit="1" customWidth="1"/>
    <col min="15362" max="15362" width="13.28515625" style="211" customWidth="1"/>
    <col min="15363" max="15363" width="16.140625" style="211" bestFit="1" customWidth="1"/>
    <col min="15364" max="15364" width="23.5703125" style="211" customWidth="1"/>
    <col min="15365" max="15365" width="17.28515625" style="211" customWidth="1"/>
    <col min="15366" max="15366" width="20.5703125" style="211" bestFit="1" customWidth="1"/>
    <col min="15367" max="15367" width="17.140625" style="211" customWidth="1"/>
    <col min="15368" max="15368" width="21.7109375" style="211" bestFit="1" customWidth="1"/>
    <col min="15369" max="15369" width="17.140625" style="211" bestFit="1" customWidth="1"/>
    <col min="15370" max="15370" width="18.140625" style="211" bestFit="1" customWidth="1"/>
    <col min="15371" max="15371" width="26.42578125" style="211" customWidth="1"/>
    <col min="15372" max="15616" width="9.140625" style="211"/>
    <col min="15617" max="15617" width="8.7109375" style="211" bestFit="1" customWidth="1"/>
    <col min="15618" max="15618" width="13.28515625" style="211" customWidth="1"/>
    <col min="15619" max="15619" width="16.140625" style="211" bestFit="1" customWidth="1"/>
    <col min="15620" max="15620" width="23.5703125" style="211" customWidth="1"/>
    <col min="15621" max="15621" width="17.28515625" style="211" customWidth="1"/>
    <col min="15622" max="15622" width="20.5703125" style="211" bestFit="1" customWidth="1"/>
    <col min="15623" max="15623" width="17.140625" style="211" customWidth="1"/>
    <col min="15624" max="15624" width="21.7109375" style="211" bestFit="1" customWidth="1"/>
    <col min="15625" max="15625" width="17.140625" style="211" bestFit="1" customWidth="1"/>
    <col min="15626" max="15626" width="18.140625" style="211" bestFit="1" customWidth="1"/>
    <col min="15627" max="15627" width="26.42578125" style="211" customWidth="1"/>
    <col min="15628" max="15872" width="9.140625" style="211"/>
    <col min="15873" max="15873" width="8.7109375" style="211" bestFit="1" customWidth="1"/>
    <col min="15874" max="15874" width="13.28515625" style="211" customWidth="1"/>
    <col min="15875" max="15875" width="16.140625" style="211" bestFit="1" customWidth="1"/>
    <col min="15876" max="15876" width="23.5703125" style="211" customWidth="1"/>
    <col min="15877" max="15877" width="17.28515625" style="211" customWidth="1"/>
    <col min="15878" max="15878" width="20.5703125" style="211" bestFit="1" customWidth="1"/>
    <col min="15879" max="15879" width="17.140625" style="211" customWidth="1"/>
    <col min="15880" max="15880" width="21.7109375" style="211" bestFit="1" customWidth="1"/>
    <col min="15881" max="15881" width="17.140625" style="211" bestFit="1" customWidth="1"/>
    <col min="15882" max="15882" width="18.140625" style="211" bestFit="1" customWidth="1"/>
    <col min="15883" max="15883" width="26.42578125" style="211" customWidth="1"/>
    <col min="15884" max="16128" width="9.140625" style="211"/>
    <col min="16129" max="16129" width="8.7109375" style="211" bestFit="1" customWidth="1"/>
    <col min="16130" max="16130" width="13.28515625" style="211" customWidth="1"/>
    <col min="16131" max="16131" width="16.140625" style="211" bestFit="1" customWidth="1"/>
    <col min="16132" max="16132" width="23.5703125" style="211" customWidth="1"/>
    <col min="16133" max="16133" width="17.28515625" style="211" customWidth="1"/>
    <col min="16134" max="16134" width="20.5703125" style="211" bestFit="1" customWidth="1"/>
    <col min="16135" max="16135" width="17.140625" style="211" customWidth="1"/>
    <col min="16136" max="16136" width="21.7109375" style="211" bestFit="1" customWidth="1"/>
    <col min="16137" max="16137" width="17.140625" style="211" bestFit="1" customWidth="1"/>
    <col min="16138" max="16138" width="18.140625" style="211" bestFit="1" customWidth="1"/>
    <col min="16139" max="16139" width="26.42578125" style="211" customWidth="1"/>
    <col min="16140" max="16384" width="9.140625" style="211"/>
  </cols>
  <sheetData>
    <row r="1" spans="13:13" s="244" customFormat="1" x14ac:dyDescent="0.2">
      <c r="M1" s="245"/>
    </row>
    <row r="2" spans="13:13" s="244" customFormat="1" x14ac:dyDescent="0.2">
      <c r="M2" s="245"/>
    </row>
    <row r="3" spans="13:13" s="244" customFormat="1" x14ac:dyDescent="0.2">
      <c r="M3" s="245"/>
    </row>
    <row r="4" spans="13:13" s="244" customFormat="1" x14ac:dyDescent="0.2">
      <c r="M4" s="245"/>
    </row>
    <row r="5" spans="13:13" s="244" customFormat="1" x14ac:dyDescent="0.2">
      <c r="M5" s="245"/>
    </row>
    <row r="6" spans="13:13" s="244" customFormat="1" x14ac:dyDescent="0.2">
      <c r="M6" s="245"/>
    </row>
    <row r="7" spans="13:13" s="244" customFormat="1" x14ac:dyDescent="0.2">
      <c r="M7" s="245"/>
    </row>
    <row r="8" spans="13:13" s="244" customFormat="1" x14ac:dyDescent="0.2">
      <c r="M8" s="245"/>
    </row>
    <row r="9" spans="13:13" s="244" customFormat="1" x14ac:dyDescent="0.2">
      <c r="M9" s="245"/>
    </row>
    <row r="10" spans="13:13" s="244" customFormat="1" x14ac:dyDescent="0.2">
      <c r="M10" s="245"/>
    </row>
    <row r="11" spans="13:13" s="244" customFormat="1" x14ac:dyDescent="0.2">
      <c r="M11" s="245"/>
    </row>
    <row r="12" spans="13:13" s="244" customFormat="1" x14ac:dyDescent="0.2">
      <c r="M12" s="245"/>
    </row>
    <row r="13" spans="13:13" s="244" customFormat="1" x14ac:dyDescent="0.2">
      <c r="M13" s="245"/>
    </row>
    <row r="14" spans="13:13" s="244" customFormat="1" x14ac:dyDescent="0.2">
      <c r="M14" s="245"/>
    </row>
    <row r="15" spans="13:13" s="244" customFormat="1" x14ac:dyDescent="0.2">
      <c r="M15" s="245"/>
    </row>
    <row r="16" spans="13:13" s="244" customFormat="1" x14ac:dyDescent="0.2">
      <c r="M16" s="245"/>
    </row>
    <row r="17" spans="13:13" s="244" customFormat="1" x14ac:dyDescent="0.2">
      <c r="M17" s="245"/>
    </row>
    <row r="18" spans="13:13" s="244" customFormat="1" x14ac:dyDescent="0.2">
      <c r="M18" s="245"/>
    </row>
    <row r="19" spans="13:13" s="244" customFormat="1" x14ac:dyDescent="0.2">
      <c r="M19" s="245"/>
    </row>
    <row r="20" spans="13:13" s="244" customFormat="1" x14ac:dyDescent="0.2">
      <c r="M20" s="245"/>
    </row>
    <row r="21" spans="13:13" s="244" customFormat="1" x14ac:dyDescent="0.2">
      <c r="M21" s="245"/>
    </row>
    <row r="22" spans="13:13" s="244" customFormat="1" x14ac:dyDescent="0.2">
      <c r="M22" s="245"/>
    </row>
    <row r="23" spans="13:13" s="244" customFormat="1" x14ac:dyDescent="0.2">
      <c r="M23" s="245"/>
    </row>
    <row r="24" spans="13:13" s="244" customFormat="1" x14ac:dyDescent="0.2">
      <c r="M24" s="245"/>
    </row>
    <row r="25" spans="13:13" s="244" customFormat="1" x14ac:dyDescent="0.2">
      <c r="M25" s="245"/>
    </row>
    <row r="26" spans="13:13" s="244" customFormat="1" x14ac:dyDescent="0.2">
      <c r="M26" s="245"/>
    </row>
    <row r="27" spans="13:13" s="244" customFormat="1" x14ac:dyDescent="0.2">
      <c r="M27" s="245"/>
    </row>
    <row r="28" spans="13:13" s="244" customFormat="1" x14ac:dyDescent="0.2">
      <c r="M28" s="245"/>
    </row>
    <row r="29" spans="13:13" s="244" customFormat="1" x14ac:dyDescent="0.2">
      <c r="M29" s="245"/>
    </row>
    <row r="30" spans="13:13" s="244" customFormat="1" x14ac:dyDescent="0.2">
      <c r="M30" s="245"/>
    </row>
    <row r="31" spans="13:13" s="244" customFormat="1" x14ac:dyDescent="0.2">
      <c r="M31" s="245"/>
    </row>
    <row r="32" spans="13:13" s="244" customFormat="1" x14ac:dyDescent="0.2">
      <c r="M32" s="245"/>
    </row>
    <row r="33" spans="1:13" s="244" customFormat="1" ht="15.75" customHeight="1" x14ac:dyDescent="0.2">
      <c r="I33" s="270" t="str">
        <f>IF(OR(SCH_MODE=3, SCH_MODE=4),"** Tie VCCX to GND if not used **", "")</f>
        <v/>
      </c>
    </row>
    <row r="34" spans="1:13" s="244" customFormat="1" ht="15.75" customHeight="1" x14ac:dyDescent="0.2">
      <c r="A34" s="244" t="s">
        <v>938</v>
      </c>
    </row>
    <row r="35" spans="1:13" s="244" customFormat="1" ht="15.75" customHeight="1" x14ac:dyDescent="0.2">
      <c r="A35" s="244" t="s">
        <v>747</v>
      </c>
    </row>
    <row r="36" spans="1:13" s="244" customFormat="1" ht="24.75" customHeight="1" x14ac:dyDescent="0.25">
      <c r="A36" s="249" t="str">
        <f>"Vin = "&amp;VIN_min&amp;"V to "&amp;VIN_max&amp;"V, Vout = "&amp; Vout &amp;"V, Iout = " &amp;Iout &amp; "A, Fsw = " &amp; Fsw/1000 &amp;"kHz, Current Limit = "&amp;ROUNDUP(Ilimit_DC,0)&amp;"A"</f>
        <v>Vin = 10V to 18V, Vout = 5V, Iout = 8A, Fsw = 2100kHz, Current Limit = 7A</v>
      </c>
    </row>
    <row r="37" spans="1:13" ht="24.75" customHeight="1" thickBot="1" x14ac:dyDescent="0.25">
      <c r="A37" s="213" t="s">
        <v>952</v>
      </c>
    </row>
    <row r="38" spans="1:13" ht="18" customHeight="1" x14ac:dyDescent="0.2">
      <c r="A38" s="473" t="s">
        <v>247</v>
      </c>
      <c r="B38" s="474" t="s">
        <v>246</v>
      </c>
      <c r="C38" s="474" t="s">
        <v>7</v>
      </c>
      <c r="D38" s="798" t="s">
        <v>107</v>
      </c>
      <c r="E38" s="799"/>
      <c r="F38" s="799"/>
      <c r="G38" s="800"/>
      <c r="H38" s="475" t="s">
        <v>238</v>
      </c>
      <c r="I38" s="475" t="s">
        <v>156</v>
      </c>
      <c r="J38" s="475" t="s">
        <v>239</v>
      </c>
      <c r="L38" s="212"/>
      <c r="M38" s="211"/>
    </row>
    <row r="39" spans="1:13" s="218" customFormat="1" ht="15.75" customHeight="1" x14ac:dyDescent="0.2">
      <c r="A39" s="215">
        <v>1</v>
      </c>
      <c r="B39" s="216" t="s">
        <v>743</v>
      </c>
      <c r="C39" s="230">
        <v>0.1</v>
      </c>
      <c r="D39" s="816">
        <f t="shared" ref="D39:D45" si="0">C39</f>
        <v>0.1</v>
      </c>
      <c r="E39" s="817"/>
      <c r="F39" s="817"/>
      <c r="G39" s="231"/>
      <c r="H39" s="232" t="s">
        <v>243</v>
      </c>
      <c r="I39" s="217" t="s">
        <v>240</v>
      </c>
      <c r="J39" s="217" t="s">
        <v>240</v>
      </c>
      <c r="L39" s="219"/>
    </row>
    <row r="40" spans="1:13" s="218" customFormat="1" ht="15.75" x14ac:dyDescent="0.2">
      <c r="A40" s="214">
        <v>1</v>
      </c>
      <c r="B40" s="233" t="s">
        <v>939</v>
      </c>
      <c r="C40" s="241">
        <f>'Design Regulator'!D72</f>
        <v>3.3000000000000003</v>
      </c>
      <c r="D40" s="818">
        <f t="shared" si="0"/>
        <v>3.3000000000000003</v>
      </c>
      <c r="E40" s="819"/>
      <c r="F40" s="819"/>
      <c r="G40" s="235"/>
      <c r="H40" s="236" t="s">
        <v>243</v>
      </c>
      <c r="I40" s="237" t="s">
        <v>240</v>
      </c>
      <c r="J40" s="237" t="s">
        <v>240</v>
      </c>
      <c r="L40" s="219"/>
    </row>
    <row r="41" spans="1:13" s="218" customFormat="1" ht="15.75" x14ac:dyDescent="0.2">
      <c r="A41" s="214">
        <v>1</v>
      </c>
      <c r="B41" s="233" t="s">
        <v>940</v>
      </c>
      <c r="C41" s="234">
        <f>'Design Regulator'!D73</f>
        <v>0</v>
      </c>
      <c r="D41" s="824">
        <f t="shared" si="0"/>
        <v>0</v>
      </c>
      <c r="E41" s="825"/>
      <c r="F41" s="825"/>
      <c r="G41" s="235"/>
      <c r="H41" s="236" t="s">
        <v>243</v>
      </c>
      <c r="I41" s="237" t="s">
        <v>240</v>
      </c>
      <c r="J41" s="237" t="s">
        <v>240</v>
      </c>
      <c r="L41" s="219"/>
    </row>
    <row r="42" spans="1:13" s="218" customFormat="1" ht="15.75" x14ac:dyDescent="0.2">
      <c r="A42" s="214">
        <f>ROUNDUP('Design Regulator'!E44/10,0)</f>
        <v>3</v>
      </c>
      <c r="B42" s="233" t="s">
        <v>244</v>
      </c>
      <c r="C42" s="240">
        <v>10</v>
      </c>
      <c r="D42" s="826">
        <f>C42</f>
        <v>10</v>
      </c>
      <c r="E42" s="827"/>
      <c r="F42" s="827"/>
      <c r="G42" s="235"/>
      <c r="H42" s="236">
        <v>1210</v>
      </c>
      <c r="I42" s="237" t="s">
        <v>240</v>
      </c>
      <c r="J42" s="237" t="s">
        <v>240</v>
      </c>
      <c r="L42" s="219"/>
    </row>
    <row r="43" spans="1:13" s="218" customFormat="1" ht="15.75" x14ac:dyDescent="0.2">
      <c r="A43" s="214">
        <f>ROUNDUP('Design Regulator'!E35/47,0)</f>
        <v>5</v>
      </c>
      <c r="B43" s="233" t="s">
        <v>245</v>
      </c>
      <c r="C43" s="240">
        <v>47</v>
      </c>
      <c r="D43" s="820">
        <f>C43</f>
        <v>47</v>
      </c>
      <c r="E43" s="821"/>
      <c r="F43" s="821"/>
      <c r="G43" s="235"/>
      <c r="H43" s="236">
        <v>1210</v>
      </c>
      <c r="I43" s="237" t="s">
        <v>240</v>
      </c>
      <c r="J43" s="237" t="s">
        <v>240</v>
      </c>
      <c r="L43" s="219"/>
    </row>
    <row r="44" spans="1:13" s="218" customFormat="1" ht="15.75" x14ac:dyDescent="0.2">
      <c r="A44" s="225">
        <v>2</v>
      </c>
      <c r="B44" s="226" t="s">
        <v>744</v>
      </c>
      <c r="C44" s="239">
        <v>2.2000000000000002</v>
      </c>
      <c r="D44" s="822">
        <f t="shared" si="0"/>
        <v>2.2000000000000002</v>
      </c>
      <c r="E44" s="823"/>
      <c r="F44" s="823"/>
      <c r="G44" s="238"/>
      <c r="H44" s="228" t="s">
        <v>243</v>
      </c>
      <c r="I44" s="229" t="s">
        <v>240</v>
      </c>
      <c r="J44" s="229" t="s">
        <v>240</v>
      </c>
      <c r="L44" s="219"/>
    </row>
    <row r="45" spans="1:13" s="218" customFormat="1" ht="15.75" x14ac:dyDescent="0.2">
      <c r="A45" s="225">
        <v>1</v>
      </c>
      <c r="B45" s="226" t="s">
        <v>678</v>
      </c>
      <c r="C45" s="239">
        <v>0.47</v>
      </c>
      <c r="D45" s="822">
        <f t="shared" si="0"/>
        <v>0.47</v>
      </c>
      <c r="E45" s="823"/>
      <c r="F45" s="823"/>
      <c r="G45" s="238"/>
      <c r="H45" s="228" t="s">
        <v>243</v>
      </c>
      <c r="I45" s="229" t="s">
        <v>240</v>
      </c>
      <c r="J45" s="229" t="s">
        <v>240</v>
      </c>
      <c r="L45" s="219"/>
    </row>
    <row r="46" spans="1:13" s="218" customFormat="1" ht="15.75" x14ac:dyDescent="0.2">
      <c r="A46" s="214">
        <v>1</v>
      </c>
      <c r="B46" s="233" t="s">
        <v>745</v>
      </c>
      <c r="C46" s="243">
        <f>'Design Regulator'!E27</f>
        <v>2.2000000000000002</v>
      </c>
      <c r="D46" s="813" t="str">
        <f>"Inductor, "&amp;Lf*1000000&amp;"µH, "&amp;Rdcr*1000&amp;"mΩ, &gt;"&amp;ROUNDUP(Ilimit_DC*1.1,0)&amp;"A"</f>
        <v>Inductor, 2.2µH, 3.5mΩ, &gt;8A</v>
      </c>
      <c r="E46" s="814"/>
      <c r="F46" s="814"/>
      <c r="G46" s="815"/>
      <c r="H46" s="237" t="s">
        <v>249</v>
      </c>
      <c r="I46" s="237" t="s">
        <v>249</v>
      </c>
      <c r="J46" s="237" t="s">
        <v>248</v>
      </c>
      <c r="L46" s="219"/>
    </row>
    <row r="47" spans="1:13" s="218" customFormat="1" ht="15.75" x14ac:dyDescent="0.2">
      <c r="A47" s="225">
        <v>2</v>
      </c>
      <c r="B47" s="226" t="s">
        <v>507</v>
      </c>
      <c r="C47" s="242" t="s">
        <v>241</v>
      </c>
      <c r="D47" s="807">
        <f>'Design Regulator'!E82</f>
        <v>12</v>
      </c>
      <c r="E47" s="808"/>
      <c r="F47" s="808"/>
      <c r="G47" s="809"/>
      <c r="H47" s="229" t="s">
        <v>240</v>
      </c>
      <c r="I47" s="229" t="str">
        <f>'Design Regulator'!E80</f>
        <v>'852, '824</v>
      </c>
      <c r="J47" s="229" t="s">
        <v>249</v>
      </c>
      <c r="L47" s="219"/>
    </row>
    <row r="48" spans="1:13" s="218" customFormat="1" ht="15.75" x14ac:dyDescent="0.2">
      <c r="A48" s="220">
        <v>1</v>
      </c>
      <c r="B48" s="221" t="s">
        <v>941</v>
      </c>
      <c r="C48" s="222">
        <f>'Design Regulator'!D71</f>
        <v>12.1</v>
      </c>
      <c r="D48" s="804">
        <f t="shared" ref="D48:D55" si="1">C48</f>
        <v>12.1</v>
      </c>
      <c r="E48" s="805"/>
      <c r="F48" s="805"/>
      <c r="G48" s="806"/>
      <c r="H48" s="223" t="s">
        <v>243</v>
      </c>
      <c r="I48" s="224" t="s">
        <v>240</v>
      </c>
      <c r="J48" s="224" t="s">
        <v>240</v>
      </c>
      <c r="L48" s="219"/>
    </row>
    <row r="49" spans="1:12" s="218" customFormat="1" ht="15.75" x14ac:dyDescent="0.2">
      <c r="A49" s="220">
        <v>1</v>
      </c>
      <c r="B49" s="221" t="s">
        <v>746</v>
      </c>
      <c r="C49" s="426">
        <f>Rs*1000</f>
        <v>4.5999999999999996</v>
      </c>
      <c r="D49" s="810">
        <f t="shared" si="1"/>
        <v>4.5999999999999996</v>
      </c>
      <c r="E49" s="811"/>
      <c r="F49" s="811"/>
      <c r="G49" s="812"/>
      <c r="H49" s="223" t="s">
        <v>677</v>
      </c>
      <c r="I49" s="224" t="s">
        <v>240</v>
      </c>
      <c r="J49" s="224" t="s">
        <v>240</v>
      </c>
      <c r="L49" s="219"/>
    </row>
    <row r="50" spans="1:12" s="218" customFormat="1" ht="15.75" x14ac:dyDescent="0.2">
      <c r="A50" s="220">
        <v>1</v>
      </c>
      <c r="B50" s="221" t="s">
        <v>447</v>
      </c>
      <c r="C50" s="222">
        <f>'Design Regulator'!E12</f>
        <v>9.5299999999999994</v>
      </c>
      <c r="D50" s="804">
        <f t="shared" si="1"/>
        <v>9.5299999999999994</v>
      </c>
      <c r="E50" s="805"/>
      <c r="F50" s="805"/>
      <c r="G50" s="806"/>
      <c r="H50" s="223" t="s">
        <v>243</v>
      </c>
      <c r="I50" s="224" t="s">
        <v>240</v>
      </c>
      <c r="J50" s="224" t="s">
        <v>240</v>
      </c>
      <c r="L50" s="219"/>
    </row>
    <row r="51" spans="1:12" s="218" customFormat="1" ht="15.75" x14ac:dyDescent="0.2">
      <c r="A51" s="220">
        <v>1</v>
      </c>
      <c r="B51" s="221" t="s">
        <v>251</v>
      </c>
      <c r="C51" s="222">
        <f>'Design Regulator'!E65</f>
        <v>78.7</v>
      </c>
      <c r="D51" s="804">
        <f t="shared" ref="D51" si="2">C51</f>
        <v>78.7</v>
      </c>
      <c r="E51" s="805"/>
      <c r="F51" s="805"/>
      <c r="G51" s="806"/>
      <c r="H51" s="223" t="s">
        <v>243</v>
      </c>
      <c r="I51" s="224" t="s">
        <v>240</v>
      </c>
      <c r="J51" s="224" t="s">
        <v>240</v>
      </c>
      <c r="L51" s="219"/>
    </row>
    <row r="52" spans="1:12" s="218" customFormat="1" ht="15.75" x14ac:dyDescent="0.2">
      <c r="A52" s="220">
        <v>1</v>
      </c>
      <c r="B52" s="221" t="s">
        <v>252</v>
      </c>
      <c r="C52" s="222">
        <f>'Design Regulator'!E66</f>
        <v>471</v>
      </c>
      <c r="D52" s="804">
        <f t="shared" ref="D52" si="3">C52</f>
        <v>471</v>
      </c>
      <c r="E52" s="805"/>
      <c r="F52" s="805"/>
      <c r="G52" s="806"/>
      <c r="H52" s="223" t="s">
        <v>243</v>
      </c>
      <c r="I52" s="224" t="s">
        <v>240</v>
      </c>
      <c r="J52" s="224" t="s">
        <v>240</v>
      </c>
      <c r="L52" s="219"/>
    </row>
    <row r="53" spans="1:12" s="218" customFormat="1" ht="15.75" x14ac:dyDescent="0.2">
      <c r="A53" s="225">
        <v>1</v>
      </c>
      <c r="B53" s="226" t="s">
        <v>942</v>
      </c>
      <c r="C53" s="227">
        <v>100</v>
      </c>
      <c r="D53" s="801">
        <f t="shared" si="1"/>
        <v>100</v>
      </c>
      <c r="E53" s="802"/>
      <c r="F53" s="802"/>
      <c r="G53" s="803"/>
      <c r="H53" s="228" t="s">
        <v>243</v>
      </c>
      <c r="I53" s="229" t="s">
        <v>240</v>
      </c>
      <c r="J53" s="229" t="s">
        <v>240</v>
      </c>
      <c r="L53" s="219"/>
    </row>
    <row r="54" spans="1:12" s="424" customFormat="1" ht="15.75" x14ac:dyDescent="0.2">
      <c r="A54" s="225">
        <v>1</v>
      </c>
      <c r="B54" s="226" t="s">
        <v>756</v>
      </c>
      <c r="C54" s="242">
        <v>100</v>
      </c>
      <c r="D54" s="828">
        <f t="shared" si="1"/>
        <v>100</v>
      </c>
      <c r="E54" s="829"/>
      <c r="F54" s="829"/>
      <c r="G54" s="830"/>
      <c r="H54" s="228" t="s">
        <v>243</v>
      </c>
      <c r="I54" s="229" t="s">
        <v>240</v>
      </c>
      <c r="J54" s="229" t="s">
        <v>240</v>
      </c>
      <c r="L54" s="425"/>
    </row>
    <row r="55" spans="1:12" s="218" customFormat="1" ht="15.75" x14ac:dyDescent="0.2">
      <c r="A55" s="225">
        <v>1</v>
      </c>
      <c r="B55" s="226" t="s">
        <v>250</v>
      </c>
      <c r="C55" s="242">
        <v>2.2000000000000002</v>
      </c>
      <c r="D55" s="828">
        <f t="shared" si="1"/>
        <v>2.2000000000000002</v>
      </c>
      <c r="E55" s="829"/>
      <c r="F55" s="829"/>
      <c r="G55" s="830"/>
      <c r="H55" s="228" t="s">
        <v>243</v>
      </c>
      <c r="I55" s="229" t="s">
        <v>240</v>
      </c>
      <c r="J55" s="229" t="s">
        <v>240</v>
      </c>
      <c r="L55" s="219"/>
    </row>
    <row r="56" spans="1:12" s="218" customFormat="1" ht="14.25" customHeight="1" x14ac:dyDescent="0.2">
      <c r="A56" s="831">
        <v>1</v>
      </c>
      <c r="B56" s="843" t="s">
        <v>253</v>
      </c>
      <c r="C56" s="841" t="str">
        <f>'Variable Management'!P29</f>
        <v>LM5148</v>
      </c>
      <c r="D56" s="835" t="str">
        <f>CHOOSE(VARIANT, "IC, LM5148, Synchronous Buck PWM Controller, 3.5V–80V Input", "IC, LM5148-Q1, Synchronous Buck PWM Controller, 3.5V–80V Input", "IC, LM25148, Synchronous Buck PWM Controller, 3.5V–42V Input",  "IC, LM25148-Q1, Synchronous Buck PWM Controller, 3.5V–42V Input")</f>
        <v>IC, LM5148, Synchronous Buck PWM Controller, 3.5V–80V Input</v>
      </c>
      <c r="E56" s="836"/>
      <c r="F56" s="836"/>
      <c r="G56" s="837"/>
      <c r="H56" s="845" t="s">
        <v>757</v>
      </c>
      <c r="I56" s="841" t="str">
        <f>CHOOSE(VARIANT, "LM5148RGYR", "LM5148QRGYRQ1", "LM25148RGYR", "LM25148QRGYRQ1")</f>
        <v>LM5148RGYR</v>
      </c>
      <c r="J56" s="833" t="s">
        <v>242</v>
      </c>
      <c r="L56" s="219"/>
    </row>
    <row r="57" spans="1:12" x14ac:dyDescent="0.2">
      <c r="A57" s="832"/>
      <c r="B57" s="844"/>
      <c r="C57" s="842"/>
      <c r="D57" s="838"/>
      <c r="E57" s="839"/>
      <c r="F57" s="839"/>
      <c r="G57" s="840"/>
      <c r="H57" s="846"/>
      <c r="I57" s="842"/>
      <c r="J57" s="834"/>
    </row>
    <row r="59" spans="1:12" x14ac:dyDescent="0.2">
      <c r="A59" s="251" t="s">
        <v>261</v>
      </c>
    </row>
    <row r="60" spans="1:12" ht="17.100000000000001" customHeight="1" x14ac:dyDescent="0.2">
      <c r="A60" s="211" t="s">
        <v>448</v>
      </c>
    </row>
    <row r="61" spans="1:12" ht="17.100000000000001" customHeight="1" x14ac:dyDescent="0.2">
      <c r="A61" s="211" t="s">
        <v>951</v>
      </c>
    </row>
  </sheetData>
  <sheetProtection algorithmName="SHA-512" hashValue="BzucQA+KWiQvL07lfQEK93VBOPFTS/R1HaMt60aHxK8pazY0cozuTZIJLoeWzg3Ri1oWcB3r8QJ+z+htLdVPEw==" saltValue="KXDqQqxHUhvDm5V30XJqdw==" spinCount="100000" sheet="1" objects="1" scenarios="1" selectLockedCells="1" selectUnlockedCells="1"/>
  <mergeCells count="25">
    <mergeCell ref="D55:G55"/>
    <mergeCell ref="D54:G54"/>
    <mergeCell ref="D48:G48"/>
    <mergeCell ref="A56:A57"/>
    <mergeCell ref="J56:J57"/>
    <mergeCell ref="D56:G57"/>
    <mergeCell ref="C56:C57"/>
    <mergeCell ref="B56:B57"/>
    <mergeCell ref="H56:H57"/>
    <mergeCell ref="I56:I57"/>
    <mergeCell ref="D38:G38"/>
    <mergeCell ref="D53:G53"/>
    <mergeCell ref="D51:G51"/>
    <mergeCell ref="D52:G52"/>
    <mergeCell ref="D47:G47"/>
    <mergeCell ref="D50:G50"/>
    <mergeCell ref="D49:G49"/>
    <mergeCell ref="D46:G46"/>
    <mergeCell ref="D39:F39"/>
    <mergeCell ref="D40:F40"/>
    <mergeCell ref="D43:F43"/>
    <mergeCell ref="D45:F45"/>
    <mergeCell ref="D41:F41"/>
    <mergeCell ref="D44:F44"/>
    <mergeCell ref="D42:F42"/>
  </mergeCells>
  <printOptions horizontalCentered="1"/>
  <pageMargins left="0.23" right="0.23" top="0.7" bottom="0.61" header="0.3" footer="0.5"/>
  <pageSetup scale="46" fitToHeight="2" orientation="landscape" r:id="rId1"/>
  <headerFooter alignWithMargins="0"/>
  <ignoredErrors>
    <ignoredError sqref="H39:H41 H45 H46 H53:H54 H44 H48 H50:H52 H49 H55" numberStoredAsText="1"/>
  </ignoredError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00FF"/>
    <pageSetUpPr fitToPage="1"/>
  </sheetPr>
  <dimension ref="A1:W6"/>
  <sheetViews>
    <sheetView topLeftCell="A4" zoomScale="85" zoomScaleNormal="85" zoomScaleSheetLayoutView="80" workbookViewId="0">
      <selection activeCell="K6" sqref="K6"/>
    </sheetView>
  </sheetViews>
  <sheetFormatPr defaultColWidth="9.140625" defaultRowHeight="12.75" x14ac:dyDescent="0.2"/>
  <cols>
    <col min="1" max="13" width="9.140625" style="120"/>
    <col min="14" max="14" width="11.7109375" style="120" customWidth="1"/>
    <col min="15" max="16" width="9.140625" style="120"/>
    <col min="17" max="17" width="15.7109375" style="120" customWidth="1"/>
    <col min="18" max="16384" width="9.140625" style="120"/>
  </cols>
  <sheetData>
    <row r="1" spans="1:23" s="112" customFormat="1" ht="47.25" customHeight="1" x14ac:dyDescent="0.2">
      <c r="A1" s="847" t="s">
        <v>915</v>
      </c>
      <c r="B1" s="848"/>
      <c r="C1" s="848"/>
      <c r="D1" s="848"/>
      <c r="E1" s="848"/>
      <c r="F1" s="848"/>
      <c r="G1" s="848"/>
      <c r="H1" s="848"/>
      <c r="I1" s="848"/>
      <c r="J1" s="848"/>
      <c r="K1" s="848"/>
      <c r="L1" s="848"/>
      <c r="M1" s="848"/>
      <c r="N1" s="848"/>
      <c r="O1" s="848"/>
      <c r="P1" s="848"/>
      <c r="Q1" s="848"/>
    </row>
    <row r="6" spans="1:23" ht="20.25" x14ac:dyDescent="0.3">
      <c r="B6" s="121" t="s">
        <v>916</v>
      </c>
      <c r="M6" s="121"/>
      <c r="W6" s="121"/>
    </row>
  </sheetData>
  <sheetProtection algorithmName="SHA-512" hashValue="T57Nb+KuWMbHaKZuvLh7d5qoN4vNFcMfwIUMI8R8liSMGVOrdmehOPAlNkCUQ/8uwEodfY+QreP6v/GrEyJ3MA==" saltValue="LWRDTVNykMeRmU5ul2MsEg==" spinCount="100000" sheet="1" objects="1" scenarios="1" selectLockedCells="1"/>
  <mergeCells count="1">
    <mergeCell ref="A1:Q1"/>
  </mergeCells>
  <pageMargins left="0.19" right="0.2" top="0.75" bottom="0.75" header="0.3" footer="0.3"/>
  <pageSetup scale="30" orientation="portrait" r:id="rId1"/>
  <drawing r:id="rId2"/>
  <legacyDrawing r:id="rId3"/>
  <oleObjects>
    <mc:AlternateContent xmlns:mc="http://schemas.openxmlformats.org/markup-compatibility/2006">
      <mc:Choice Requires="x14">
        <oleObject progId="Visio.Drawing.15" shapeId="819203" r:id="rId4">
          <objectPr defaultSize="0" r:id="rId5">
            <anchor moveWithCells="1">
              <from>
                <xdr:col>13</xdr:col>
                <xdr:colOff>95250</xdr:colOff>
                <xdr:row>9</xdr:row>
                <xdr:rowOff>76200</xdr:rowOff>
              </from>
              <to>
                <xdr:col>24</xdr:col>
                <xdr:colOff>228600</xdr:colOff>
                <xdr:row>36</xdr:row>
                <xdr:rowOff>76200</xdr:rowOff>
              </to>
            </anchor>
          </objectPr>
        </oleObject>
      </mc:Choice>
      <mc:Fallback>
        <oleObject progId="Visio.Drawing.15" shapeId="819203" r:id="rId4"/>
      </mc:Fallback>
    </mc:AlternateContent>
    <mc:AlternateContent xmlns:mc="http://schemas.openxmlformats.org/markup-compatibility/2006">
      <mc:Choice Requires="x14">
        <oleObject progId="Visio.Drawing.15" shapeId="819207" r:id="rId6">
          <objectPr defaultSize="0" r:id="rId7">
            <anchor moveWithCells="1">
              <from>
                <xdr:col>13</xdr:col>
                <xdr:colOff>133350</xdr:colOff>
                <xdr:row>69</xdr:row>
                <xdr:rowOff>95250</xdr:rowOff>
              </from>
              <to>
                <xdr:col>24</xdr:col>
                <xdr:colOff>133350</xdr:colOff>
                <xdr:row>96</xdr:row>
                <xdr:rowOff>66675</xdr:rowOff>
              </to>
            </anchor>
          </objectPr>
        </oleObject>
      </mc:Choice>
      <mc:Fallback>
        <oleObject progId="Visio.Drawing.15" shapeId="819207" r:id="rId6"/>
      </mc:Fallback>
    </mc:AlternateContent>
    <mc:AlternateContent xmlns:mc="http://schemas.openxmlformats.org/markup-compatibility/2006">
      <mc:Choice Requires="x14">
        <oleObject progId="Visio.Drawing.15" shapeId="819208" r:id="rId8">
          <objectPr defaultSize="0" r:id="rId9">
            <anchor moveWithCells="1">
              <from>
                <xdr:col>13</xdr:col>
                <xdr:colOff>95250</xdr:colOff>
                <xdr:row>40</xdr:row>
                <xdr:rowOff>57150</xdr:rowOff>
              </from>
              <to>
                <xdr:col>24</xdr:col>
                <xdr:colOff>104775</xdr:colOff>
                <xdr:row>67</xdr:row>
                <xdr:rowOff>19050</xdr:rowOff>
              </to>
            </anchor>
          </objectPr>
        </oleObject>
      </mc:Choice>
      <mc:Fallback>
        <oleObject progId="Visio.Drawing.15" shapeId="819208" r:id="rId8"/>
      </mc:Fallback>
    </mc:AlternateContent>
    <mc:AlternateContent xmlns:mc="http://schemas.openxmlformats.org/markup-compatibility/2006">
      <mc:Choice Requires="x14">
        <oleObject progId="Visio.Drawing.15" shapeId="819209" r:id="rId10">
          <objectPr defaultSize="0" r:id="rId11">
            <anchor moveWithCells="1">
              <from>
                <xdr:col>0</xdr:col>
                <xdr:colOff>333375</xdr:colOff>
                <xdr:row>40</xdr:row>
                <xdr:rowOff>57150</xdr:rowOff>
              </from>
              <to>
                <xdr:col>12</xdr:col>
                <xdr:colOff>438150</xdr:colOff>
                <xdr:row>67</xdr:row>
                <xdr:rowOff>57150</xdr:rowOff>
              </to>
            </anchor>
          </objectPr>
        </oleObject>
      </mc:Choice>
      <mc:Fallback>
        <oleObject progId="Visio.Drawing.15" shapeId="819209" r:id="rId10"/>
      </mc:Fallback>
    </mc:AlternateContent>
    <mc:AlternateContent xmlns:mc="http://schemas.openxmlformats.org/markup-compatibility/2006">
      <mc:Choice Requires="x14">
        <oleObject progId="Visio.Drawing.15" shapeId="819210" r:id="rId12">
          <objectPr defaultSize="0" autoPict="0" r:id="rId13">
            <anchor moveWithCells="1">
              <from>
                <xdr:col>0</xdr:col>
                <xdr:colOff>342900</xdr:colOff>
                <xdr:row>69</xdr:row>
                <xdr:rowOff>114300</xdr:rowOff>
              </from>
              <to>
                <xdr:col>12</xdr:col>
                <xdr:colOff>381000</xdr:colOff>
                <xdr:row>96</xdr:row>
                <xdr:rowOff>57150</xdr:rowOff>
              </to>
            </anchor>
          </objectPr>
        </oleObject>
      </mc:Choice>
      <mc:Fallback>
        <oleObject progId="Visio.Drawing.15" shapeId="819210" r:id="rId12"/>
      </mc:Fallback>
    </mc:AlternateContent>
    <mc:AlternateContent xmlns:mc="http://schemas.openxmlformats.org/markup-compatibility/2006">
      <mc:Choice Requires="x14">
        <oleObject progId="Visio.Drawing.15" shapeId="819211" r:id="rId14">
          <objectPr defaultSize="0" autoPict="0" r:id="rId15">
            <anchor moveWithCells="1">
              <from>
                <xdr:col>0</xdr:col>
                <xdr:colOff>400050</xdr:colOff>
                <xdr:row>9</xdr:row>
                <xdr:rowOff>76200</xdr:rowOff>
              </from>
              <to>
                <xdr:col>12</xdr:col>
                <xdr:colOff>438150</xdr:colOff>
                <xdr:row>36</xdr:row>
                <xdr:rowOff>28575</xdr:rowOff>
              </to>
            </anchor>
          </objectPr>
        </oleObject>
      </mc:Choice>
      <mc:Fallback>
        <oleObject progId="Visio.Drawing.15" shapeId="819211" r:id="rId1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dimension ref="A1:AA452"/>
  <sheetViews>
    <sheetView zoomScale="115" zoomScaleNormal="115" workbookViewId="0">
      <pane ySplit="5" topLeftCell="A54" activePane="bottomLeft" state="frozenSplit"/>
      <selection pane="bottomLeft" activeCell="B68" sqref="B68"/>
    </sheetView>
  </sheetViews>
  <sheetFormatPr defaultRowHeight="12.75" x14ac:dyDescent="0.2"/>
  <cols>
    <col min="1" max="1" width="34.140625" customWidth="1"/>
    <col min="2" max="2" width="12" customWidth="1"/>
    <col min="3" max="3" width="12.140625" style="2" customWidth="1"/>
    <col min="4" max="4" width="16.7109375" customWidth="1"/>
    <col min="5" max="5" width="11.5703125" customWidth="1"/>
    <col min="6" max="6" width="12.42578125" bestFit="1" customWidth="1"/>
    <col min="7" max="7" width="17.42578125" customWidth="1"/>
    <col min="8" max="8" width="34.7109375" customWidth="1"/>
    <col min="9" max="9" width="11.7109375" customWidth="1"/>
    <col min="10" max="10" width="12.42578125" bestFit="1" customWidth="1"/>
    <col min="11" max="11" width="15.140625" customWidth="1"/>
    <col min="12" max="12" width="13.28515625" customWidth="1"/>
    <col min="14" max="14" width="8.7109375" customWidth="1"/>
    <col min="15" max="15" width="11.140625" customWidth="1"/>
    <col min="16" max="16" width="12.7109375" customWidth="1"/>
    <col min="23" max="23" width="13.28515625" customWidth="1"/>
    <col min="25" max="25" width="12.42578125" customWidth="1"/>
  </cols>
  <sheetData>
    <row r="1" spans="1:27" ht="30.75" customHeight="1" x14ac:dyDescent="0.4">
      <c r="A1" s="850" t="s">
        <v>380</v>
      </c>
      <c r="B1" s="850"/>
      <c r="C1" s="850"/>
      <c r="D1" s="850"/>
      <c r="E1" s="850"/>
      <c r="F1" s="850"/>
      <c r="G1" s="850"/>
      <c r="H1" s="850"/>
      <c r="I1" s="850"/>
    </row>
    <row r="2" spans="1:27" ht="12" customHeight="1" x14ac:dyDescent="0.2">
      <c r="A2" s="49"/>
      <c r="B2" s="49" t="s">
        <v>188</v>
      </c>
      <c r="C2" s="50"/>
      <c r="E2" s="49"/>
      <c r="F2" s="49"/>
      <c r="G2" s="49"/>
      <c r="H2" s="49"/>
      <c r="I2" s="49"/>
    </row>
    <row r="3" spans="1:27" ht="11.25" customHeight="1" x14ac:dyDescent="0.2">
      <c r="A3" s="49"/>
      <c r="B3" s="49" t="s">
        <v>220</v>
      </c>
      <c r="C3" s="51"/>
      <c r="E3" s="49"/>
      <c r="F3" s="49"/>
      <c r="G3" s="49"/>
      <c r="H3" s="49"/>
      <c r="I3" s="49"/>
    </row>
    <row r="4" spans="1:27" ht="11.25" customHeight="1" x14ac:dyDescent="0.2">
      <c r="A4" s="49"/>
      <c r="B4" s="49" t="s">
        <v>189</v>
      </c>
      <c r="C4" s="52"/>
      <c r="E4" s="49"/>
      <c r="F4" s="49"/>
      <c r="G4" s="49"/>
      <c r="H4" s="49"/>
      <c r="I4" s="49"/>
    </row>
    <row r="5" spans="1:27" x14ac:dyDescent="0.2">
      <c r="A5" s="2" t="s">
        <v>47</v>
      </c>
      <c r="B5" s="2" t="s">
        <v>7</v>
      </c>
      <c r="C5" s="2" t="s">
        <v>8</v>
      </c>
      <c r="E5" s="849" t="s">
        <v>12</v>
      </c>
      <c r="F5" s="849"/>
      <c r="G5" s="849"/>
      <c r="H5" s="849"/>
      <c r="I5" s="2" t="s">
        <v>401</v>
      </c>
    </row>
    <row r="6" spans="1:27" ht="16.5" thickBot="1" x14ac:dyDescent="0.3">
      <c r="A6" s="509" t="s">
        <v>147</v>
      </c>
      <c r="B6" s="2"/>
      <c r="D6" s="2"/>
      <c r="E6" s="49"/>
      <c r="F6" s="49"/>
      <c r="G6" s="49"/>
      <c r="H6" s="49"/>
      <c r="I6" s="2"/>
    </row>
    <row r="7" spans="1:27" x14ac:dyDescent="0.2">
      <c r="A7" s="208" t="s">
        <v>278</v>
      </c>
      <c r="B7" s="12">
        <f>'Design Regulator'!E6</f>
        <v>10</v>
      </c>
      <c r="C7" s="63" t="s">
        <v>0</v>
      </c>
      <c r="D7" s="116" t="s">
        <v>279</v>
      </c>
      <c r="E7" s="63"/>
      <c r="F7" s="63"/>
      <c r="G7" s="63"/>
      <c r="H7" s="63"/>
      <c r="I7" s="64">
        <v>1</v>
      </c>
    </row>
    <row r="8" spans="1:27" x14ac:dyDescent="0.2">
      <c r="A8" s="209" t="s">
        <v>594</v>
      </c>
      <c r="B8" s="29">
        <f>'Design Regulator'!E7</f>
        <v>12</v>
      </c>
      <c r="C8" t="s">
        <v>0</v>
      </c>
      <c r="D8" t="s">
        <v>13</v>
      </c>
      <c r="I8" s="57"/>
      <c r="K8" s="285" t="str">
        <f>CHOOSE(SCH_MODE, "Efficiency vs. IOUT (Ch1)", "Efficiency vs. IOUT - 2 Ph", "Efficiency vs. IOUT - 3 Ph", "Efficiency vs. IOUT - 4 Ph")</f>
        <v>Efficiency vs. IOUT (Ch1)</v>
      </c>
      <c r="L8" s="115">
        <v>1</v>
      </c>
      <c r="N8" s="285" t="s">
        <v>927</v>
      </c>
      <c r="O8" s="115">
        <v>1</v>
      </c>
      <c r="T8" s="285" t="s">
        <v>684</v>
      </c>
      <c r="U8" s="115">
        <v>1</v>
      </c>
      <c r="W8" s="285" t="s">
        <v>627</v>
      </c>
      <c r="X8" s="115">
        <v>1</v>
      </c>
      <c r="Z8" s="285" t="str">
        <f>CHOOSE(SCH_MODE, "Bode Plot (Ch1)", "Bode Plot - 2 Ph", "Bode Plot - 3 Ph", "Bode Plot - 4 Ph")</f>
        <v>Bode Plot (Ch1)</v>
      </c>
      <c r="AA8" s="115">
        <v>1</v>
      </c>
    </row>
    <row r="9" spans="1:27" x14ac:dyDescent="0.2">
      <c r="A9" s="209" t="s">
        <v>277</v>
      </c>
      <c r="B9" s="29">
        <f>'Design Regulator'!E8</f>
        <v>18</v>
      </c>
      <c r="C9" t="s">
        <v>0</v>
      </c>
      <c r="D9" s="113" t="s">
        <v>280</v>
      </c>
      <c r="I9" s="57"/>
      <c r="K9" s="285" t="str">
        <f>IF(MODE=1, "Efficiency vs. IOUT (Ch2)", "N/A - Do Not Use")</f>
        <v>Efficiency vs. IOUT (Ch2)</v>
      </c>
      <c r="L9" s="115">
        <v>2</v>
      </c>
      <c r="N9" s="285" t="s">
        <v>928</v>
      </c>
      <c r="O9" s="115">
        <v>2</v>
      </c>
      <c r="T9" s="285" t="s">
        <v>685</v>
      </c>
      <c r="U9" s="115">
        <v>2</v>
      </c>
      <c r="W9" s="285" t="s">
        <v>856</v>
      </c>
      <c r="X9" s="115">
        <v>2</v>
      </c>
      <c r="Z9" s="285" t="str">
        <f>IF(MODE=1, "AEF Gain", "N/A - Do Not Use")</f>
        <v>AEF Gain</v>
      </c>
      <c r="AA9" s="115">
        <v>2</v>
      </c>
    </row>
    <row r="10" spans="1:27" x14ac:dyDescent="0.2">
      <c r="A10" s="209"/>
      <c r="B10" s="4"/>
      <c r="C10"/>
      <c r="D10" s="113"/>
      <c r="I10" s="57"/>
      <c r="K10" s="519" t="s">
        <v>566</v>
      </c>
      <c r="L10" s="520">
        <v>1</v>
      </c>
      <c r="N10" s="519" t="s">
        <v>929</v>
      </c>
      <c r="O10" s="520">
        <v>1</v>
      </c>
      <c r="P10" s="113" t="s">
        <v>584</v>
      </c>
      <c r="T10" s="285" t="s">
        <v>686</v>
      </c>
      <c r="U10" s="115">
        <v>3</v>
      </c>
      <c r="W10" s="519" t="s">
        <v>857</v>
      </c>
      <c r="X10" s="520">
        <v>1</v>
      </c>
      <c r="Z10" s="519" t="s">
        <v>688</v>
      </c>
      <c r="AA10" s="520">
        <v>1</v>
      </c>
    </row>
    <row r="11" spans="1:27" x14ac:dyDescent="0.2">
      <c r="A11" s="56" t="s">
        <v>4</v>
      </c>
      <c r="B11" s="29">
        <f>'Design Regulator'!E9</f>
        <v>5</v>
      </c>
      <c r="C11" t="s">
        <v>0</v>
      </c>
      <c r="D11" s="113" t="s">
        <v>598</v>
      </c>
      <c r="I11" s="57"/>
      <c r="T11" s="285" t="s">
        <v>687</v>
      </c>
      <c r="U11" s="115">
        <v>4</v>
      </c>
      <c r="V11" s="113"/>
    </row>
    <row r="12" spans="1:27" x14ac:dyDescent="0.2">
      <c r="A12" s="56" t="s">
        <v>5</v>
      </c>
      <c r="B12" s="29">
        <f>'Design Regulator'!E10</f>
        <v>8</v>
      </c>
      <c r="C12" t="s">
        <v>1</v>
      </c>
      <c r="D12" s="113" t="s">
        <v>599</v>
      </c>
      <c r="I12" s="57">
        <v>1</v>
      </c>
      <c r="T12" s="519" t="s">
        <v>597</v>
      </c>
      <c r="U12" s="520">
        <v>1</v>
      </c>
      <c r="V12" s="113"/>
    </row>
    <row r="13" spans="1:27" x14ac:dyDescent="0.2">
      <c r="A13" s="209"/>
      <c r="C13"/>
      <c r="D13" s="113"/>
      <c r="I13" s="57">
        <v>1</v>
      </c>
      <c r="K13" s="285" t="s">
        <v>646</v>
      </c>
      <c r="L13" s="115">
        <v>1</v>
      </c>
      <c r="N13" s="285" t="s">
        <v>644</v>
      </c>
      <c r="O13" s="115">
        <v>1</v>
      </c>
      <c r="T13" s="561" t="s">
        <v>696</v>
      </c>
      <c r="U13" s="559">
        <f>IF(U12=1, 1, 2)</f>
        <v>1</v>
      </c>
      <c r="V13" s="113"/>
      <c r="W13" s="285" t="s">
        <v>704</v>
      </c>
      <c r="X13" s="115">
        <v>1</v>
      </c>
    </row>
    <row r="14" spans="1:27" x14ac:dyDescent="0.2">
      <c r="A14" s="209" t="s">
        <v>313</v>
      </c>
      <c r="B14" s="504">
        <f>Vout/Iout</f>
        <v>0.625</v>
      </c>
      <c r="C14" s="210" t="s">
        <v>116</v>
      </c>
      <c r="D14" s="113" t="s">
        <v>595</v>
      </c>
      <c r="I14" s="57"/>
      <c r="K14" s="285" t="s">
        <v>645</v>
      </c>
      <c r="L14" s="115">
        <v>2</v>
      </c>
      <c r="N14" s="285" t="s">
        <v>645</v>
      </c>
      <c r="O14" s="115">
        <v>2</v>
      </c>
      <c r="T14" s="287" t="s">
        <v>695</v>
      </c>
      <c r="U14" s="562">
        <f>IF(U12=1, 2, 1)</f>
        <v>2</v>
      </c>
      <c r="W14" s="285" t="s">
        <v>705</v>
      </c>
      <c r="X14" s="115">
        <v>2</v>
      </c>
    </row>
    <row r="15" spans="1:27" x14ac:dyDescent="0.2">
      <c r="A15" s="209"/>
      <c r="B15" s="504"/>
      <c r="C15" s="210"/>
      <c r="D15" s="113"/>
      <c r="I15" s="57"/>
      <c r="K15" s="285" t="s">
        <v>644</v>
      </c>
      <c r="L15" s="115">
        <v>3</v>
      </c>
      <c r="N15" s="285" t="s">
        <v>646</v>
      </c>
      <c r="O15" s="115">
        <v>3</v>
      </c>
      <c r="T15" s="287" t="s">
        <v>694</v>
      </c>
      <c r="U15" s="290">
        <f>SCH_MODE</f>
        <v>1</v>
      </c>
      <c r="W15" s="519" t="s">
        <v>706</v>
      </c>
      <c r="X15" s="520">
        <v>1</v>
      </c>
    </row>
    <row r="16" spans="1:27" x14ac:dyDescent="0.2">
      <c r="A16" s="209" t="s">
        <v>284</v>
      </c>
      <c r="B16" s="284">
        <f>Vout*Iout</f>
        <v>40</v>
      </c>
      <c r="C16" t="s">
        <v>116</v>
      </c>
      <c r="D16" s="113" t="s">
        <v>298</v>
      </c>
      <c r="I16" s="57"/>
      <c r="K16" s="285" t="s">
        <v>826</v>
      </c>
      <c r="L16" s="115">
        <v>4</v>
      </c>
      <c r="N16" s="519" t="s">
        <v>926</v>
      </c>
      <c r="O16" s="520">
        <f>IF(Vout2=3.3, 1, IF(Vout2=5, 2, 3))</f>
        <v>3</v>
      </c>
    </row>
    <row r="17" spans="1:27" x14ac:dyDescent="0.2">
      <c r="A17" s="209"/>
      <c r="C17"/>
      <c r="D17" s="113"/>
      <c r="I17" s="57"/>
      <c r="K17" s="519" t="s">
        <v>751</v>
      </c>
      <c r="L17" s="520">
        <f>IF(Vout=3.3, 3, IF(Vout=5, 2,  IF(Vout=12,4,1)))</f>
        <v>2</v>
      </c>
    </row>
    <row r="18" spans="1:27" x14ac:dyDescent="0.2">
      <c r="A18" s="209" t="s">
        <v>127</v>
      </c>
      <c r="B18" s="395">
        <v>0.9</v>
      </c>
      <c r="C18"/>
      <c r="D18" s="113" t="s">
        <v>414</v>
      </c>
      <c r="I18" s="57"/>
      <c r="Y18" s="2"/>
    </row>
    <row r="19" spans="1:27" x14ac:dyDescent="0.2">
      <c r="A19" s="209" t="s">
        <v>288</v>
      </c>
      <c r="B19" s="301">
        <f>Pout/Efficiency</f>
        <v>44.444444444444443</v>
      </c>
      <c r="C19" t="s">
        <v>116</v>
      </c>
      <c r="D19" s="113" t="s">
        <v>596</v>
      </c>
      <c r="I19" s="57"/>
      <c r="W19" s="285"/>
      <c r="Y19" s="2"/>
      <c r="Z19" s="44" t="s">
        <v>762</v>
      </c>
      <c r="AA19" s="115">
        <v>1</v>
      </c>
    </row>
    <row r="20" spans="1:27" x14ac:dyDescent="0.2">
      <c r="A20" s="209"/>
      <c r="D20" s="113"/>
      <c r="I20" s="57"/>
      <c r="W20" s="285"/>
      <c r="Z20" s="44" t="s">
        <v>761</v>
      </c>
      <c r="AA20" s="115">
        <v>2</v>
      </c>
    </row>
    <row r="21" spans="1:27" x14ac:dyDescent="0.2">
      <c r="A21" s="209" t="s">
        <v>285</v>
      </c>
      <c r="B21" s="296">
        <f>Pin/VIN_min</f>
        <v>4.4444444444444446</v>
      </c>
      <c r="C21" t="s">
        <v>1</v>
      </c>
      <c r="D21" s="113"/>
      <c r="I21" s="57"/>
      <c r="L21">
        <f>Vout</f>
        <v>5</v>
      </c>
      <c r="W21" s="519"/>
      <c r="X21" s="350"/>
      <c r="Z21" s="519" t="s">
        <v>763</v>
      </c>
      <c r="AA21" s="520">
        <v>2</v>
      </c>
    </row>
    <row r="22" spans="1:27" x14ac:dyDescent="0.2">
      <c r="A22" s="209" t="s">
        <v>286</v>
      </c>
      <c r="B22" s="296">
        <f>Pin/VIN_nom</f>
        <v>3.7037037037037037</v>
      </c>
      <c r="C22" t="s">
        <v>1</v>
      </c>
      <c r="D22" s="113" t="s">
        <v>299</v>
      </c>
      <c r="H22" t="b">
        <f>AND(OSC=1, OR(Fsw/1000&gt;2530, Fsw/1000&lt;1800))</f>
        <v>0</v>
      </c>
      <c r="I22" s="57"/>
    </row>
    <row r="23" spans="1:27" x14ac:dyDescent="0.2">
      <c r="A23" s="209" t="s">
        <v>287</v>
      </c>
      <c r="B23" s="296">
        <f>Pin/VIN_max</f>
        <v>2.4691358024691357</v>
      </c>
      <c r="C23" t="s">
        <v>1</v>
      </c>
      <c r="D23" s="113"/>
      <c r="H23" t="b">
        <f>AND(OSC=2, OR(Fsw/1000&gt;500, Fsw/1000&lt;300))</f>
        <v>0</v>
      </c>
      <c r="I23" s="57"/>
    </row>
    <row r="24" spans="1:27" x14ac:dyDescent="0.2">
      <c r="A24" s="209"/>
      <c r="C24"/>
      <c r="D24" s="113"/>
      <c r="H24" t="b">
        <f>OR(H22,H23)</f>
        <v>0</v>
      </c>
      <c r="I24" s="57"/>
    </row>
    <row r="25" spans="1:27" x14ac:dyDescent="0.2">
      <c r="A25" s="585" t="s">
        <v>749</v>
      </c>
      <c r="B25" s="299" t="e">
        <f>CHOOSE(OSC, 2200, 440)</f>
        <v>#VALUE!</v>
      </c>
      <c r="C25" s="113" t="s">
        <v>2</v>
      </c>
      <c r="I25" s="57"/>
      <c r="K25" s="285" t="s">
        <v>818</v>
      </c>
      <c r="L25" s="115">
        <v>1</v>
      </c>
      <c r="P25" s="285" t="s">
        <v>930</v>
      </c>
      <c r="Q25" s="290">
        <v>1</v>
      </c>
      <c r="W25" s="285" t="s">
        <v>781</v>
      </c>
      <c r="X25">
        <v>1</v>
      </c>
      <c r="Z25" s="285" t="s">
        <v>869</v>
      </c>
      <c r="AA25" s="115">
        <v>1</v>
      </c>
    </row>
    <row r="26" spans="1:27" x14ac:dyDescent="0.2">
      <c r="A26" s="58" t="s">
        <v>6</v>
      </c>
      <c r="B26" s="252">
        <f>'Design Regulator'!E11*1000</f>
        <v>2100000</v>
      </c>
      <c r="C26" s="113" t="s">
        <v>9</v>
      </c>
      <c r="D26" s="113" t="s">
        <v>603</v>
      </c>
      <c r="I26" s="57"/>
      <c r="K26" s="285" t="s">
        <v>820</v>
      </c>
      <c r="L26" s="115">
        <v>2</v>
      </c>
      <c r="P26" s="285" t="s">
        <v>931</v>
      </c>
      <c r="Q26" s="290">
        <v>2</v>
      </c>
      <c r="W26" s="285" t="s">
        <v>782</v>
      </c>
      <c r="X26">
        <v>2</v>
      </c>
      <c r="Z26" s="285" t="s">
        <v>870</v>
      </c>
      <c r="AA26" s="115">
        <v>2</v>
      </c>
    </row>
    <row r="27" spans="1:27" x14ac:dyDescent="0.2">
      <c r="A27" s="113" t="s">
        <v>831</v>
      </c>
      <c r="B27" s="48">
        <f>((1000000000/Fsw)-53)/45+0.1</f>
        <v>9.5042328042328048</v>
      </c>
      <c r="C27" s="45" t="s">
        <v>237</v>
      </c>
      <c r="D27" s="113"/>
      <c r="I27" s="57"/>
      <c r="K27" s="285" t="s">
        <v>821</v>
      </c>
      <c r="L27" s="115">
        <v>3</v>
      </c>
      <c r="O27" s="285"/>
      <c r="P27" s="285" t="s">
        <v>932</v>
      </c>
      <c r="Q27" s="290">
        <v>3</v>
      </c>
      <c r="W27" s="285" t="s">
        <v>783</v>
      </c>
      <c r="X27">
        <v>3</v>
      </c>
      <c r="Z27" s="519" t="s">
        <v>871</v>
      </c>
      <c r="AA27" s="115">
        <v>1</v>
      </c>
    </row>
    <row r="28" spans="1:27" x14ac:dyDescent="0.2">
      <c r="A28" s="113"/>
      <c r="B28" s="679"/>
      <c r="C28" s="45" t="s">
        <v>237</v>
      </c>
      <c r="D28" s="113"/>
      <c r="F28" s="113"/>
      <c r="I28" s="57">
        <v>1</v>
      </c>
      <c r="K28" s="285" t="s">
        <v>819</v>
      </c>
      <c r="L28" s="115">
        <v>4</v>
      </c>
      <c r="O28" s="285"/>
      <c r="P28" s="285" t="s">
        <v>933</v>
      </c>
      <c r="Q28" s="290">
        <v>4</v>
      </c>
      <c r="W28" s="519" t="s">
        <v>780</v>
      </c>
      <c r="X28">
        <v>1</v>
      </c>
    </row>
    <row r="29" spans="1:27" x14ac:dyDescent="0.2">
      <c r="A29" s="209" t="s">
        <v>720</v>
      </c>
      <c r="B29" s="512">
        <f>1/Fsw</f>
        <v>4.7619047619047617E-7</v>
      </c>
      <c r="C29" s="113" t="s">
        <v>530</v>
      </c>
      <c r="D29" s="113" t="s">
        <v>600</v>
      </c>
      <c r="I29" s="57"/>
      <c r="K29" s="285" t="s">
        <v>822</v>
      </c>
      <c r="L29" s="115">
        <v>5</v>
      </c>
      <c r="O29" s="520" t="s">
        <v>934</v>
      </c>
      <c r="P29" s="287" t="str">
        <f>CHOOSE(VARIANT, "LM5148", "LM5148-Q1", "LM25148", "LM25148-Q1")</f>
        <v>LM5148</v>
      </c>
      <c r="Q29" s="520">
        <v>1</v>
      </c>
    </row>
    <row r="30" spans="1:27" x14ac:dyDescent="0.2">
      <c r="A30" s="58" t="s">
        <v>41</v>
      </c>
      <c r="B30" s="59">
        <v>0.8</v>
      </c>
      <c r="C30" t="s">
        <v>0</v>
      </c>
      <c r="D30" s="113" t="s">
        <v>601</v>
      </c>
      <c r="I30" s="57"/>
      <c r="K30" s="285" t="s">
        <v>823</v>
      </c>
      <c r="L30" s="115">
        <v>6</v>
      </c>
      <c r="O30" s="520" t="s">
        <v>935</v>
      </c>
      <c r="P30" s="287">
        <f>CHOOSE(VARIANT, 80, 80, 42, 42)</f>
        <v>80</v>
      </c>
      <c r="Q30" t="s">
        <v>0</v>
      </c>
    </row>
    <row r="31" spans="1:27" ht="13.5" thickBot="1" x14ac:dyDescent="0.25">
      <c r="A31" s="626" t="s">
        <v>272</v>
      </c>
      <c r="B31" s="629">
        <f>'Standard Value Calculator'!S12/1000</f>
        <v>9.5299999999999994</v>
      </c>
      <c r="C31" s="45" t="s">
        <v>237</v>
      </c>
      <c r="D31" s="627" t="s">
        <v>602</v>
      </c>
      <c r="E31" s="371"/>
      <c r="F31" s="628">
        <f>IF(OR((Fsw=440000),(Fsw=2200000)),"N/A",Rfadj/1000)</f>
        <v>9.5299999999999985E-3</v>
      </c>
      <c r="G31" s="371"/>
      <c r="H31" s="371"/>
      <c r="I31" s="546"/>
      <c r="K31" s="285" t="s">
        <v>824</v>
      </c>
      <c r="L31" s="115">
        <v>7</v>
      </c>
      <c r="O31" s="113" t="s">
        <v>936</v>
      </c>
      <c r="P31" s="285">
        <f>CHOOSE(VARIANT, 60, 60, 36, 36)</f>
        <v>60</v>
      </c>
      <c r="Q31" s="113" t="s">
        <v>0</v>
      </c>
    </row>
    <row r="32" spans="1:27" x14ac:dyDescent="0.2">
      <c r="K32" s="285" t="s">
        <v>825</v>
      </c>
      <c r="L32" s="115">
        <v>8</v>
      </c>
      <c r="O32" s="285"/>
      <c r="P32" s="115"/>
    </row>
    <row r="33" spans="1:16" ht="16.5" thickBot="1" x14ac:dyDescent="0.3">
      <c r="A33" s="509" t="s">
        <v>648</v>
      </c>
      <c r="B33" s="2" t="s">
        <v>606</v>
      </c>
      <c r="D33" s="2"/>
      <c r="K33" s="519" t="s">
        <v>752</v>
      </c>
      <c r="L33" s="520">
        <f>(IF(OR(Vout=3.3,Vout=5,Vout=12),CHOOSE(COMP_TYPE,IF(INFILTER_TYPE=1,1,2),IF(INFILTER_TYPE=1,3,4)),CHOOSE(COMP_TYPE,IF(INFILTER_TYPE=1,5,6),IF(INFILTER_TYPE=1,7,8))))</f>
        <v>3</v>
      </c>
      <c r="O33" s="285"/>
      <c r="P33" s="115"/>
    </row>
    <row r="34" spans="1:16" x14ac:dyDescent="0.2">
      <c r="A34" s="208" t="s">
        <v>14</v>
      </c>
      <c r="B34" s="280">
        <f>Vout/VIN_nom</f>
        <v>0.41666666666666669</v>
      </c>
      <c r="C34" s="548"/>
      <c r="D34" s="283"/>
      <c r="E34" s="283"/>
      <c r="F34" s="116" t="s">
        <v>282</v>
      </c>
      <c r="G34" s="63"/>
      <c r="H34" s="63"/>
      <c r="I34" s="64"/>
      <c r="O34" s="285"/>
      <c r="P34" s="115"/>
    </row>
    <row r="35" spans="1:16" x14ac:dyDescent="0.2">
      <c r="A35" s="209" t="s">
        <v>15</v>
      </c>
      <c r="B35" s="281">
        <f>1-34:34</f>
        <v>0.58333333333333326</v>
      </c>
      <c r="C35"/>
      <c r="F35" s="113" t="s">
        <v>283</v>
      </c>
      <c r="I35" s="57"/>
      <c r="O35" s="285"/>
      <c r="P35" s="115"/>
    </row>
    <row r="36" spans="1:16" x14ac:dyDescent="0.2">
      <c r="A36" s="113"/>
      <c r="C36"/>
      <c r="E36" s="113"/>
      <c r="I36" s="57"/>
    </row>
    <row r="37" spans="1:16" x14ac:dyDescent="0.2">
      <c r="A37" s="209" t="s">
        <v>650</v>
      </c>
      <c r="B37" s="291">
        <f>Vout/VIN_min</f>
        <v>0.5</v>
      </c>
      <c r="C37"/>
      <c r="D37" s="540"/>
      <c r="E37" s="113"/>
      <c r="I37" s="57"/>
    </row>
    <row r="38" spans="1:16" x14ac:dyDescent="0.2">
      <c r="A38" s="209" t="s">
        <v>651</v>
      </c>
      <c r="B38" s="291">
        <f>Vout/VIN_nom</f>
        <v>0.41666666666666669</v>
      </c>
      <c r="C38"/>
      <c r="D38" s="540"/>
      <c r="I38" s="57"/>
    </row>
    <row r="39" spans="1:16" x14ac:dyDescent="0.2">
      <c r="A39" s="209" t="s">
        <v>652</v>
      </c>
      <c r="B39" s="291">
        <f>Vout/VIN_max</f>
        <v>0.27777777777777779</v>
      </c>
      <c r="C39"/>
      <c r="D39" s="540"/>
      <c r="E39" s="113"/>
      <c r="I39" s="57"/>
    </row>
    <row r="40" spans="1:16" x14ac:dyDescent="0.2">
      <c r="A40" s="113"/>
      <c r="B40" s="540"/>
      <c r="C40" s="113"/>
      <c r="E40" s="113"/>
      <c r="I40" s="57"/>
    </row>
    <row r="41" spans="1:16" x14ac:dyDescent="0.2">
      <c r="A41" s="113" t="s">
        <v>292</v>
      </c>
      <c r="B41" s="282">
        <f>(VIN_nom-Vout)*D1_Vinnom/(Fsw*(Iout/Number_of_Phases)*0.3)</f>
        <v>5.787037037037038E-7</v>
      </c>
      <c r="C41" t="s">
        <v>19</v>
      </c>
      <c r="D41" s="46"/>
      <c r="F41" s="113" t="s">
        <v>607</v>
      </c>
      <c r="I41" s="57"/>
    </row>
    <row r="42" spans="1:16" x14ac:dyDescent="0.2">
      <c r="A42" s="113" t="s">
        <v>604</v>
      </c>
      <c r="B42" s="282">
        <f>1000*Vout*Rs/22.72/Fsw</f>
        <v>4.8205902079141518E-7</v>
      </c>
      <c r="C42" t="s">
        <v>19</v>
      </c>
      <c r="D42" s="46"/>
      <c r="F42" s="113" t="s">
        <v>649</v>
      </c>
      <c r="I42" s="57"/>
    </row>
    <row r="43" spans="1:16" x14ac:dyDescent="0.2">
      <c r="A43" s="113"/>
      <c r="C43" s="113"/>
      <c r="E43" s="113"/>
      <c r="I43" s="57"/>
    </row>
    <row r="44" spans="1:16" x14ac:dyDescent="0.2">
      <c r="A44" s="209" t="s">
        <v>293</v>
      </c>
      <c r="B44" s="282">
        <f>B42</f>
        <v>4.8205902079141518E-7</v>
      </c>
      <c r="C44" t="s">
        <v>19</v>
      </c>
      <c r="D44" s="30"/>
      <c r="E44" s="113"/>
      <c r="F44" s="113" t="s">
        <v>889</v>
      </c>
      <c r="I44" s="57"/>
    </row>
    <row r="45" spans="1:16" x14ac:dyDescent="0.2">
      <c r="A45" s="209"/>
      <c r="C45"/>
      <c r="E45" s="113"/>
      <c r="I45" s="57"/>
    </row>
    <row r="46" spans="1:16" x14ac:dyDescent="0.2">
      <c r="A46" s="209" t="s">
        <v>624</v>
      </c>
      <c r="B46" s="72">
        <f>'Design Regulator'!E27/1000000</f>
        <v>2.2000000000000001E-6</v>
      </c>
      <c r="C46" t="s">
        <v>19</v>
      </c>
      <c r="D46" s="30"/>
      <c r="F46" s="113" t="s">
        <v>531</v>
      </c>
      <c r="I46" s="57"/>
    </row>
    <row r="47" spans="1:16" x14ac:dyDescent="0.2">
      <c r="A47" s="209" t="s">
        <v>11</v>
      </c>
      <c r="B47" s="29">
        <f>'Design Regulator'!E28/1000</f>
        <v>3.5000000000000001E-3</v>
      </c>
      <c r="C47" s="210" t="s">
        <v>116</v>
      </c>
      <c r="E47" s="210"/>
      <c r="F47" s="113" t="s">
        <v>532</v>
      </c>
      <c r="I47" s="57"/>
    </row>
    <row r="48" spans="1:16" x14ac:dyDescent="0.2">
      <c r="A48" s="209"/>
      <c r="B48" s="113"/>
      <c r="C48" s="113"/>
      <c r="D48" s="113"/>
      <c r="E48" s="113"/>
      <c r="I48" s="57"/>
    </row>
    <row r="49" spans="1:9" x14ac:dyDescent="0.2">
      <c r="A49" s="209" t="s">
        <v>16</v>
      </c>
      <c r="B49" s="291">
        <f>(Vout+Iout*(Rdcr+Rs))/(Vin+Iout*Rs)</f>
        <v>0.42077628605609468</v>
      </c>
      <c r="C49"/>
      <c r="I49" s="57"/>
    </row>
    <row r="50" spans="1:9" x14ac:dyDescent="0.2">
      <c r="A50" s="209" t="s">
        <v>17</v>
      </c>
      <c r="B50" s="291">
        <f>1-_Don2</f>
        <v>0.57922371394390537</v>
      </c>
      <c r="C50"/>
      <c r="I50" s="57"/>
    </row>
    <row r="51" spans="1:9" x14ac:dyDescent="0.2">
      <c r="A51" s="209"/>
      <c r="C51"/>
      <c r="I51" s="57"/>
    </row>
    <row r="52" spans="1:9" x14ac:dyDescent="0.2">
      <c r="A52" s="209" t="s">
        <v>653</v>
      </c>
      <c r="B52" s="291">
        <f>CHOOSE(MODE, (Vout+Iout*(Rdcr+Rs))/(VIN_min+Iout*Rs), (Vout+Iout/Number_of_Phases*(Rdcr+Rs))/(VIN_min+Iout/Number_of_Phases*Rs))</f>
        <v>0.5046229874063447</v>
      </c>
      <c r="C52"/>
      <c r="D52" s="540"/>
      <c r="F52" s="113" t="s">
        <v>608</v>
      </c>
      <c r="I52" s="57"/>
    </row>
    <row r="53" spans="1:9" ht="15.75" x14ac:dyDescent="0.3">
      <c r="A53" s="209" t="s">
        <v>654</v>
      </c>
      <c r="B53" s="291">
        <f>CHOOSE(MODE, (Vout+Iout*(Rdcr+Rs))/(VIN_nom+Iout*Rs), (Vout+Iout/Number_of_Phases*(Rdcr+Rs))/(VIN_nom+Iout/Number_of_Phases*Rs))</f>
        <v>0.42077628605609468</v>
      </c>
      <c r="C53"/>
      <c r="D53" s="540"/>
      <c r="F53" s="366" t="s">
        <v>415</v>
      </c>
      <c r="I53" s="57"/>
    </row>
    <row r="54" spans="1:9" x14ac:dyDescent="0.2">
      <c r="A54" s="209" t="s">
        <v>655</v>
      </c>
      <c r="B54" s="291">
        <f>CHOOSE(MODE, (Vout+Iout*(Rdcr+Rs))/(VIN_max+Iout*Rs), (Vout+Iout/Number_of_Phases*(Rdcr+Rs))/(VIN_max+Iout/Number_of_Phases*Rs))</f>
        <v>0.28080369023330082</v>
      </c>
      <c r="C54"/>
      <c r="D54" s="540"/>
      <c r="I54" s="57"/>
    </row>
    <row r="55" spans="1:9" x14ac:dyDescent="0.2">
      <c r="A55" s="209"/>
      <c r="C55"/>
      <c r="I55" s="57"/>
    </row>
    <row r="56" spans="1:9" x14ac:dyDescent="0.2">
      <c r="A56" s="209" t="s">
        <v>289</v>
      </c>
      <c r="B56" s="505">
        <f>(VIN_min-Vout)*D1_Vinmin_2/(Fsw*Lf)</f>
        <v>0.54612877424929074</v>
      </c>
      <c r="C56" s="113" t="s">
        <v>1</v>
      </c>
      <c r="D56" s="547"/>
      <c r="E56" s="113"/>
      <c r="G56" s="30"/>
      <c r="I56" s="57"/>
    </row>
    <row r="57" spans="1:9" x14ac:dyDescent="0.2">
      <c r="A57" s="209" t="s">
        <v>290</v>
      </c>
      <c r="B57" s="505">
        <f>(VIN_nom-Vout)*D1_Vinnom_2/(Fsw*Lf)</f>
        <v>0.63753982735771919</v>
      </c>
      <c r="C57" s="113" t="s">
        <v>1</v>
      </c>
      <c r="D57" s="547"/>
      <c r="E57" s="113"/>
      <c r="I57" s="57"/>
    </row>
    <row r="58" spans="1:9" x14ac:dyDescent="0.2">
      <c r="A58" s="209" t="s">
        <v>291</v>
      </c>
      <c r="B58" s="505">
        <f>(VIN_max-Vout)*D1_Vinmax_2/(Fsw*Lf)</f>
        <v>0.7901402539032274</v>
      </c>
      <c r="C58" s="113" t="s">
        <v>1</v>
      </c>
      <c r="D58" s="547"/>
      <c r="E58" s="113"/>
      <c r="I58" s="57"/>
    </row>
    <row r="59" spans="1:9" x14ac:dyDescent="0.2">
      <c r="A59" s="209"/>
      <c r="B59" s="547"/>
      <c r="D59" s="466"/>
      <c r="E59" s="113"/>
      <c r="I59" s="57"/>
    </row>
    <row r="60" spans="1:9" x14ac:dyDescent="0.2">
      <c r="A60" s="209" t="s">
        <v>547</v>
      </c>
      <c r="B60" s="549">
        <f>SQRT((Iout/Number_of_Phases)^2+(Iripple_Vinmin^2)/12)</f>
        <v>8.0015532691995865</v>
      </c>
      <c r="C60" s="113" t="s">
        <v>1</v>
      </c>
      <c r="D60" s="4"/>
      <c r="E60" s="113"/>
      <c r="F60" s="348"/>
      <c r="I60" s="57"/>
    </row>
    <row r="61" spans="1:9" x14ac:dyDescent="0.2">
      <c r="A61" s="209" t="s">
        <v>548</v>
      </c>
      <c r="B61" s="549">
        <f>SQRT((Iout/Number_of_Phases)^2+(Iripple_Vinnom^2)/12)</f>
        <v>8.0021166836836954</v>
      </c>
      <c r="C61" s="113" t="s">
        <v>1</v>
      </c>
      <c r="D61" s="4"/>
      <c r="E61" s="113"/>
      <c r="F61" s="348"/>
      <c r="I61" s="57"/>
    </row>
    <row r="62" spans="1:9" x14ac:dyDescent="0.2">
      <c r="A62" s="209" t="s">
        <v>549</v>
      </c>
      <c r="B62" s="549">
        <f>SQRT((Iout/Number_of_Phases)^2+(Iripple_Vinmax^2)/12)</f>
        <v>8.0032510145400604</v>
      </c>
      <c r="C62" s="113" t="s">
        <v>1</v>
      </c>
      <c r="D62" s="4"/>
      <c r="E62" s="113"/>
      <c r="F62" s="348"/>
      <c r="I62" s="57"/>
    </row>
    <row r="63" spans="1:9" x14ac:dyDescent="0.2">
      <c r="A63" s="209" t="s">
        <v>550</v>
      </c>
      <c r="B63" s="550">
        <f>B61^2*Rs</f>
        <v>0.29455580852872915</v>
      </c>
      <c r="C63" s="113" t="s">
        <v>116</v>
      </c>
      <c r="D63" s="382"/>
      <c r="E63" s="113"/>
      <c r="F63" s="382" t="s">
        <v>625</v>
      </c>
      <c r="I63" s="57"/>
    </row>
    <row r="64" spans="1:9" x14ac:dyDescent="0.2">
      <c r="A64" s="209"/>
      <c r="B64" s="113"/>
      <c r="C64" s="113"/>
      <c r="D64" s="113"/>
      <c r="I64" s="57"/>
    </row>
    <row r="65" spans="1:16" x14ac:dyDescent="0.2">
      <c r="A65" s="209" t="s">
        <v>297</v>
      </c>
      <c r="B65" s="292">
        <f>MAX(B56:B58)</f>
        <v>0.7901402539032274</v>
      </c>
      <c r="C65" s="382" t="s">
        <v>1</v>
      </c>
      <c r="D65" s="466"/>
      <c r="E65" s="113"/>
      <c r="F65" s="113" t="s">
        <v>626</v>
      </c>
      <c r="I65" s="57"/>
    </row>
    <row r="66" spans="1:16" x14ac:dyDescent="0.2">
      <c r="A66" s="209"/>
      <c r="B66" s="113"/>
      <c r="C66" s="113"/>
      <c r="D66" s="113"/>
      <c r="F66" s="113"/>
      <c r="G66" s="285"/>
      <c r="I66" s="57"/>
    </row>
    <row r="67" spans="1:16" x14ac:dyDescent="0.2">
      <c r="B67" s="396">
        <f>B56/(Iout/Number_of_Phases)</f>
        <v>6.8266096781161342E-2</v>
      </c>
      <c r="C67" s="551"/>
      <c r="D67" s="551"/>
      <c r="F67" s="4"/>
      <c r="G67" s="397"/>
      <c r="I67" s="57"/>
    </row>
    <row r="68" spans="1:16" x14ac:dyDescent="0.2">
      <c r="A68" s="209" t="s">
        <v>680</v>
      </c>
      <c r="B68" s="396">
        <f>B57/(Iout/Number_of_Phases)</f>
        <v>7.9692478419714899E-2</v>
      </c>
      <c r="C68"/>
      <c r="D68" s="551"/>
      <c r="F68" s="4"/>
      <c r="G68" s="397"/>
      <c r="I68" s="57"/>
    </row>
    <row r="69" spans="1:16" x14ac:dyDescent="0.2">
      <c r="A69" s="209"/>
      <c r="B69" s="396">
        <f>B58/(Iout/Number_of_Phases)</f>
        <v>9.8767531737903425E-2</v>
      </c>
      <c r="C69"/>
      <c r="D69" s="551"/>
      <c r="F69" s="4"/>
      <c r="G69" s="397"/>
      <c r="I69" s="57"/>
    </row>
    <row r="70" spans="1:16" x14ac:dyDescent="0.2">
      <c r="A70" s="209"/>
      <c r="C70"/>
      <c r="I70" s="57"/>
    </row>
    <row r="71" spans="1:16" x14ac:dyDescent="0.2">
      <c r="A71" s="113" t="s">
        <v>605</v>
      </c>
      <c r="B71" s="395">
        <v>100</v>
      </c>
      <c r="C71" s="113" t="s">
        <v>449</v>
      </c>
      <c r="D71" s="113"/>
      <c r="E71" s="113"/>
      <c r="I71" s="57"/>
    </row>
    <row r="72" spans="1:16" x14ac:dyDescent="0.2">
      <c r="A72" s="209" t="s">
        <v>213</v>
      </c>
      <c r="B72" s="377">
        <f>Rdcr*(1+0.0039*(B71-25))</f>
        <v>4.52375E-3</v>
      </c>
      <c r="C72" s="210" t="s">
        <v>116</v>
      </c>
      <c r="D72" s="300"/>
      <c r="E72" s="210"/>
      <c r="I72" s="57"/>
    </row>
    <row r="73" spans="1:16" ht="13.5" thickBot="1" x14ac:dyDescent="0.25">
      <c r="A73" s="303" t="s">
        <v>937</v>
      </c>
      <c r="B73" s="289">
        <f>'Design Regulator'!E30</f>
        <v>0.2</v>
      </c>
      <c r="C73" s="117" t="s">
        <v>116</v>
      </c>
      <c r="D73" s="61"/>
      <c r="E73" s="61"/>
      <c r="F73" s="61"/>
      <c r="G73" s="61"/>
      <c r="H73" s="61"/>
      <c r="I73" s="62"/>
    </row>
    <row r="74" spans="1:16" x14ac:dyDescent="0.2">
      <c r="A74" s="2"/>
      <c r="B74" s="1"/>
      <c r="C74" s="1"/>
    </row>
    <row r="75" spans="1:16" ht="16.5" thickBot="1" x14ac:dyDescent="0.3">
      <c r="A75" s="509" t="s">
        <v>377</v>
      </c>
      <c r="B75" s="1"/>
      <c r="C75" s="1"/>
    </row>
    <row r="76" spans="1:16" x14ac:dyDescent="0.2">
      <c r="A76" s="90"/>
      <c r="B76" s="63"/>
      <c r="C76" s="63"/>
      <c r="D76" s="63"/>
      <c r="E76" s="63"/>
      <c r="F76" s="63"/>
      <c r="G76" s="63"/>
      <c r="H76" s="63"/>
      <c r="I76" s="64"/>
    </row>
    <row r="77" spans="1:16" x14ac:dyDescent="0.2">
      <c r="A77" s="209" t="s">
        <v>296</v>
      </c>
      <c r="B77" s="29">
        <f>'Design Regulator'!E16</f>
        <v>7</v>
      </c>
      <c r="C77" t="s">
        <v>1</v>
      </c>
      <c r="E77" s="113"/>
      <c r="F77" s="113" t="s">
        <v>500</v>
      </c>
      <c r="I77" s="57"/>
      <c r="K77" s="113"/>
      <c r="N77" s="113"/>
    </row>
    <row r="78" spans="1:16" x14ac:dyDescent="0.2">
      <c r="A78" s="209"/>
      <c r="C78"/>
      <c r="I78" s="57"/>
      <c r="K78" s="113"/>
      <c r="L78" s="113"/>
    </row>
    <row r="79" spans="1:16" x14ac:dyDescent="0.2">
      <c r="A79" s="209" t="s">
        <v>301</v>
      </c>
      <c r="B79" s="296">
        <f>CHOOSE(MODE, Ilimit_DC+Iripple_Vinmin/2, Ilimit_DC/Number_of_Phases+Iripple_Vinmin/2)</f>
        <v>7.273064387124645</v>
      </c>
      <c r="C79" t="s">
        <v>1</v>
      </c>
      <c r="D79" s="4"/>
      <c r="E79" s="113"/>
      <c r="F79" s="113" t="s">
        <v>610</v>
      </c>
      <c r="I79" s="57"/>
      <c r="K79" s="4"/>
      <c r="L79" s="4"/>
      <c r="N79" s="300"/>
      <c r="P79" s="300"/>
    </row>
    <row r="80" spans="1:16" x14ac:dyDescent="0.2">
      <c r="A80" s="209" t="s">
        <v>303</v>
      </c>
      <c r="B80" s="296">
        <f>CHOOSE(MODE, Ilimit_DC+Iripple_Vinnom/2, Ilimit_DC/Number_of_Phases+Iripple_Vinnom/2)</f>
        <v>7.3187699136788593</v>
      </c>
      <c r="C80" t="s">
        <v>1</v>
      </c>
      <c r="D80" s="4"/>
      <c r="E80" s="113"/>
      <c r="I80" s="57"/>
      <c r="K80" s="4"/>
      <c r="L80" s="4"/>
      <c r="N80" s="300"/>
      <c r="P80" s="300"/>
    </row>
    <row r="81" spans="1:16" x14ac:dyDescent="0.2">
      <c r="A81" s="209" t="s">
        <v>302</v>
      </c>
      <c r="B81" s="296">
        <f>CHOOSE(MODE, Ilimit_DC+Iripple_Vinmax/2, Ilimit_DC/Number_of_Phases+Iripple_Vinmax/2)</f>
        <v>7.3950701269516141</v>
      </c>
      <c r="C81" t="s">
        <v>1</v>
      </c>
      <c r="D81" s="4"/>
      <c r="E81" s="113"/>
      <c r="I81" s="57"/>
      <c r="K81" s="4"/>
      <c r="L81" s="4"/>
      <c r="N81" s="300"/>
      <c r="P81" s="300"/>
    </row>
    <row r="82" spans="1:16" x14ac:dyDescent="0.2">
      <c r="A82" s="209"/>
      <c r="B82" s="4"/>
      <c r="C82" s="113"/>
      <c r="D82" s="113"/>
      <c r="I82" s="57"/>
    </row>
    <row r="83" spans="1:16" x14ac:dyDescent="0.2">
      <c r="I83" s="57"/>
    </row>
    <row r="84" spans="1:16" x14ac:dyDescent="0.2">
      <c r="A84" s="209" t="s">
        <v>612</v>
      </c>
      <c r="B84" s="467">
        <v>5.1999999999999998E-2</v>
      </c>
      <c r="C84" s="113" t="s">
        <v>0</v>
      </c>
      <c r="E84" s="113"/>
      <c r="I84" s="57"/>
    </row>
    <row r="85" spans="1:16" x14ac:dyDescent="0.2">
      <c r="A85" s="209" t="s">
        <v>611</v>
      </c>
      <c r="B85" s="467">
        <v>0.06</v>
      </c>
      <c r="C85" s="113" t="s">
        <v>0</v>
      </c>
      <c r="E85" s="113"/>
      <c r="F85" s="2"/>
      <c r="I85" s="57"/>
    </row>
    <row r="86" spans="1:16" x14ac:dyDescent="0.2">
      <c r="A86" s="209" t="s">
        <v>613</v>
      </c>
      <c r="B86" s="467">
        <v>6.8000000000000005E-2</v>
      </c>
      <c r="C86" s="113" t="s">
        <v>0</v>
      </c>
      <c r="E86" s="113"/>
      <c r="I86" s="57"/>
    </row>
    <row r="87" spans="1:16" x14ac:dyDescent="0.2">
      <c r="A87" s="209"/>
      <c r="B87" s="348"/>
      <c r="C87" s="113"/>
      <c r="E87" s="113"/>
      <c r="I87" s="57"/>
    </row>
    <row r="88" spans="1:16" x14ac:dyDescent="0.2">
      <c r="A88" s="209" t="s">
        <v>533</v>
      </c>
      <c r="B88" s="297">
        <f>Buck_CS_threshold/B79</f>
        <v>8.2496176035807903E-3</v>
      </c>
      <c r="C88" s="210" t="s">
        <v>116</v>
      </c>
      <c r="D88" s="300"/>
      <c r="E88" s="210"/>
      <c r="I88" s="57"/>
    </row>
    <row r="89" spans="1:16" x14ac:dyDescent="0.2">
      <c r="A89" s="209" t="s">
        <v>534</v>
      </c>
      <c r="B89" s="297">
        <f>Buck_CS_threshold/B80</f>
        <v>8.1980989575665374E-3</v>
      </c>
      <c r="C89" s="210" t="s">
        <v>116</v>
      </c>
      <c r="D89" s="300"/>
      <c r="E89" s="210"/>
      <c r="I89" s="57"/>
    </row>
    <row r="90" spans="1:16" x14ac:dyDescent="0.2">
      <c r="A90" s="209" t="s">
        <v>535</v>
      </c>
      <c r="B90" s="297">
        <f>Buck_CS_threshold/B81</f>
        <v>8.1135133230620382E-3</v>
      </c>
      <c r="C90" s="210" t="s">
        <v>116</v>
      </c>
      <c r="D90" s="300"/>
      <c r="E90" s="210"/>
      <c r="I90" s="57"/>
    </row>
    <row r="91" spans="1:16" x14ac:dyDescent="0.2">
      <c r="A91" s="209"/>
      <c r="B91" s="30"/>
      <c r="C91" s="210"/>
      <c r="E91" s="210"/>
      <c r="I91" s="57"/>
    </row>
    <row r="92" spans="1:16" x14ac:dyDescent="0.2">
      <c r="A92" s="209" t="s">
        <v>300</v>
      </c>
      <c r="B92" s="298">
        <f>B89</f>
        <v>8.1980989575665374E-3</v>
      </c>
      <c r="C92" s="210" t="s">
        <v>116</v>
      </c>
      <c r="D92" s="300"/>
      <c r="E92" s="210"/>
      <c r="F92" s="113" t="s">
        <v>614</v>
      </c>
      <c r="I92" s="57"/>
    </row>
    <row r="93" spans="1:16" x14ac:dyDescent="0.2">
      <c r="A93" s="209" t="s">
        <v>164</v>
      </c>
      <c r="B93" s="503">
        <f>'Design Regulator'!E18/1000</f>
        <v>4.5999999999999999E-3</v>
      </c>
      <c r="C93" s="210" t="s">
        <v>116</v>
      </c>
      <c r="D93" s="348"/>
      <c r="E93" s="210"/>
      <c r="F93" s="113" t="s">
        <v>304</v>
      </c>
      <c r="I93" s="57"/>
      <c r="K93" s="113"/>
      <c r="L93" s="113"/>
    </row>
    <row r="94" spans="1:16" x14ac:dyDescent="0.2">
      <c r="A94" s="209"/>
      <c r="B94" s="398"/>
      <c r="C94" s="210"/>
      <c r="E94" s="210"/>
      <c r="I94" s="57"/>
      <c r="K94" s="113"/>
      <c r="L94" s="113"/>
    </row>
    <row r="95" spans="1:16" x14ac:dyDescent="0.2">
      <c r="A95" s="209" t="s">
        <v>615</v>
      </c>
      <c r="B95" s="296">
        <f>Buck_CS_threshold/Rs</f>
        <v>13.043478260869565</v>
      </c>
      <c r="C95" s="113" t="s">
        <v>1</v>
      </c>
      <c r="D95" s="4"/>
      <c r="E95" s="113"/>
      <c r="F95" s="113" t="s">
        <v>616</v>
      </c>
      <c r="I95" s="57"/>
    </row>
    <row r="96" spans="1:16" x14ac:dyDescent="0.2">
      <c r="A96" s="209"/>
      <c r="E96" s="2"/>
      <c r="I96" s="57"/>
    </row>
    <row r="97" spans="1:12" ht="15.75" x14ac:dyDescent="0.3">
      <c r="A97" s="209" t="s">
        <v>416</v>
      </c>
      <c r="B97" s="301">
        <f>Number_of_Phases*(Buck_CS_threshold/Rs-Iripple_Vinmin/2)</f>
        <v>12.77041387374492</v>
      </c>
      <c r="C97" t="s">
        <v>1</v>
      </c>
      <c r="D97" s="48"/>
      <c r="F97" s="113" t="s">
        <v>418</v>
      </c>
      <c r="I97" s="57"/>
    </row>
    <row r="98" spans="1:12" x14ac:dyDescent="0.2">
      <c r="A98" s="209" t="s">
        <v>446</v>
      </c>
      <c r="B98" s="301">
        <f>Number_of_Phases*(Buck_CS_threshold/Rs-Iripple_Vinnom/2)</f>
        <v>12.724708347190704</v>
      </c>
      <c r="C98" t="s">
        <v>1</v>
      </c>
      <c r="D98" s="48"/>
      <c r="I98" s="57"/>
    </row>
    <row r="99" spans="1:12" x14ac:dyDescent="0.2">
      <c r="A99" s="209" t="s">
        <v>417</v>
      </c>
      <c r="B99" s="301">
        <f>Number_of_Phases*(Buck_CS_threshold/Rs-Iripple_Vinmax/2)</f>
        <v>12.64840813391795</v>
      </c>
      <c r="C99" t="s">
        <v>1</v>
      </c>
      <c r="D99" s="48"/>
      <c r="I99" s="57"/>
    </row>
    <row r="100" spans="1:12" x14ac:dyDescent="0.2">
      <c r="A100" s="209"/>
      <c r="B100" s="48"/>
      <c r="C100"/>
      <c r="D100" s="48"/>
      <c r="I100" s="57"/>
    </row>
    <row r="101" spans="1:12" x14ac:dyDescent="0.2">
      <c r="A101" s="209" t="s">
        <v>620</v>
      </c>
      <c r="B101" s="504">
        <f>SQRT((Iout_OCP_Vinmin/Number_of_Phases)^2+(Iripple_Vinmin^2)/12)</f>
        <v>12.771386973487855</v>
      </c>
      <c r="C101" t="s">
        <v>1</v>
      </c>
      <c r="D101" s="348"/>
      <c r="I101" s="57"/>
    </row>
    <row r="102" spans="1:12" x14ac:dyDescent="0.2">
      <c r="A102" s="209" t="s">
        <v>621</v>
      </c>
      <c r="B102" s="504">
        <f>SQRT((Iout_OCP_Vinnom/Number_of_Phases)^2+(Iripple_Vinnom^2)/12)</f>
        <v>12.726039208660081</v>
      </c>
      <c r="C102" t="s">
        <v>1</v>
      </c>
      <c r="D102" s="348"/>
      <c r="I102" s="57"/>
    </row>
    <row r="103" spans="1:12" x14ac:dyDescent="0.2">
      <c r="A103" s="209" t="s">
        <v>622</v>
      </c>
      <c r="B103" s="504">
        <f>SQRT((Iout_OCP_Vinmax/Number_of_Phases)^2+(Iripple_Vinmax^2)/12)</f>
        <v>12.650464620870583</v>
      </c>
      <c r="C103" t="s">
        <v>1</v>
      </c>
      <c r="D103" s="348"/>
      <c r="I103" s="57"/>
    </row>
    <row r="104" spans="1:12" x14ac:dyDescent="0.2">
      <c r="A104" s="209"/>
      <c r="B104" s="48"/>
      <c r="C104"/>
      <c r="D104" s="48"/>
      <c r="I104" s="57"/>
    </row>
    <row r="105" spans="1:12" x14ac:dyDescent="0.2">
      <c r="A105" s="209" t="s">
        <v>617</v>
      </c>
      <c r="B105" s="504">
        <f>B101^2*Rs</f>
        <v>0.75029829604224629</v>
      </c>
      <c r="C105" s="113" t="s">
        <v>116</v>
      </c>
      <c r="D105" s="348"/>
      <c r="E105" s="113"/>
      <c r="F105" s="113" t="s">
        <v>623</v>
      </c>
      <c r="I105" s="57"/>
    </row>
    <row r="106" spans="1:12" x14ac:dyDescent="0.2">
      <c r="A106" s="209" t="s">
        <v>618</v>
      </c>
      <c r="B106" s="504">
        <f>B102^2*Rs</f>
        <v>0.74497954012562695</v>
      </c>
      <c r="C106" t="s">
        <v>116</v>
      </c>
      <c r="D106" s="348"/>
      <c r="I106" s="57"/>
    </row>
    <row r="107" spans="1:12" x14ac:dyDescent="0.2">
      <c r="A107" s="209" t="s">
        <v>619</v>
      </c>
      <c r="B107" s="504">
        <f>B103^2*Rs</f>
        <v>0.73615757356993217</v>
      </c>
      <c r="C107" t="s">
        <v>116</v>
      </c>
      <c r="D107" s="348"/>
      <c r="I107" s="57"/>
    </row>
    <row r="108" spans="1:12" ht="13.5" thickBot="1" x14ac:dyDescent="0.25">
      <c r="A108" s="60"/>
      <c r="B108" s="61"/>
      <c r="C108" s="61"/>
      <c r="D108" s="61"/>
      <c r="E108" s="117"/>
      <c r="F108" s="61"/>
      <c r="G108" s="61"/>
      <c r="H108" s="61"/>
      <c r="I108" s="62"/>
    </row>
    <row r="110" spans="1:12" ht="16.5" thickBot="1" x14ac:dyDescent="0.3">
      <c r="A110" s="518" t="s">
        <v>139</v>
      </c>
      <c r="D110" s="2"/>
    </row>
    <row r="111" spans="1:12" x14ac:dyDescent="0.2">
      <c r="A111" s="208" t="s">
        <v>307</v>
      </c>
      <c r="B111" s="553">
        <f>Iripple_Vinmin/SQRT(12)</f>
        <v>0.1576537974125142</v>
      </c>
      <c r="C111" s="302" t="s">
        <v>1</v>
      </c>
      <c r="D111" s="618"/>
      <c r="E111" s="302"/>
      <c r="F111" s="116" t="s">
        <v>306</v>
      </c>
      <c r="G111" s="63"/>
      <c r="H111" s="63"/>
      <c r="I111" s="64"/>
      <c r="L111" s="4"/>
    </row>
    <row r="112" spans="1:12" x14ac:dyDescent="0.2">
      <c r="A112" s="209" t="s">
        <v>308</v>
      </c>
      <c r="B112" s="504">
        <f>Iripple_Vinnom/SQRT(12)</f>
        <v>0.18404189547204336</v>
      </c>
      <c r="C112" s="113" t="s">
        <v>1</v>
      </c>
      <c r="D112" s="348"/>
      <c r="E112" s="113"/>
      <c r="F112" s="113"/>
      <c r="I112" s="57"/>
      <c r="L112" s="4"/>
    </row>
    <row r="113" spans="1:12" x14ac:dyDescent="0.2">
      <c r="A113" s="209" t="s">
        <v>309</v>
      </c>
      <c r="B113" s="504">
        <f>Iripple_Vinmax/SQRT(12)</f>
        <v>0.22809384414429382</v>
      </c>
      <c r="C113" s="113" t="s">
        <v>1</v>
      </c>
      <c r="D113" s="348"/>
      <c r="E113" s="113"/>
      <c r="F113" s="113"/>
      <c r="I113" s="57"/>
      <c r="L113" s="4"/>
    </row>
    <row r="114" spans="1:12" x14ac:dyDescent="0.2">
      <c r="A114" s="209" t="s">
        <v>538</v>
      </c>
      <c r="B114" s="504">
        <f>MAX(B111:B113)</f>
        <v>0.22809384414429382</v>
      </c>
      <c r="C114" s="113" t="s">
        <v>1</v>
      </c>
      <c r="D114" s="348"/>
      <c r="E114" s="113"/>
      <c r="F114" s="113"/>
      <c r="I114" s="57"/>
      <c r="L114" s="4"/>
    </row>
    <row r="115" spans="1:12" x14ac:dyDescent="0.2">
      <c r="A115" s="209"/>
      <c r="B115" s="48"/>
      <c r="C115" s="113"/>
      <c r="F115" s="113"/>
      <c r="I115" s="57"/>
      <c r="L115" s="4"/>
    </row>
    <row r="116" spans="1:12" x14ac:dyDescent="0.2">
      <c r="A116" s="209" t="s">
        <v>21</v>
      </c>
      <c r="B116" s="400">
        <f>'Design Regulator'!E33/1000</f>
        <v>0.05</v>
      </c>
      <c r="C116" t="s">
        <v>0</v>
      </c>
      <c r="F116" s="113" t="s">
        <v>419</v>
      </c>
      <c r="I116" s="57"/>
    </row>
    <row r="117" spans="1:12" x14ac:dyDescent="0.2">
      <c r="A117" s="209"/>
      <c r="B117" s="113"/>
      <c r="C117"/>
      <c r="F117" s="113"/>
      <c r="I117" s="57"/>
    </row>
    <row r="118" spans="1:12" x14ac:dyDescent="0.2">
      <c r="A118" s="209" t="s">
        <v>402</v>
      </c>
      <c r="B118" s="399">
        <f>Vo1_ripple*1000</f>
        <v>50</v>
      </c>
      <c r="C118" s="113" t="s">
        <v>281</v>
      </c>
      <c r="D118" s="299"/>
      <c r="E118" s="113"/>
      <c r="F118" s="113" t="s">
        <v>420</v>
      </c>
      <c r="I118" s="57"/>
      <c r="L118" s="4"/>
    </row>
    <row r="119" spans="1:12" x14ac:dyDescent="0.2">
      <c r="A119" s="56"/>
      <c r="B119" s="113"/>
      <c r="F119" s="113"/>
      <c r="I119" s="57"/>
    </row>
    <row r="120" spans="1:12" x14ac:dyDescent="0.2">
      <c r="A120" s="66" t="s">
        <v>22</v>
      </c>
      <c r="B120" s="409">
        <f>Iripple_Vinnom/(Fsw*8*Vo1_ripple)</f>
        <v>7.5897598494966568E-7</v>
      </c>
      <c r="C120" t="s">
        <v>24</v>
      </c>
      <c r="D120" s="507"/>
      <c r="F120" s="113" t="s">
        <v>709</v>
      </c>
      <c r="H120">
        <f>Vo2_ripple</f>
        <v>0</v>
      </c>
      <c r="I120" s="57">
        <v>1</v>
      </c>
      <c r="K120" s="1"/>
    </row>
    <row r="121" spans="1:12" x14ac:dyDescent="0.2">
      <c r="A121" s="209" t="s">
        <v>544</v>
      </c>
      <c r="B121" s="464">
        <f>IF(Cout_min*1000000&lt;2, 2.2,Cout_min*1000000)</f>
        <v>2.2000000000000002</v>
      </c>
      <c r="C121" s="42" t="s">
        <v>23</v>
      </c>
      <c r="D121" s="619"/>
      <c r="E121" s="42"/>
      <c r="I121" s="57"/>
      <c r="K121" s="1"/>
    </row>
    <row r="122" spans="1:12" x14ac:dyDescent="0.2">
      <c r="A122" s="209" t="s">
        <v>25</v>
      </c>
      <c r="B122" s="410">
        <f>'Design Regulator'!E35/1000000</f>
        <v>2.0000000000000001E-4</v>
      </c>
      <c r="C122" t="s">
        <v>24</v>
      </c>
      <c r="D122" s="620"/>
      <c r="F122" s="113" t="s">
        <v>708</v>
      </c>
      <c r="I122" s="57">
        <v>1</v>
      </c>
    </row>
    <row r="123" spans="1:12" x14ac:dyDescent="0.2">
      <c r="A123" s="66" t="s">
        <v>48</v>
      </c>
      <c r="B123" s="465">
        <f>SQRT((Vo1_ripple/Iripple_Vinnom)^2-(1/(Fsw*Cout*8))^2)</f>
        <v>7.8425908194764846E-2</v>
      </c>
      <c r="C123" s="210" t="s">
        <v>116</v>
      </c>
      <c r="D123" s="621"/>
      <c r="E123" s="210"/>
      <c r="F123" s="113" t="s">
        <v>234</v>
      </c>
      <c r="I123" s="57">
        <v>1</v>
      </c>
    </row>
    <row r="124" spans="1:12" x14ac:dyDescent="0.2">
      <c r="A124" s="2"/>
      <c r="B124" s="507"/>
      <c r="C124" s="210"/>
      <c r="D124" s="507"/>
      <c r="E124" s="210"/>
      <c r="F124" s="113"/>
      <c r="I124" s="57"/>
    </row>
    <row r="125" spans="1:12" x14ac:dyDescent="0.2">
      <c r="A125" s="462" t="s">
        <v>498</v>
      </c>
      <c r="B125" s="463">
        <f>IF(OR(CoutEsrMax&gt;0.3, CoutEsrMax&lt;0, (ISERROR(CoutEsrMax))), "N/A", CoutEsrMax*1000)</f>
        <v>78.425908194764844</v>
      </c>
      <c r="C125" s="45" t="s">
        <v>305</v>
      </c>
      <c r="D125" s="622"/>
      <c r="E125" s="45"/>
      <c r="F125" s="113"/>
      <c r="I125" s="57"/>
    </row>
    <row r="126" spans="1:12" x14ac:dyDescent="0.2">
      <c r="A126" s="209" t="s">
        <v>137</v>
      </c>
      <c r="B126" s="400">
        <f>'Design Regulator'!E37/1000</f>
        <v>1E-3</v>
      </c>
      <c r="C126" s="210" t="s">
        <v>116</v>
      </c>
      <c r="D126" s="113"/>
      <c r="E126" s="210"/>
      <c r="F126" s="113" t="s">
        <v>235</v>
      </c>
      <c r="I126" s="57">
        <v>1</v>
      </c>
      <c r="K126" t="b">
        <f>ISERROR(CoutEsrMax)</f>
        <v>0</v>
      </c>
      <c r="L126" t="b">
        <f>ISERROR(B125)</f>
        <v>0</v>
      </c>
    </row>
    <row r="127" spans="1:12" ht="13.5" thickBot="1" x14ac:dyDescent="0.25">
      <c r="A127" s="368" t="s">
        <v>191</v>
      </c>
      <c r="B127" s="401">
        <f>Iripple_Vinnom*SQRT(Cout_ESR^2+(1/(8*Fsw*Cout))^2)</f>
        <v>6.651765296336417E-4</v>
      </c>
      <c r="C127" s="104" t="s">
        <v>39</v>
      </c>
      <c r="D127" s="623"/>
      <c r="E127" s="104"/>
      <c r="F127" s="61"/>
      <c r="G127" s="61"/>
      <c r="H127" s="61"/>
      <c r="I127" s="62"/>
      <c r="L127" t="b">
        <f>OR(CoutEsrMax&gt;0.3,CoutEsrMax&lt;0)</f>
        <v>0</v>
      </c>
    </row>
    <row r="128" spans="1:12" x14ac:dyDescent="0.2">
      <c r="K128" t="b">
        <f>OR(TRUE, FALSE, TRUE)</f>
        <v>1</v>
      </c>
    </row>
    <row r="129" spans="1:16" ht="16.5" thickBot="1" x14ac:dyDescent="0.3">
      <c r="A129" s="518" t="s">
        <v>140</v>
      </c>
    </row>
    <row r="130" spans="1:16" ht="15.75" x14ac:dyDescent="0.25">
      <c r="A130" s="94"/>
      <c r="B130" s="95"/>
      <c r="C130" s="304"/>
      <c r="D130" s="95"/>
      <c r="E130" s="95"/>
      <c r="F130" s="95"/>
      <c r="G130" s="95"/>
      <c r="H130" s="95"/>
      <c r="I130" s="96"/>
      <c r="K130" s="2" t="s">
        <v>729</v>
      </c>
    </row>
    <row r="131" spans="1:16" x14ac:dyDescent="0.2">
      <c r="A131" s="209" t="s">
        <v>536</v>
      </c>
      <c r="B131" s="111">
        <f>SQRT(D1_Vinmin_2*(Iout^2*(1-D1_Vinmin_2)+Iripple_Vinmin^2/12))</f>
        <v>4.0013965629730208</v>
      </c>
      <c r="C131" s="92" t="s">
        <v>1</v>
      </c>
      <c r="D131" s="508">
        <f>D1_Vinmax</f>
        <v>0.27777777777777779</v>
      </c>
      <c r="E131" s="92"/>
      <c r="F131" s="2" t="s">
        <v>730</v>
      </c>
      <c r="G131" s="348"/>
      <c r="H131" s="115"/>
      <c r="I131" s="98"/>
      <c r="K131" s="595" t="e">
        <f>SQRT(Iout^2*D1_Vinmin*(1-D1_Vinmin)+Iout2^2*D2_Vinmin*(1-D2_Vinmin)-2*Iout*Iout2*D1_Vinmin*D2_Vinmin)</f>
        <v>#NAME?</v>
      </c>
      <c r="L131" s="92" t="s">
        <v>1</v>
      </c>
      <c r="M131" s="296" t="e">
        <f>SQRT(Iout^2*D1_Vinmin*(1-D1_Vinmin)+Iout2^2*D2_Vinmin*(1-D2_Vinmin)-2*Iout*Iout2*(0.5-D2_Vinmin*(1-D1_Vinmin)))</f>
        <v>#NAME?</v>
      </c>
      <c r="N131" t="s">
        <v>1</v>
      </c>
    </row>
    <row r="132" spans="1:16" x14ac:dyDescent="0.2">
      <c r="A132" s="209" t="s">
        <v>537</v>
      </c>
      <c r="B132" s="111">
        <f>SQRT(D1_Vinnom_2*(Iout^2*(1-D1_Vinnom_2)+Iripple_Vinnom^2/12))</f>
        <v>3.9512735784229931</v>
      </c>
      <c r="C132" s="92" t="s">
        <v>1</v>
      </c>
      <c r="D132" s="508">
        <f>D1_Vinmin</f>
        <v>0.5</v>
      </c>
      <c r="E132" s="92"/>
      <c r="G132" s="348"/>
      <c r="I132" s="98"/>
      <c r="K132" s="296" t="e">
        <f>SQRT(Iout^2*D1_Vinnom*(1-D1_Vinnom)+Iout2^2*D2_Vinnom*(1-D2_Vinnom)-2*Iout*Iout2*D1_Vinnom*D2_Vinnom)</f>
        <v>#NAME?</v>
      </c>
      <c r="L132" s="92" t="s">
        <v>1</v>
      </c>
    </row>
    <row r="133" spans="1:16" x14ac:dyDescent="0.2">
      <c r="A133" s="209" t="s">
        <v>728</v>
      </c>
      <c r="B133" s="111">
        <f>SQRT(D1_Vinmax_2*(Iout^2*(1-D1_Vinmax_2)+Iripple_Vinmax^2/12))</f>
        <v>3.5971655363823571</v>
      </c>
      <c r="C133" s="92" t="s">
        <v>1</v>
      </c>
      <c r="D133" s="508"/>
      <c r="E133" s="92"/>
      <c r="G133" s="348"/>
      <c r="I133" s="98"/>
      <c r="K133" s="296" t="e">
        <f>SQRT(Iout^2*D1_Vinmax*(1-D1_Vinmax)+Iout2^2*D2_Vinmax*(1-D2_Vinmax)-2*Iout*Iout2*D1_Vinmax*D2_Vinmax)</f>
        <v>#NAME?</v>
      </c>
      <c r="L133" s="92" t="s">
        <v>1</v>
      </c>
    </row>
    <row r="134" spans="1:16" x14ac:dyDescent="0.2">
      <c r="A134" s="113" t="s">
        <v>733</v>
      </c>
      <c r="B134" s="296">
        <f>Iout*SQRT((D1_Vinmin-F136/Number_of_Phases)*((F136+1)/Number_of_Phases-D1_Vinmin))</f>
        <v>4</v>
      </c>
      <c r="C134" t="s">
        <v>1</v>
      </c>
      <c r="I134" s="98"/>
      <c r="K134" s="596" t="e">
        <f>MAX(K131:K133)</f>
        <v>#NAME?</v>
      </c>
      <c r="L134" s="42" t="s">
        <v>1</v>
      </c>
    </row>
    <row r="135" spans="1:16" x14ac:dyDescent="0.2">
      <c r="A135" s="209" t="s">
        <v>542</v>
      </c>
      <c r="B135" s="111">
        <f>MAX(B131:B133)</f>
        <v>4.0013965629730208</v>
      </c>
      <c r="C135" s="42" t="s">
        <v>1</v>
      </c>
      <c r="D135" s="2"/>
      <c r="F135">
        <f>Number_of_Phases*D1_Vinnom</f>
        <v>0.41666666666666669</v>
      </c>
      <c r="G135" t="s">
        <v>731</v>
      </c>
      <c r="I135" s="98"/>
      <c r="K135" s="596"/>
      <c r="L135" s="42"/>
      <c r="P135" s="4"/>
    </row>
    <row r="136" spans="1:16" x14ac:dyDescent="0.2">
      <c r="D136" s="2"/>
      <c r="F136">
        <f>FLOOR(Number_of_Phases*D1_Vinnom,1)</f>
        <v>0</v>
      </c>
      <c r="G136" t="s">
        <v>732</v>
      </c>
      <c r="I136" s="98"/>
      <c r="K136" s="596"/>
      <c r="L136" s="42"/>
      <c r="P136" s="4"/>
    </row>
    <row r="137" spans="1:16" x14ac:dyDescent="0.2">
      <c r="A137" s="113" t="s">
        <v>735</v>
      </c>
      <c r="B137">
        <f>Iout/2/Number_of_Phases</f>
        <v>4</v>
      </c>
      <c r="C137" s="113" t="s">
        <v>1</v>
      </c>
      <c r="I137" s="98"/>
      <c r="K137" s="596"/>
      <c r="L137" s="42"/>
      <c r="P137" s="4"/>
    </row>
    <row r="138" spans="1:16" x14ac:dyDescent="0.2">
      <c r="A138" s="113" t="s">
        <v>734</v>
      </c>
      <c r="B138" s="598">
        <f>IF(D1_Vinmin&lt;0.5, B135, B137)</f>
        <v>4</v>
      </c>
      <c r="C138" s="42" t="s">
        <v>1</v>
      </c>
      <c r="D138" s="2" t="s">
        <v>565</v>
      </c>
      <c r="I138" s="98"/>
      <c r="K138" s="596"/>
      <c r="L138" s="42"/>
      <c r="P138" s="4"/>
    </row>
    <row r="139" spans="1:16" x14ac:dyDescent="0.2">
      <c r="A139" s="113"/>
      <c r="B139" s="597"/>
      <c r="C139" s="42"/>
      <c r="D139" s="2"/>
      <c r="I139" s="98"/>
      <c r="K139" s="596"/>
      <c r="L139" s="42"/>
      <c r="P139" s="4"/>
    </row>
    <row r="140" spans="1:16" x14ac:dyDescent="0.2">
      <c r="A140" s="97" t="s">
        <v>217</v>
      </c>
      <c r="B140" s="305">
        <f>'Design Regulator'!E42/1000</f>
        <v>0.4</v>
      </c>
      <c r="C140" t="s">
        <v>39</v>
      </c>
      <c r="F140" s="113" t="s">
        <v>543</v>
      </c>
      <c r="I140" s="98"/>
    </row>
    <row r="141" spans="1:16" x14ac:dyDescent="0.2">
      <c r="C141"/>
      <c r="F141" s="113"/>
      <c r="I141" s="98"/>
    </row>
    <row r="142" spans="1:16" x14ac:dyDescent="0.2">
      <c r="A142" s="462" t="s">
        <v>909</v>
      </c>
      <c r="B142" s="515">
        <f>Iout/Number_of_Phases*D1_Vinmin*(1-D1_Vinmin)/(Vinripple1*Fsw)</f>
        <v>2.3809523809523808E-6</v>
      </c>
      <c r="C142" s="42" t="s">
        <v>24</v>
      </c>
      <c r="G142" s="348"/>
      <c r="I142" s="98"/>
    </row>
    <row r="143" spans="1:16" x14ac:dyDescent="0.2">
      <c r="A143" s="462" t="s">
        <v>911</v>
      </c>
      <c r="B143" s="515">
        <f>Iout/Number_of_Phases*D1_Vinnom*(1-D1_Vinnom)/(Vinripple1*Fsw)</f>
        <v>2.3148148148148144E-6</v>
      </c>
      <c r="C143" s="42" t="s">
        <v>24</v>
      </c>
      <c r="G143" s="348"/>
      <c r="I143" s="98"/>
    </row>
    <row r="144" spans="1:16" x14ac:dyDescent="0.2">
      <c r="A144" s="462" t="s">
        <v>552</v>
      </c>
      <c r="B144" s="515">
        <f>Iout/Number_of_Phases*D1_Vinmax*(1-D1_Vinmax)/(Vinripple1*Fsw)</f>
        <v>1.9106407995296885E-6</v>
      </c>
      <c r="C144" s="92" t="s">
        <v>24</v>
      </c>
      <c r="F144" s="113" t="s">
        <v>560</v>
      </c>
      <c r="I144" s="98"/>
      <c r="K144" s="8"/>
    </row>
    <row r="145" spans="1:11" x14ac:dyDescent="0.2">
      <c r="F145" s="113"/>
      <c r="I145" s="98"/>
      <c r="K145" s="8"/>
    </row>
    <row r="146" spans="1:11" x14ac:dyDescent="0.2">
      <c r="A146" s="462" t="s">
        <v>556</v>
      </c>
      <c r="B146" s="516">
        <f>Iout*0.5*(1-0.5)/(Vinripple1*Fsw)</f>
        <v>2.3809523809523808E-6</v>
      </c>
      <c r="C146" s="42" t="s">
        <v>24</v>
      </c>
      <c r="F146" s="113" t="s">
        <v>553</v>
      </c>
      <c r="G146" s="30"/>
      <c r="I146" s="98"/>
      <c r="K146" s="8"/>
    </row>
    <row r="147" spans="1:11" x14ac:dyDescent="0.2">
      <c r="A147" s="462" t="s">
        <v>216</v>
      </c>
      <c r="B147" s="30">
        <f>IF(VIN_min&gt;2*Vout, B142,B146)</f>
        <v>2.3809523809523808E-6</v>
      </c>
      <c r="C147" s="42" t="s">
        <v>24</v>
      </c>
      <c r="D147">
        <f>(VIN_min+VIN_max)/2</f>
        <v>14</v>
      </c>
      <c r="G147" s="30"/>
      <c r="I147" s="98"/>
      <c r="K147" s="8"/>
    </row>
    <row r="148" spans="1:11" x14ac:dyDescent="0.2">
      <c r="A148" s="462" t="s">
        <v>497</v>
      </c>
      <c r="B148" s="594">
        <f>IF(Cinmin*1000000&lt;2.2, 2.2,Cinmin*1000000)</f>
        <v>2.3809523809523809</v>
      </c>
      <c r="C148" s="42" t="s">
        <v>23</v>
      </c>
      <c r="D148">
        <f>2*Vout</f>
        <v>10</v>
      </c>
      <c r="F148" s="113" t="s">
        <v>565</v>
      </c>
      <c r="I148" s="98"/>
    </row>
    <row r="149" spans="1:11" x14ac:dyDescent="0.2">
      <c r="A149" s="462"/>
      <c r="B149" s="42"/>
      <c r="C149" s="42"/>
      <c r="F149" s="113"/>
      <c r="I149" s="98"/>
    </row>
    <row r="150" spans="1:11" x14ac:dyDescent="0.2">
      <c r="A150" s="99" t="s">
        <v>57</v>
      </c>
      <c r="B150" s="411">
        <f>'Design Regulator'!E44/1000000</f>
        <v>3.0000000000000001E-5</v>
      </c>
      <c r="C150" s="92" t="s">
        <v>24</v>
      </c>
      <c r="F150" t="s">
        <v>146</v>
      </c>
      <c r="I150" s="98"/>
    </row>
    <row r="151" spans="1:11" x14ac:dyDescent="0.2">
      <c r="A151" s="462" t="s">
        <v>943</v>
      </c>
      <c r="B151" s="297">
        <f>-(Iout/Number_of_Phases*D1_Vinmin*(1-D1_Vinmin)/(Cin*Fsw)-Vinripple1)/(Iout/Number_of_Phases+Iripple_Vinmin/2)</f>
        <v>4.4512402058308802E-2</v>
      </c>
      <c r="C151" s="210" t="s">
        <v>116</v>
      </c>
      <c r="I151" s="98"/>
    </row>
    <row r="152" spans="1:11" x14ac:dyDescent="0.2">
      <c r="A152" s="462" t="s">
        <v>554</v>
      </c>
      <c r="B152" s="297">
        <f>-(Iout/Number_of_Phases*D1_Vinmax*(1-D1_Vinmax)/(Cin*Fsw)-Vinripple1)/(Iout/Number_of_Phases+Iripple_Vinmax/2)</f>
        <v>4.4612467040296207E-2</v>
      </c>
      <c r="C152" s="210" t="s">
        <v>116</v>
      </c>
      <c r="I152" s="98"/>
    </row>
    <row r="153" spans="1:11" x14ac:dyDescent="0.2">
      <c r="A153" s="462" t="s">
        <v>555</v>
      </c>
      <c r="B153" s="297">
        <f>-(Iout/Number_of_Phases*0.5*(1-0.5)/(Cin*Fsw)-Vinripple1)/(Iout/Number_of_Phases+Iripple_Vinmax/2)</f>
        <v>4.3865502334724062E-2</v>
      </c>
      <c r="C153" s="210" t="s">
        <v>116</v>
      </c>
      <c r="F153" s="113" t="s">
        <v>561</v>
      </c>
      <c r="I153" s="98"/>
    </row>
    <row r="154" spans="1:11" x14ac:dyDescent="0.2">
      <c r="A154" s="462" t="s">
        <v>218</v>
      </c>
      <c r="B154" s="297">
        <f>IF(VIN_min&gt;2*Vout, B151,B153)</f>
        <v>4.3865502334724062E-2</v>
      </c>
      <c r="C154" s="210" t="s">
        <v>116</v>
      </c>
      <c r="I154" s="98"/>
    </row>
    <row r="155" spans="1:11" x14ac:dyDescent="0.2">
      <c r="A155" s="462" t="s">
        <v>499</v>
      </c>
      <c r="B155" s="506">
        <f>IF(OR(CinEsrMax&gt;0.3, CinEsrMax&lt;0), "N/A",CinEsrMax*1000)</f>
        <v>43.865502334724063</v>
      </c>
      <c r="C155" s="45" t="s">
        <v>305</v>
      </c>
      <c r="F155" t="s">
        <v>565</v>
      </c>
      <c r="I155" s="98"/>
    </row>
    <row r="156" spans="1:11" x14ac:dyDescent="0.2">
      <c r="A156" s="99" t="s">
        <v>86</v>
      </c>
      <c r="B156" s="93">
        <f>'Design Regulator'!E46/1000</f>
        <v>1E-3</v>
      </c>
      <c r="C156" s="210" t="s">
        <v>116</v>
      </c>
      <c r="F156" s="113" t="s">
        <v>236</v>
      </c>
      <c r="I156" s="98"/>
    </row>
    <row r="157" spans="1:11" x14ac:dyDescent="0.2">
      <c r="F157" s="113"/>
      <c r="I157" s="98"/>
      <c r="K157" s="300"/>
    </row>
    <row r="158" spans="1:11" x14ac:dyDescent="0.2">
      <c r="A158" s="462" t="s">
        <v>910</v>
      </c>
      <c r="B158" s="380">
        <f>Iout/Number_of_Phases*D1_Vinmin_2*(1-D1_Vinmin_2)/(Cin*Fsw)+(Iout/Number_of_Phases +Iripple_Vinmin/2)*RCinEsr</f>
        <v>4.0016382226799666E-2</v>
      </c>
      <c r="C158" s="92" t="s">
        <v>39</v>
      </c>
      <c r="F158" s="113"/>
      <c r="I158" s="98"/>
      <c r="K158" s="300"/>
    </row>
    <row r="159" spans="1:11" x14ac:dyDescent="0.2">
      <c r="A159" s="462" t="s">
        <v>912</v>
      </c>
      <c r="B159" s="380">
        <f>Iout/Number_of_Phases*D1_Vinnom_2*(1-D1_Vinnom_2)/(Cin*Fsw)+(Iout/Number_of_Phases +Iripple_Vinnom/2)*RCinEsr</f>
        <v>3.9267798884972102E-2</v>
      </c>
      <c r="C159" s="92" t="s">
        <v>39</v>
      </c>
      <c r="I159" s="98"/>
    </row>
    <row r="160" spans="1:11" x14ac:dyDescent="0.2">
      <c r="A160" s="462" t="s">
        <v>557</v>
      </c>
      <c r="B160" s="380">
        <f>Iout/Number_of_Phases*D1_Vinmax_2*(1-D1_Vinmax_2)/(Cin*Fsw)+(Iout/Number_of_Phases +Iripple_Vinmax/2)*RCinEsr</f>
        <v>3.4039892702781613E-2</v>
      </c>
      <c r="C160" s="92" t="s">
        <v>39</v>
      </c>
      <c r="I160" s="98"/>
    </row>
    <row r="161" spans="1:9" x14ac:dyDescent="0.2">
      <c r="A161" s="462" t="s">
        <v>558</v>
      </c>
      <c r="B161" s="380">
        <f>Iout/Number_of_Phases*0.5*(1-0.5)/(Cin*Fsw)+(Iout/Number_of_Phases +Iripple_Vinmax/2)*RCinEsr</f>
        <v>4.0141101872983358E-2</v>
      </c>
      <c r="C161" s="92" t="s">
        <v>39</v>
      </c>
      <c r="F161" s="113" t="s">
        <v>559</v>
      </c>
      <c r="I161" s="98"/>
    </row>
    <row r="162" spans="1:9" x14ac:dyDescent="0.2">
      <c r="A162" s="462" t="s">
        <v>219</v>
      </c>
      <c r="B162" s="380">
        <f>IF(D1_Vinmin&lt;0.5, B158,B161)</f>
        <v>4.0141101872983358E-2</v>
      </c>
      <c r="C162" s="92" t="s">
        <v>39</v>
      </c>
      <c r="F162" s="113" t="s">
        <v>564</v>
      </c>
      <c r="I162" s="98"/>
    </row>
    <row r="163" spans="1:9" x14ac:dyDescent="0.2">
      <c r="A163" s="99"/>
      <c r="B163" s="517"/>
      <c r="C163" s="92"/>
      <c r="I163" s="98"/>
    </row>
    <row r="164" spans="1:9" ht="13.5" thickBot="1" x14ac:dyDescent="0.25">
      <c r="A164" s="100"/>
      <c r="B164" s="381">
        <f>Iout*D1_Vinmin_2*(1-D1_Vinmin_2)/(Cin*Fsw)</f>
        <v>3.1743317839675017E-2</v>
      </c>
      <c r="C164" s="306" t="s">
        <v>39</v>
      </c>
      <c r="D164" s="101"/>
      <c r="E164" s="102"/>
      <c r="F164" s="102"/>
      <c r="G164" s="102"/>
      <c r="H164" s="102"/>
      <c r="I164" s="103"/>
    </row>
    <row r="166" spans="1:9" ht="16.5" thickBot="1" x14ac:dyDescent="0.3">
      <c r="A166" s="509" t="s">
        <v>563</v>
      </c>
    </row>
    <row r="167" spans="1:9" x14ac:dyDescent="0.2">
      <c r="A167" s="89" t="s">
        <v>148</v>
      </c>
      <c r="B167" s="12">
        <f>'Design Regulator'!E51/1000</f>
        <v>0</v>
      </c>
      <c r="C167" s="63" t="s">
        <v>133</v>
      </c>
      <c r="D167" s="116" t="s">
        <v>422</v>
      </c>
      <c r="E167" s="63"/>
      <c r="F167" s="63"/>
      <c r="G167" s="63"/>
      <c r="H167" s="63"/>
      <c r="I167" s="64"/>
    </row>
    <row r="168" spans="1:9" x14ac:dyDescent="0.2">
      <c r="A168" s="56" t="s">
        <v>149</v>
      </c>
      <c r="B168" s="68" t="e">
        <f>Cout*Vout/Tss</f>
        <v>#DIV/0!</v>
      </c>
      <c r="C168" t="s">
        <v>1</v>
      </c>
      <c r="D168" s="113" t="s">
        <v>421</v>
      </c>
      <c r="I168" s="57"/>
    </row>
    <row r="169" spans="1:9" x14ac:dyDescent="0.2">
      <c r="A169" s="56" t="s">
        <v>150</v>
      </c>
      <c r="B169" s="412">
        <f>0.000022*Tss/1.2</f>
        <v>0</v>
      </c>
      <c r="C169" t="s">
        <v>24</v>
      </c>
      <c r="I169" s="57"/>
    </row>
    <row r="170" spans="1:9" ht="13.5" thickBot="1" x14ac:dyDescent="0.25">
      <c r="A170" s="60" t="s">
        <v>161</v>
      </c>
      <c r="B170" s="413">
        <f>'Standard Value Calculator'!B4</f>
        <v>0</v>
      </c>
      <c r="C170" s="61" t="s">
        <v>24</v>
      </c>
      <c r="D170" s="61"/>
      <c r="E170" s="61"/>
      <c r="F170" s="61"/>
      <c r="G170" s="61"/>
      <c r="H170" s="61"/>
      <c r="I170" s="62"/>
    </row>
    <row r="172" spans="1:9" ht="16.5" thickBot="1" x14ac:dyDescent="0.3">
      <c r="A172" s="509" t="s">
        <v>628</v>
      </c>
    </row>
    <row r="173" spans="1:9" ht="12.75" customHeight="1" x14ac:dyDescent="0.2">
      <c r="A173" s="208" t="s">
        <v>629</v>
      </c>
      <c r="B173" s="555">
        <f>'Design Regulator'!E54/1000</f>
        <v>0.02</v>
      </c>
      <c r="C173" s="63" t="s">
        <v>133</v>
      </c>
      <c r="D173" s="116" t="s">
        <v>633</v>
      </c>
      <c r="E173" s="63"/>
      <c r="F173" s="63"/>
      <c r="G173" s="63"/>
      <c r="H173" s="63"/>
      <c r="I173" s="64"/>
    </row>
    <row r="174" spans="1:9" ht="12.75" customHeight="1" x14ac:dyDescent="0.2">
      <c r="A174" s="209" t="s">
        <v>630</v>
      </c>
      <c r="B174" s="412">
        <f>0.00002*Tres/1.2</f>
        <v>3.3333333333333335E-7</v>
      </c>
      <c r="C174" t="s">
        <v>24</v>
      </c>
      <c r="I174" s="57"/>
    </row>
    <row r="175" spans="1:9" ht="12.75" customHeight="1" x14ac:dyDescent="0.2">
      <c r="A175" s="209" t="s">
        <v>631</v>
      </c>
      <c r="B175" s="556">
        <f>'Standard Value Calculator'!G4</f>
        <v>3.3000000000000002E-7</v>
      </c>
      <c r="C175" t="s">
        <v>24</v>
      </c>
      <c r="F175" s="45"/>
      <c r="G175" s="44"/>
      <c r="H175" s="44"/>
      <c r="I175" s="57"/>
    </row>
    <row r="176" spans="1:9" ht="12.75" customHeight="1" x14ac:dyDescent="0.2">
      <c r="B176" s="44"/>
      <c r="C176"/>
      <c r="I176" s="57"/>
    </row>
    <row r="177" spans="1:9" ht="12.75" customHeight="1" x14ac:dyDescent="0.3">
      <c r="A177" s="209" t="s">
        <v>632</v>
      </c>
      <c r="B177" s="44">
        <v>100</v>
      </c>
      <c r="C177" s="45" t="s">
        <v>237</v>
      </c>
      <c r="I177" s="57"/>
    </row>
    <row r="178" spans="1:9" ht="12.75" customHeight="1" x14ac:dyDescent="0.3">
      <c r="A178" s="209" t="s">
        <v>637</v>
      </c>
      <c r="B178" s="44"/>
      <c r="C178" s="210" t="s">
        <v>116</v>
      </c>
      <c r="E178" s="113" t="s">
        <v>638</v>
      </c>
      <c r="I178" s="57"/>
    </row>
    <row r="179" spans="1:9" ht="12.75" customHeight="1" x14ac:dyDescent="0.2">
      <c r="A179" s="538" t="s">
        <v>635</v>
      </c>
      <c r="B179" s="44"/>
      <c r="C179" s="210" t="s">
        <v>116</v>
      </c>
      <c r="D179" s="366"/>
      <c r="E179" s="113" t="s">
        <v>636</v>
      </c>
      <c r="I179" s="57"/>
    </row>
    <row r="180" spans="1:9" ht="12.75" customHeight="1" x14ac:dyDescent="0.2">
      <c r="A180" s="538" t="s">
        <v>634</v>
      </c>
      <c r="B180" s="44"/>
      <c r="C180" s="210" t="s">
        <v>116</v>
      </c>
      <c r="D180" s="366"/>
      <c r="E180" s="113" t="s">
        <v>593</v>
      </c>
      <c r="I180" s="57"/>
    </row>
    <row r="181" spans="1:9" ht="12.75" customHeight="1" x14ac:dyDescent="0.2">
      <c r="A181" s="696"/>
      <c r="B181" s="44"/>
      <c r="C181" s="210"/>
      <c r="D181" s="366"/>
      <c r="E181" s="113"/>
      <c r="I181" s="57"/>
    </row>
    <row r="182" spans="1:9" ht="12.75" customHeight="1" x14ac:dyDescent="0.2">
      <c r="A182" s="696" t="s">
        <v>859</v>
      </c>
      <c r="B182" s="697">
        <v>1.0000000000000001E-5</v>
      </c>
      <c r="C182" s="210" t="s">
        <v>1</v>
      </c>
      <c r="D182" s="366"/>
      <c r="E182" s="113" t="s">
        <v>860</v>
      </c>
      <c r="I182" s="57"/>
    </row>
    <row r="183" spans="1:9" x14ac:dyDescent="0.2">
      <c r="A183" s="696" t="s">
        <v>861</v>
      </c>
      <c r="B183" s="698">
        <f>'Design Regulator'!E53</f>
        <v>22</v>
      </c>
      <c r="C183" s="210"/>
      <c r="D183" s="366"/>
      <c r="E183" s="113"/>
      <c r="I183" s="57"/>
    </row>
    <row r="184" spans="1:9" ht="12.75" customHeight="1" x14ac:dyDescent="0.2">
      <c r="A184" s="696" t="s">
        <v>862</v>
      </c>
      <c r="B184" s="698">
        <f>'Design Regulator'!E53-'Design Regulator'!E54</f>
        <v>2</v>
      </c>
      <c r="C184" s="210"/>
      <c r="D184" s="366"/>
      <c r="E184" s="113"/>
      <c r="I184" s="57"/>
    </row>
    <row r="185" spans="1:9" ht="12.75" customHeight="1" x14ac:dyDescent="0.2">
      <c r="A185" s="696"/>
      <c r="B185" s="44"/>
      <c r="C185" s="210"/>
      <c r="D185" s="366"/>
      <c r="E185" s="113"/>
      <c r="I185" s="57"/>
    </row>
    <row r="186" spans="1:9" ht="12.75" customHeight="1" x14ac:dyDescent="0.2">
      <c r="A186" s="696" t="s">
        <v>863</v>
      </c>
      <c r="B186" s="596">
        <f>B184/B182</f>
        <v>199999.99999999997</v>
      </c>
      <c r="C186" s="210" t="s">
        <v>116</v>
      </c>
      <c r="D186" s="366"/>
      <c r="E186" s="113"/>
      <c r="I186" s="57"/>
    </row>
    <row r="187" spans="1:9" ht="12.75" customHeight="1" x14ac:dyDescent="0.2">
      <c r="A187" s="696" t="s">
        <v>864</v>
      </c>
      <c r="B187" s="44">
        <f>B186/(B183-1)</f>
        <v>9523.8095238095229</v>
      </c>
      <c r="C187" s="210" t="s">
        <v>116</v>
      </c>
      <c r="D187" s="366"/>
      <c r="E187" s="113"/>
      <c r="I187" s="57"/>
    </row>
    <row r="188" spans="1:9" ht="12.75" customHeight="1" x14ac:dyDescent="0.2">
      <c r="A188" s="696" t="s">
        <v>865</v>
      </c>
      <c r="B188" s="44">
        <f>'Standard Value Calculator'!S40</f>
        <v>200</v>
      </c>
      <c r="C188" s="45" t="s">
        <v>237</v>
      </c>
      <c r="D188" s="366"/>
      <c r="E188" s="113"/>
      <c r="I188" s="57"/>
    </row>
    <row r="189" spans="1:9" ht="12.75" customHeight="1" x14ac:dyDescent="0.2">
      <c r="A189" s="696" t="s">
        <v>866</v>
      </c>
      <c r="B189" s="44">
        <f>'Standard Value Calculator'!S41</f>
        <v>9.5299999999999994</v>
      </c>
      <c r="C189" s="45" t="s">
        <v>237</v>
      </c>
      <c r="D189" s="366"/>
      <c r="E189" s="113"/>
      <c r="I189" s="57"/>
    </row>
    <row r="190" spans="1:9" ht="12.75" customHeight="1" x14ac:dyDescent="0.2">
      <c r="A190" s="209"/>
      <c r="B190" s="44"/>
      <c r="C190" s="210"/>
      <c r="I190" s="57"/>
    </row>
    <row r="191" spans="1:9" ht="12.75" customHeight="1" x14ac:dyDescent="0.2">
      <c r="A191" s="209" t="s">
        <v>529</v>
      </c>
      <c r="B191" s="379">
        <f>'Design Regulator'!E57*1000</f>
        <v>41200</v>
      </c>
      <c r="C191" s="113" t="s">
        <v>9</v>
      </c>
      <c r="I191" s="57"/>
    </row>
    <row r="192" spans="1:9" ht="12.75" customHeight="1" x14ac:dyDescent="0.2">
      <c r="A192" s="209" t="s">
        <v>311</v>
      </c>
      <c r="B192" s="378">
        <f>10*10^-6/Fdither/0.12</f>
        <v>2.0226537216828479E-9</v>
      </c>
      <c r="C192" s="113" t="s">
        <v>24</v>
      </c>
      <c r="I192" s="57"/>
    </row>
    <row r="193" spans="1:9" ht="12.75" customHeight="1" x14ac:dyDescent="0.2">
      <c r="A193" s="209" t="s">
        <v>312</v>
      </c>
      <c r="B193" s="378">
        <f>'Standard Value Calculator'!S21</f>
        <v>2.1999999999999998E-9</v>
      </c>
      <c r="C193" s="113" t="s">
        <v>24</v>
      </c>
      <c r="I193" s="57"/>
    </row>
    <row r="194" spans="1:9" ht="12.75" customHeight="1" thickBot="1" x14ac:dyDescent="0.25">
      <c r="A194" s="60"/>
      <c r="B194" s="70"/>
      <c r="C194" s="286"/>
      <c r="D194" s="61"/>
      <c r="E194" s="61"/>
      <c r="F194" s="61"/>
      <c r="G194" s="61"/>
      <c r="H194" s="61"/>
      <c r="I194" s="62"/>
    </row>
    <row r="195" spans="1:9" x14ac:dyDescent="0.2">
      <c r="B195" s="44"/>
      <c r="C195" s="287"/>
    </row>
    <row r="196" spans="1:9" ht="16.5" thickBot="1" x14ac:dyDescent="0.3">
      <c r="A196" s="509" t="s">
        <v>562</v>
      </c>
    </row>
    <row r="197" spans="1:9" x14ac:dyDescent="0.2">
      <c r="A197" s="361" t="s">
        <v>38</v>
      </c>
      <c r="B197" s="362">
        <v>3.1415926500000002</v>
      </c>
      <c r="C197" s="363"/>
      <c r="D197" s="364" t="s">
        <v>364</v>
      </c>
      <c r="E197" s="63"/>
      <c r="F197" s="63"/>
      <c r="G197" s="63"/>
      <c r="H197" s="63"/>
      <c r="I197" s="64"/>
    </row>
    <row r="198" spans="1:9" x14ac:dyDescent="0.2">
      <c r="A198" s="113" t="s">
        <v>374</v>
      </c>
      <c r="B198" s="113">
        <v>10</v>
      </c>
      <c r="C198" s="46"/>
      <c r="D198" s="210"/>
      <c r="I198" s="57"/>
    </row>
    <row r="199" spans="1:9" x14ac:dyDescent="0.2">
      <c r="A199" s="113" t="s">
        <v>353</v>
      </c>
      <c r="B199">
        <f>Rs*CSAmp_gain</f>
        <v>4.5999999999999999E-2</v>
      </c>
      <c r="C199" s="210" t="s">
        <v>116</v>
      </c>
      <c r="E199" s="210"/>
      <c r="F199" s="113" t="s">
        <v>369</v>
      </c>
      <c r="I199" s="57"/>
    </row>
    <row r="200" spans="1:9" x14ac:dyDescent="0.2">
      <c r="A200" s="113" t="s">
        <v>334</v>
      </c>
      <c r="B200" s="557">
        <f>IF(COMP_TYPE=1,0.00003,0.0012)</f>
        <v>1.1999999999999999E-3</v>
      </c>
      <c r="C200" s="113" t="s">
        <v>66</v>
      </c>
      <c r="F200" s="113" t="s">
        <v>354</v>
      </c>
      <c r="I200" s="57"/>
    </row>
    <row r="201" spans="1:9" x14ac:dyDescent="0.2">
      <c r="A201" s="113"/>
      <c r="B201" s="113"/>
      <c r="C201" s="113"/>
      <c r="F201" s="113"/>
      <c r="I201" s="57"/>
    </row>
    <row r="202" spans="1:9" x14ac:dyDescent="0.2">
      <c r="A202" s="113" t="s">
        <v>438</v>
      </c>
      <c r="B202" s="539">
        <f>B206/Ri*1000</f>
        <v>10375494.071146244</v>
      </c>
      <c r="C202" s="477" t="s">
        <v>355</v>
      </c>
      <c r="D202" s="539"/>
      <c r="E202" s="477"/>
      <c r="F202" s="477" t="s">
        <v>375</v>
      </c>
      <c r="H202" s="4"/>
      <c r="I202" s="57"/>
    </row>
    <row r="203" spans="1:9" x14ac:dyDescent="0.2">
      <c r="A203" s="113" t="s">
        <v>356</v>
      </c>
      <c r="B203" s="539">
        <f>(Vin-Vout)/Lf</f>
        <v>3181818.1818181816</v>
      </c>
      <c r="C203" s="477" t="s">
        <v>355</v>
      </c>
      <c r="D203" s="539"/>
      <c r="E203" s="477"/>
      <c r="F203" s="477" t="s">
        <v>357</v>
      </c>
      <c r="H203" s="4"/>
      <c r="I203" s="57"/>
    </row>
    <row r="204" spans="1:9" x14ac:dyDescent="0.2">
      <c r="A204" s="113" t="s">
        <v>373</v>
      </c>
      <c r="B204" s="539">
        <f>Vout/Lf</f>
        <v>2272727.2727272725</v>
      </c>
      <c r="C204" s="477" t="s">
        <v>355</v>
      </c>
      <c r="D204" s="539"/>
      <c r="E204" s="477"/>
      <c r="F204" s="477" t="s">
        <v>372</v>
      </c>
      <c r="H204" s="4"/>
      <c r="I204" s="57"/>
    </row>
    <row r="205" spans="1:9" x14ac:dyDescent="0.2">
      <c r="A205" s="113"/>
      <c r="B205" s="365"/>
      <c r="C205" s="350"/>
      <c r="F205" s="350"/>
      <c r="I205" s="57"/>
    </row>
    <row r="206" spans="1:9" x14ac:dyDescent="0.2">
      <c r="A206" s="113" t="s">
        <v>376</v>
      </c>
      <c r="B206" s="373">
        <f>Fsw*0.001*(5/22)</f>
        <v>477.27272727272725</v>
      </c>
      <c r="C206" s="374" t="s">
        <v>412</v>
      </c>
      <c r="D206" s="373"/>
      <c r="E206" s="374"/>
      <c r="F206" s="374" t="s">
        <v>384</v>
      </c>
      <c r="I206" s="57"/>
    </row>
    <row r="207" spans="1:9" x14ac:dyDescent="0.2">
      <c r="A207" s="113" t="s">
        <v>382</v>
      </c>
      <c r="B207" s="373">
        <f>Sn*Ri/1000</f>
        <v>146.36363636363635</v>
      </c>
      <c r="C207" s="374" t="s">
        <v>412</v>
      </c>
      <c r="D207" s="373"/>
      <c r="E207" s="374"/>
      <c r="F207" s="374" t="s">
        <v>385</v>
      </c>
      <c r="I207" s="57"/>
    </row>
    <row r="208" spans="1:9" x14ac:dyDescent="0.2">
      <c r="A208" s="113" t="s">
        <v>383</v>
      </c>
      <c r="B208" s="373">
        <f>Sf*Ri/1000</f>
        <v>104.54545454545453</v>
      </c>
      <c r="C208" s="374" t="s">
        <v>412</v>
      </c>
      <c r="D208" s="373"/>
      <c r="E208" s="374"/>
      <c r="F208" s="374" t="s">
        <v>385</v>
      </c>
      <c r="I208" s="57"/>
    </row>
    <row r="209" spans="1:9" x14ac:dyDescent="0.2">
      <c r="A209" s="113"/>
      <c r="B209" s="373"/>
      <c r="C209" s="374"/>
      <c r="D209" s="374"/>
      <c r="I209" s="57"/>
    </row>
    <row r="210" spans="1:9" x14ac:dyDescent="0.2">
      <c r="A210" s="113" t="s">
        <v>410</v>
      </c>
      <c r="B210" s="348">
        <f>1+Se_ext/Sn</f>
        <v>4.2608695652173907</v>
      </c>
      <c r="C210"/>
      <c r="D210" s="348"/>
      <c r="F210" s="113" t="s">
        <v>760</v>
      </c>
      <c r="I210" s="57"/>
    </row>
    <row r="211" spans="1:9" x14ac:dyDescent="0.2">
      <c r="A211" s="113" t="s">
        <v>411</v>
      </c>
      <c r="B211" s="367">
        <f>mc_buck*(1-D1_Vinnom_2)</f>
        <v>2.4679966941957705</v>
      </c>
      <c r="C211" s="350"/>
      <c r="D211" s="367"/>
      <c r="F211" s="350" t="s">
        <v>641</v>
      </c>
      <c r="I211" s="57"/>
    </row>
    <row r="212" spans="1:9" x14ac:dyDescent="0.2">
      <c r="A212" s="2"/>
      <c r="B212" s="382"/>
      <c r="C212" s="350"/>
      <c r="D212" s="350"/>
      <c r="I212" s="57"/>
    </row>
    <row r="213" spans="1:9" x14ac:dyDescent="0.2">
      <c r="A213" s="2" t="s">
        <v>358</v>
      </c>
      <c r="B213" s="367">
        <f>1+Se_ext/Sn</f>
        <v>4.2608695652173907</v>
      </c>
      <c r="C213" s="350"/>
      <c r="D213" s="367"/>
      <c r="I213" s="57"/>
    </row>
    <row r="214" spans="1:9" x14ac:dyDescent="0.2">
      <c r="A214" s="2" t="s">
        <v>333</v>
      </c>
      <c r="B214" s="408">
        <f>mc_buck*(1-D1_Vinnom_2)</f>
        <v>2.4679966941957705</v>
      </c>
      <c r="C214" s="350"/>
      <c r="D214" s="408"/>
      <c r="I214" s="57"/>
    </row>
    <row r="215" spans="1:9" x14ac:dyDescent="0.2">
      <c r="A215" s="113" t="s">
        <v>27</v>
      </c>
      <c r="B215" s="348">
        <f>1/Pi/(k-0.5)</f>
        <v>0.16174310022283411</v>
      </c>
      <c r="C215"/>
      <c r="D215" s="348"/>
      <c r="F215" s="113" t="s">
        <v>367</v>
      </c>
      <c r="H215" s="113" t="s">
        <v>378</v>
      </c>
      <c r="I215" s="57"/>
    </row>
    <row r="216" spans="1:9" x14ac:dyDescent="0.2">
      <c r="A216" s="113"/>
      <c r="B216" s="348"/>
      <c r="C216"/>
      <c r="D216" s="113"/>
      <c r="F216" s="113"/>
      <c r="I216" s="57"/>
    </row>
    <row r="217" spans="1:9" x14ac:dyDescent="0.2">
      <c r="A217" s="350" t="s">
        <v>413</v>
      </c>
      <c r="B217" s="348"/>
      <c r="C217"/>
      <c r="D217" s="113"/>
      <c r="I217" s="57"/>
    </row>
    <row r="218" spans="1:9" ht="15" x14ac:dyDescent="0.25">
      <c r="A218" s="113" t="s">
        <v>359</v>
      </c>
      <c r="B218" s="671">
        <v>6</v>
      </c>
      <c r="C218" s="113" t="s">
        <v>178</v>
      </c>
      <c r="F218" s="113" t="s">
        <v>443</v>
      </c>
      <c r="I218" s="57"/>
    </row>
    <row r="219" spans="1:9" ht="15" x14ac:dyDescent="0.25">
      <c r="A219" s="113" t="s">
        <v>360</v>
      </c>
      <c r="B219" s="672">
        <f>gm/(2*Pi*GBW*1000000)</f>
        <v>3.1830988654751269E-11</v>
      </c>
      <c r="C219" s="113" t="s">
        <v>24</v>
      </c>
      <c r="F219" s="113" t="s">
        <v>442</v>
      </c>
      <c r="I219" s="57"/>
    </row>
    <row r="220" spans="1:9" ht="15" x14ac:dyDescent="0.25">
      <c r="A220" s="113" t="s">
        <v>361</v>
      </c>
      <c r="B220" s="673">
        <v>64000000</v>
      </c>
      <c r="C220" s="210" t="s">
        <v>116</v>
      </c>
      <c r="F220" s="113" t="s">
        <v>441</v>
      </c>
      <c r="I220" s="57"/>
    </row>
    <row r="221" spans="1:9" x14ac:dyDescent="0.2">
      <c r="A221" s="2" t="s">
        <v>362</v>
      </c>
      <c r="B221" s="299">
        <f>gm*RoEA</f>
        <v>76800</v>
      </c>
      <c r="C221" s="113" t="s">
        <v>28</v>
      </c>
      <c r="F221" s="113" t="s">
        <v>440</v>
      </c>
      <c r="I221" s="57"/>
    </row>
    <row r="222" spans="1:9" x14ac:dyDescent="0.2">
      <c r="A222" s="2" t="s">
        <v>363</v>
      </c>
      <c r="B222" s="4">
        <f>IF(VOUT_setting=1,Vref/Vout,SQRT((1+(Fcross*zterm1)^2)/((1+Afbr-pterm4*(Fcross)^2)^2+(Fcross*pterm3)^2)))</f>
        <v>0.15767527500119166</v>
      </c>
      <c r="C222" s="113" t="s">
        <v>28</v>
      </c>
      <c r="D222" s="4"/>
      <c r="E222" s="113"/>
      <c r="F222" s="113" t="s">
        <v>439</v>
      </c>
      <c r="I222" s="57"/>
    </row>
    <row r="223" spans="1:9" x14ac:dyDescent="0.2">
      <c r="A223" s="2" t="s">
        <v>318</v>
      </c>
      <c r="B223" s="382">
        <f>1/Ri</f>
        <v>21.739130434782609</v>
      </c>
      <c r="C223" s="113"/>
      <c r="D223" s="382"/>
      <c r="E223" s="113"/>
      <c r="F223" s="113" t="s">
        <v>368</v>
      </c>
      <c r="I223" s="57"/>
    </row>
    <row r="224" spans="1:9" x14ac:dyDescent="0.2">
      <c r="A224" s="2" t="s">
        <v>404</v>
      </c>
      <c r="B224" s="4">
        <f>(Ro/Number_of_Phases)/Ri/((1+Ro/Number_of_Phases*(k-0.5)/(Fsw*Lf)))</f>
        <v>10.73021560691109</v>
      </c>
      <c r="C224" s="4"/>
      <c r="D224" s="4"/>
      <c r="I224" s="57"/>
    </row>
    <row r="225" spans="1:9" x14ac:dyDescent="0.2">
      <c r="A225" s="2" t="s">
        <v>323</v>
      </c>
      <c r="B225" s="4">
        <f>(Ro*Number_of_Phases)/Ri/((1+Ro*Number_of_Phases*(k-0.5)/(Fsw*Lf)))</f>
        <v>10.73021560691109</v>
      </c>
      <c r="C225" s="4"/>
      <c r="D225" s="4"/>
      <c r="F225" s="350" t="s">
        <v>697</v>
      </c>
      <c r="I225" s="57"/>
    </row>
    <row r="226" spans="1:9" x14ac:dyDescent="0.2">
      <c r="A226" s="2"/>
      <c r="B226" s="4"/>
      <c r="C226"/>
      <c r="D226" s="350"/>
      <c r="I226" s="57"/>
    </row>
    <row r="227" spans="1:9" x14ac:dyDescent="0.2">
      <c r="A227" s="113" t="s">
        <v>698</v>
      </c>
      <c r="B227" s="4">
        <f>2*Pi*Ri/gm</f>
        <v>240.85543650000002</v>
      </c>
      <c r="C227"/>
      <c r="F227" s="113" t="s">
        <v>444</v>
      </c>
      <c r="I227" s="57"/>
    </row>
    <row r="228" spans="1:9" x14ac:dyDescent="0.2">
      <c r="A228" s="350" t="s">
        <v>405</v>
      </c>
      <c r="B228" s="4"/>
      <c r="C228"/>
      <c r="F228" s="113"/>
      <c r="I228" s="57"/>
    </row>
    <row r="229" spans="1:9" x14ac:dyDescent="0.2">
      <c r="A229" s="350"/>
      <c r="B229" s="4"/>
      <c r="C229"/>
      <c r="F229" s="113"/>
      <c r="I229" s="57"/>
    </row>
    <row r="230" spans="1:9" x14ac:dyDescent="0.2">
      <c r="A230" s="209" t="s">
        <v>42</v>
      </c>
      <c r="B230" s="382">
        <f>Rout</f>
        <v>0.625</v>
      </c>
      <c r="C230" s="210" t="s">
        <v>116</v>
      </c>
      <c r="D230" s="348"/>
      <c r="E230" s="210"/>
      <c r="F230" s="113" t="s">
        <v>263</v>
      </c>
      <c r="I230" s="57"/>
    </row>
    <row r="231" spans="1:9" x14ac:dyDescent="0.2">
      <c r="A231" s="113"/>
      <c r="B231" s="113"/>
      <c r="C231" s="210"/>
      <c r="D231" s="113"/>
      <c r="I231" s="57"/>
    </row>
    <row r="232" spans="1:9" x14ac:dyDescent="0.2">
      <c r="A232" s="113" t="s">
        <v>399</v>
      </c>
      <c r="B232" s="372">
        <f>1/(2*Pi*Ro*Cout)+(k-0.5)/(2*Pi*Fsw*Lf*Cout/Number_of_Phases)</f>
        <v>1612.2183364797347</v>
      </c>
      <c r="C232" t="s">
        <v>9</v>
      </c>
      <c r="D232" s="359"/>
      <c r="F232" s="113" t="s">
        <v>398</v>
      </c>
      <c r="I232" s="57"/>
    </row>
    <row r="233" spans="1:9" x14ac:dyDescent="0.2">
      <c r="A233" s="113" t="s">
        <v>431</v>
      </c>
      <c r="B233" s="359">
        <f>Fload_u</f>
        <v>1612.2183364797347</v>
      </c>
      <c r="C233" s="113" t="s">
        <v>9</v>
      </c>
      <c r="D233" s="359"/>
      <c r="E233" s="113"/>
      <c r="F233" s="365"/>
      <c r="I233" s="57"/>
    </row>
    <row r="234" spans="1:9" x14ac:dyDescent="0.2">
      <c r="A234" s="113"/>
      <c r="B234" s="358">
        <f>Cbw</f>
        <v>3.1830988654751269E-11</v>
      </c>
      <c r="C234"/>
      <c r="D234" s="113"/>
      <c r="E234" s="46"/>
      <c r="I234" s="57"/>
    </row>
    <row r="235" spans="1:9" x14ac:dyDescent="0.2">
      <c r="A235" s="113" t="s">
        <v>370</v>
      </c>
      <c r="B235" s="422">
        <f>1/(2*Pi*(RoEA+Rcea1_u)*Cc1ea_u)</f>
        <v>0.75343209626019259</v>
      </c>
      <c r="C235" t="s">
        <v>9</v>
      </c>
      <c r="D235" s="624"/>
      <c r="F235" s="113" t="s">
        <v>397</v>
      </c>
      <c r="I235" s="57"/>
    </row>
    <row r="236" spans="1:9" x14ac:dyDescent="0.2">
      <c r="A236" s="113" t="s">
        <v>371</v>
      </c>
      <c r="B236" s="372">
        <f>1/(2*Pi*Rcea1_u*(Cc2ea_u+Cbw))</f>
        <v>413223.14049586788</v>
      </c>
      <c r="C236" t="s">
        <v>9</v>
      </c>
      <c r="D236" s="359"/>
      <c r="F236" s="113" t="s">
        <v>379</v>
      </c>
      <c r="I236" s="57"/>
    </row>
    <row r="237" spans="1:9" x14ac:dyDescent="0.2">
      <c r="A237" s="209" t="s">
        <v>26</v>
      </c>
      <c r="B237" s="372">
        <f>1/(2*Pi*Cout*Cout_ESR)</f>
        <v>795774.71636878187</v>
      </c>
      <c r="C237" t="s">
        <v>9</v>
      </c>
      <c r="D237" s="359"/>
      <c r="F237" s="113" t="s">
        <v>396</v>
      </c>
      <c r="I237" s="57"/>
    </row>
    <row r="238" spans="1:9" x14ac:dyDescent="0.2">
      <c r="A238" s="113" t="s">
        <v>403</v>
      </c>
      <c r="B238" s="372">
        <f>Fsw/2</f>
        <v>1050000</v>
      </c>
      <c r="C238" t="s">
        <v>9</v>
      </c>
      <c r="D238" s="359"/>
      <c r="F238" s="113" t="s">
        <v>681</v>
      </c>
      <c r="I238" s="57"/>
    </row>
    <row r="239" spans="1:9" x14ac:dyDescent="0.2">
      <c r="A239" s="113"/>
      <c r="B239" s="359"/>
      <c r="C239"/>
      <c r="D239" s="675" t="s">
        <v>829</v>
      </c>
      <c r="E239" s="46"/>
      <c r="I239" s="57"/>
    </row>
    <row r="240" spans="1:9" x14ac:dyDescent="0.2">
      <c r="A240" s="209" t="s">
        <v>395</v>
      </c>
      <c r="B240" s="305">
        <f>CHOOSE(COMP_TYPE,Fcross_Ch2,'Design Regulator'!E63*1000)</f>
        <v>40000</v>
      </c>
      <c r="C240" s="358" t="s">
        <v>9</v>
      </c>
      <c r="D240" s="676">
        <f>Fsw/50</f>
        <v>42000</v>
      </c>
      <c r="E240" s="358"/>
      <c r="I240" s="57"/>
    </row>
    <row r="241" spans="1:12" x14ac:dyDescent="0.2">
      <c r="A241" s="66" t="s">
        <v>33</v>
      </c>
      <c r="B241" s="359">
        <f>Fcross*Cout/Number_of_Phases*2*Pi*Ri/(gm*Afb)</f>
        <v>12220.327454545029</v>
      </c>
      <c r="C241" s="210" t="s">
        <v>116</v>
      </c>
      <c r="D241" s="359"/>
      <c r="E241" s="210"/>
      <c r="F241" s="113" t="s">
        <v>365</v>
      </c>
      <c r="I241" s="57"/>
      <c r="K241" s="299">
        <f>Fcross/Fp_dominant/(gm*Afb*Am)</f>
        <v>12220.327454545029</v>
      </c>
      <c r="L241" s="210"/>
    </row>
    <row r="242" spans="1:12" x14ac:dyDescent="0.2">
      <c r="A242" s="66" t="s">
        <v>656</v>
      </c>
      <c r="B242" s="358">
        <f>10/(Rcea1*Fcross*2*Pi)</f>
        <v>3.2559467793672513E-9</v>
      </c>
      <c r="C242" t="s">
        <v>24</v>
      </c>
      <c r="D242" s="358"/>
      <c r="F242" s="113" t="s">
        <v>642</v>
      </c>
      <c r="I242" s="57"/>
    </row>
    <row r="243" spans="1:12" x14ac:dyDescent="0.2">
      <c r="A243" s="66" t="s">
        <v>657</v>
      </c>
      <c r="B243" s="358">
        <f>MAX(1/(Rcea1*2*Pi*Fesr)-Cbw, 1/(Rcea1*2*Pi*(Fsw/2))-Cbw)</f>
        <v>-1.5464815101389138E-11</v>
      </c>
      <c r="C243" t="s">
        <v>24</v>
      </c>
      <c r="D243" s="358"/>
      <c r="F243" s="113" t="s">
        <v>366</v>
      </c>
      <c r="I243" s="57"/>
    </row>
    <row r="244" spans="1:12" x14ac:dyDescent="0.2">
      <c r="A244" s="65"/>
      <c r="B244" s="1"/>
      <c r="C244" s="210"/>
      <c r="I244" s="57"/>
    </row>
    <row r="245" spans="1:12" x14ac:dyDescent="0.2">
      <c r="A245" s="674" t="str">
        <f>CHOOSE(COMP_TYPE,"Internal Compensation","External Compensation")</f>
        <v>External Compensation</v>
      </c>
      <c r="B245" s="1"/>
      <c r="C245" s="210"/>
      <c r="I245" s="57"/>
    </row>
    <row r="246" spans="1:12" x14ac:dyDescent="0.2">
      <c r="A246" s="66" t="s">
        <v>314</v>
      </c>
      <c r="D246" s="676" t="s">
        <v>828</v>
      </c>
      <c r="I246" s="57"/>
    </row>
    <row r="247" spans="1:12" x14ac:dyDescent="0.2">
      <c r="A247" s="56" t="s">
        <v>34</v>
      </c>
      <c r="B247" s="69">
        <f>CHOOSE(COMP_TYPE,D247,'Design Regulator'!D71*1000)</f>
        <v>12100</v>
      </c>
      <c r="C247" s="210" t="s">
        <v>116</v>
      </c>
      <c r="D247" s="677">
        <v>400000</v>
      </c>
      <c r="G247">
        <f>1/(Rcea1*2*Pi*(Fsw/2))-Cbw</f>
        <v>-1.9427381876209357E-11</v>
      </c>
      <c r="I247" s="57"/>
    </row>
    <row r="248" spans="1:12" x14ac:dyDescent="0.2">
      <c r="A248" s="56" t="s">
        <v>35</v>
      </c>
      <c r="B248" s="69">
        <f>CHOOSE(COMP_TYPE,Cc3ea_u,'Design Regulator'!D72*0.000000001)</f>
        <v>3.3000000000000006E-9</v>
      </c>
      <c r="C248" t="s">
        <v>24</v>
      </c>
      <c r="D248" s="678">
        <f>50*0.000000000001</f>
        <v>5.0000000000000002E-11</v>
      </c>
      <c r="I248" s="57"/>
    </row>
    <row r="249" spans="1:12" x14ac:dyDescent="0.2">
      <c r="A249" s="56" t="s">
        <v>36</v>
      </c>
      <c r="B249" s="69">
        <f>CHOOSE(COMP_TYPE,Cc4ea_u,'Design Regulator'!D73*0.000000000001)</f>
        <v>0</v>
      </c>
      <c r="C249" t="s">
        <v>24</v>
      </c>
      <c r="D249" s="678">
        <f>0.000000000001</f>
        <v>9.9999999999999998E-13</v>
      </c>
      <c r="I249" s="57"/>
    </row>
    <row r="250" spans="1:12" x14ac:dyDescent="0.2">
      <c r="A250" s="56"/>
      <c r="B250" s="48"/>
      <c r="C250"/>
      <c r="I250" s="57"/>
    </row>
    <row r="251" spans="1:12" x14ac:dyDescent="0.2">
      <c r="A251" s="66" t="s">
        <v>381</v>
      </c>
      <c r="C251"/>
      <c r="F251">
        <f>Cout</f>
        <v>2.0000000000000001E-4</v>
      </c>
      <c r="G251">
        <f>Cout_ESR</f>
        <v>1E-3</v>
      </c>
      <c r="I251" s="57"/>
    </row>
    <row r="252" spans="1:12" x14ac:dyDescent="0.2">
      <c r="A252" s="66" t="s">
        <v>37</v>
      </c>
      <c r="B252" s="360">
        <f>1/(2*Pi*Rcea1_u*Cc1ea_u)</f>
        <v>3985.8488172741386</v>
      </c>
      <c r="C252" t="s">
        <v>9</v>
      </c>
      <c r="D252" s="359"/>
      <c r="F252" s="113" t="s">
        <v>436</v>
      </c>
      <c r="I252" s="57"/>
    </row>
    <row r="253" spans="1:12" x14ac:dyDescent="0.2">
      <c r="A253" s="66" t="s">
        <v>707</v>
      </c>
      <c r="B253" s="360">
        <f>1/(2*Pi*Rcea1_u*(Cc1ea_u*(Cc2ea_u+Cbw)/(Cc1ea_u+Cc2ea_u+Cbw)))</f>
        <v>417208.98931314202</v>
      </c>
      <c r="C253" t="s">
        <v>9</v>
      </c>
      <c r="D253" s="359"/>
      <c r="F253" t="s">
        <v>132</v>
      </c>
      <c r="I253" s="57"/>
    </row>
    <row r="254" spans="1:12" x14ac:dyDescent="0.2">
      <c r="C254"/>
      <c r="D254" s="676" t="s">
        <v>828</v>
      </c>
      <c r="I254" s="57"/>
    </row>
    <row r="255" spans="1:12" x14ac:dyDescent="0.2">
      <c r="A255" s="56" t="s">
        <v>29</v>
      </c>
      <c r="B255" s="305">
        <f>IF(VOUT_setting=1,'Design Regulator'!E65*1000,2500000)</f>
        <v>2500000</v>
      </c>
      <c r="C255" s="210" t="s">
        <v>116</v>
      </c>
      <c r="E255" s="210"/>
      <c r="F255" s="113" t="s">
        <v>389</v>
      </c>
      <c r="I255" s="57"/>
    </row>
    <row r="256" spans="1:12" x14ac:dyDescent="0.2">
      <c r="A256" s="66" t="s">
        <v>40</v>
      </c>
      <c r="B256" s="349">
        <f>IF(Vout=Vref,100000000,Vref*B255/((Vout-Vref)))</f>
        <v>476190.47619047615</v>
      </c>
      <c r="C256" s="210" t="s">
        <v>116</v>
      </c>
      <c r="D256" s="625"/>
      <c r="E256" s="210"/>
      <c r="F256" s="113" t="s">
        <v>388</v>
      </c>
      <c r="I256" s="57"/>
    </row>
    <row r="257" spans="1:9" x14ac:dyDescent="0.2">
      <c r="A257" s="56" t="s">
        <v>136</v>
      </c>
      <c r="B257" s="68">
        <f>IF(Vout=Vref,"N/A",CHOOSE(VOUT_setting,'Standard Value Calculator'!S11,471000,792000,177000))</f>
        <v>471000</v>
      </c>
      <c r="C257" s="210" t="s">
        <v>116</v>
      </c>
      <c r="E257" s="210"/>
      <c r="F257" s="113" t="s">
        <v>387</v>
      </c>
      <c r="I257" s="57"/>
    </row>
    <row r="258" spans="1:9" x14ac:dyDescent="0.2">
      <c r="B258" s="685"/>
      <c r="C258" s="210"/>
      <c r="E258" s="210"/>
      <c r="F258" s="113"/>
      <c r="I258" s="57"/>
    </row>
    <row r="259" spans="1:9" x14ac:dyDescent="0.2">
      <c r="A259" t="s">
        <v>840</v>
      </c>
      <c r="B259" s="305">
        <v>20000</v>
      </c>
      <c r="C259" s="210" t="s">
        <v>116</v>
      </c>
      <c r="E259" s="210"/>
      <c r="F259" s="113"/>
      <c r="I259" s="57"/>
    </row>
    <row r="260" spans="1:9" x14ac:dyDescent="0.2">
      <c r="A260" t="s">
        <v>841</v>
      </c>
      <c r="B260" s="69">
        <v>3.67E-13</v>
      </c>
      <c r="C260" t="s">
        <v>24</v>
      </c>
      <c r="E260" s="210"/>
      <c r="F260" s="113"/>
      <c r="I260" s="57"/>
    </row>
    <row r="261" spans="1:9" x14ac:dyDescent="0.2">
      <c r="A261" t="s">
        <v>842</v>
      </c>
      <c r="B261" s="69">
        <v>2.1999999999999999E-12</v>
      </c>
      <c r="C261" t="s">
        <v>24</v>
      </c>
      <c r="E261" s="210"/>
      <c r="F261" s="113"/>
      <c r="I261" s="57"/>
    </row>
    <row r="262" spans="1:9" x14ac:dyDescent="0.2">
      <c r="B262" s="685"/>
      <c r="C262" s="210"/>
      <c r="E262" s="210"/>
      <c r="F262" s="113"/>
      <c r="I262" s="57"/>
    </row>
    <row r="263" spans="1:9" x14ac:dyDescent="0.2">
      <c r="A263" s="113" t="s">
        <v>836</v>
      </c>
      <c r="B263" s="687">
        <f>1/(2*Pi*Rff*Cff)</f>
        <v>21683234.778440922</v>
      </c>
      <c r="C263" s="113" t="s">
        <v>9</v>
      </c>
      <c r="E263" s="210"/>
      <c r="F263" s="113"/>
      <c r="I263" s="57"/>
    </row>
    <row r="264" spans="1:9" x14ac:dyDescent="0.2">
      <c r="A264" s="113" t="s">
        <v>837</v>
      </c>
      <c r="B264" s="687">
        <f>1/(2*Pi*Rfb1_*Cfb)</f>
        <v>28937.262413410252</v>
      </c>
      <c r="C264" s="113" t="s">
        <v>9</v>
      </c>
      <c r="E264" s="210"/>
      <c r="F264" s="113"/>
      <c r="I264" s="57"/>
    </row>
    <row r="265" spans="1:9" x14ac:dyDescent="0.2">
      <c r="A265" s="113" t="s">
        <v>838</v>
      </c>
      <c r="B265" s="687">
        <f>1/(2*Pi*Rfb2_u*Cfb)</f>
        <v>153594.8111115194</v>
      </c>
      <c r="C265" s="113" t="s">
        <v>9</v>
      </c>
      <c r="E265" s="210"/>
      <c r="F265" s="113"/>
      <c r="I265" s="57"/>
    </row>
    <row r="266" spans="1:9" x14ac:dyDescent="0.2">
      <c r="A266" s="113" t="s">
        <v>839</v>
      </c>
      <c r="B266" s="687">
        <f>1/(2*Pi*Rff*Cfb)</f>
        <v>3617157.8016762817</v>
      </c>
      <c r="C266" s="113" t="s">
        <v>9</v>
      </c>
      <c r="E266" s="210"/>
      <c r="F266" s="113"/>
      <c r="I266" s="57"/>
    </row>
    <row r="267" spans="1:9" x14ac:dyDescent="0.2">
      <c r="A267" s="113" t="s">
        <v>848</v>
      </c>
      <c r="B267" s="687">
        <f>1/(2*Pi*Cff*Rfb1_)</f>
        <v>173465.8782275274</v>
      </c>
      <c r="C267" s="113" t="s">
        <v>9</v>
      </c>
      <c r="E267" s="210"/>
      <c r="F267" s="113"/>
      <c r="I267" s="57"/>
    </row>
    <row r="268" spans="1:9" x14ac:dyDescent="0.2">
      <c r="A268" t="s">
        <v>843</v>
      </c>
      <c r="B268" s="685">
        <f>2*Pi*Cfb*(Rff+Rfb1_)/(Rff*Rfb1_)</f>
        <v>6.96679586064E-16</v>
      </c>
      <c r="C268" s="113" t="s">
        <v>9</v>
      </c>
      <c r="E268" s="210"/>
      <c r="F268" s="113"/>
      <c r="I268" s="57"/>
    </row>
    <row r="269" spans="1:9" x14ac:dyDescent="0.2">
      <c r="B269" s="685"/>
      <c r="C269" s="113"/>
      <c r="E269" s="210"/>
      <c r="F269" s="113"/>
      <c r="I269" s="57"/>
    </row>
    <row r="270" spans="1:9" x14ac:dyDescent="0.2">
      <c r="B270" s="685"/>
      <c r="C270" s="113"/>
      <c r="E270" s="210"/>
      <c r="F270" s="113"/>
      <c r="I270" s="57"/>
    </row>
    <row r="271" spans="1:9" ht="13.5" thickBot="1" x14ac:dyDescent="0.25">
      <c r="A271" s="371"/>
      <c r="B271" s="686"/>
      <c r="C271" s="71"/>
      <c r="D271" s="61"/>
      <c r="E271" s="71"/>
      <c r="F271" s="61"/>
      <c r="G271" s="61"/>
      <c r="H271" s="61"/>
      <c r="I271" s="62"/>
    </row>
    <row r="272" spans="1:9" x14ac:dyDescent="0.2">
      <c r="A272" s="1"/>
      <c r="B272" s="46"/>
      <c r="C272" s="46"/>
      <c r="E272" s="46"/>
    </row>
    <row r="273" spans="1:9" x14ac:dyDescent="0.2">
      <c r="A273" s="66" t="s">
        <v>169</v>
      </c>
      <c r="B273" s="1"/>
      <c r="C273"/>
    </row>
    <row r="274" spans="1:9" x14ac:dyDescent="0.2">
      <c r="A274" s="66" t="s">
        <v>170</v>
      </c>
      <c r="B274" s="2">
        <v>0</v>
      </c>
      <c r="C274" s="210" t="s">
        <v>116</v>
      </c>
      <c r="D274" s="113" t="s">
        <v>262</v>
      </c>
    </row>
    <row r="275" spans="1:9" x14ac:dyDescent="0.2">
      <c r="A275" s="66" t="s">
        <v>173</v>
      </c>
      <c r="B275" s="369" t="e">
        <f>0.00000002*Fsw*0.6*4/Iripple1</f>
        <v>#NAME?</v>
      </c>
      <c r="C275" s="46"/>
      <c r="E275" s="46"/>
    </row>
    <row r="276" spans="1:9" x14ac:dyDescent="0.2">
      <c r="A276" s="66" t="s">
        <v>172</v>
      </c>
      <c r="B276" s="369" t="e">
        <f>_Don2*RdsonTop+Doff2*RdsonBot</f>
        <v>#NAME?</v>
      </c>
      <c r="C276" s="46"/>
      <c r="E276" s="46"/>
    </row>
    <row r="277" spans="1:9" x14ac:dyDescent="0.2">
      <c r="A277" s="66" t="s">
        <v>171</v>
      </c>
      <c r="B277" s="369" t="e">
        <f>B278*Vin^2*Fsw/2/(((Iripple1/SQRT(3))^2))</f>
        <v>#NAME?</v>
      </c>
      <c r="C277" s="46"/>
      <c r="E277" s="46"/>
    </row>
    <row r="278" spans="1:9" x14ac:dyDescent="0.2">
      <c r="A278" s="66" t="s">
        <v>174</v>
      </c>
      <c r="B278" s="370">
        <v>5.0000000000000001E-9</v>
      </c>
      <c r="C278" s="46"/>
      <c r="E278" s="46"/>
    </row>
    <row r="279" spans="1:9" x14ac:dyDescent="0.2">
      <c r="A279" s="2"/>
      <c r="B279" s="370"/>
      <c r="C279" s="46"/>
      <c r="E279" s="46"/>
    </row>
    <row r="280" spans="1:9" ht="16.5" thickBot="1" x14ac:dyDescent="0.3">
      <c r="A280" s="509" t="s">
        <v>764</v>
      </c>
    </row>
    <row r="281" spans="1:9" x14ac:dyDescent="0.2">
      <c r="A281" s="361"/>
      <c r="B281" s="362"/>
      <c r="C281" s="363"/>
      <c r="D281" s="364"/>
      <c r="E281" s="63"/>
      <c r="F281" s="63"/>
      <c r="G281" s="63"/>
      <c r="H281" s="63"/>
      <c r="I281" s="64"/>
    </row>
    <row r="282" spans="1:9" x14ac:dyDescent="0.2">
      <c r="A282" s="113" t="s">
        <v>771</v>
      </c>
      <c r="B282" s="397">
        <f>20*LOG10(Vinripple2*1000000)</f>
        <v>92.071785793915453</v>
      </c>
      <c r="C282" s="1" t="s">
        <v>770</v>
      </c>
      <c r="E282" s="46"/>
      <c r="I282" s="57"/>
    </row>
    <row r="283" spans="1:9" x14ac:dyDescent="0.2">
      <c r="A283" s="113" t="s">
        <v>772</v>
      </c>
      <c r="B283" s="359" t="e">
        <f>CHOOSE(OSC,35,50)</f>
        <v>#VALUE!</v>
      </c>
      <c r="C283" s="1" t="s">
        <v>770</v>
      </c>
      <c r="D283" s="113" t="s">
        <v>850</v>
      </c>
      <c r="E283" s="46"/>
      <c r="I283" s="57"/>
    </row>
    <row r="284" spans="1:9" x14ac:dyDescent="0.2">
      <c r="A284" s="113" t="s">
        <v>773</v>
      </c>
      <c r="B284" s="397" t="e">
        <f>VinRipple_dBuV-B283+3</f>
        <v>#VALUE!</v>
      </c>
      <c r="C284" s="1" t="s">
        <v>770</v>
      </c>
      <c r="D284" s="113" t="s">
        <v>851</v>
      </c>
      <c r="E284" s="46"/>
      <c r="I284" s="57"/>
    </row>
    <row r="285" spans="1:9" x14ac:dyDescent="0.2">
      <c r="A285" s="113" t="s">
        <v>774</v>
      </c>
      <c r="B285" s="647" t="e">
        <f>Fsw/(POWER(10,Attn_req/40))</f>
        <v>#VALUE!</v>
      </c>
      <c r="C285" s="46" t="s">
        <v>9</v>
      </c>
      <c r="D285" s="113" t="s">
        <v>852</v>
      </c>
      <c r="E285" s="46"/>
      <c r="I285" s="57"/>
    </row>
    <row r="286" spans="1:9" x14ac:dyDescent="0.2">
      <c r="A286" s="113"/>
      <c r="B286" s="370"/>
      <c r="C286" s="46"/>
      <c r="E286" s="46"/>
      <c r="I286" s="57"/>
    </row>
    <row r="287" spans="1:9" x14ac:dyDescent="0.2">
      <c r="A287" s="113" t="s">
        <v>775</v>
      </c>
      <c r="B287" s="358">
        <f>'Design Regulator'!E49</f>
        <v>0.68</v>
      </c>
      <c r="C287" s="370" t="s">
        <v>10</v>
      </c>
      <c r="D287" s="113" t="s">
        <v>853</v>
      </c>
      <c r="E287" s="46"/>
      <c r="I287" s="57"/>
    </row>
    <row r="288" spans="1:9" x14ac:dyDescent="0.2">
      <c r="A288" s="113"/>
      <c r="B288" s="397"/>
      <c r="C288" s="46"/>
      <c r="E288" s="46"/>
      <c r="I288" s="57"/>
    </row>
    <row r="289" spans="1:9" x14ac:dyDescent="0.2">
      <c r="A289" s="113" t="s">
        <v>767</v>
      </c>
      <c r="B289" s="113" t="e">
        <f>CHOOSE(OSC,20,100)</f>
        <v>#VALUE!</v>
      </c>
      <c r="C289" s="46"/>
      <c r="E289" s="46"/>
      <c r="I289" s="57"/>
    </row>
    <row r="290" spans="1:9" x14ac:dyDescent="0.2">
      <c r="A290" s="113" t="s">
        <v>768</v>
      </c>
      <c r="B290" s="113">
        <v>3</v>
      </c>
      <c r="C290" s="46"/>
      <c r="E290" s="46"/>
      <c r="F290" s="113" t="s">
        <v>855</v>
      </c>
      <c r="I290" s="57"/>
    </row>
    <row r="291" spans="1:9" x14ac:dyDescent="0.2">
      <c r="A291" s="113"/>
      <c r="B291" s="397"/>
      <c r="C291" s="46"/>
      <c r="E291" s="46"/>
      <c r="I291" s="57"/>
    </row>
    <row r="292" spans="1:9" x14ac:dyDescent="0.2">
      <c r="A292" s="113" t="s">
        <v>806</v>
      </c>
      <c r="B292" s="397" t="e">
        <f>1000000/(LinfilterPssv*POWER(2*Pi*Fx_infilter,2))</f>
        <v>#VALUE!</v>
      </c>
      <c r="C292" s="46" t="s">
        <v>23</v>
      </c>
      <c r="D292">
        <f>'Design Input Filter'!G9*0.000001</f>
        <v>6.8E-8</v>
      </c>
      <c r="E292" s="46"/>
      <c r="I292" s="57"/>
    </row>
    <row r="293" spans="1:9" ht="15" x14ac:dyDescent="0.25">
      <c r="A293" s="113" t="s">
        <v>765</v>
      </c>
      <c r="B293" s="397" t="e">
        <f>1000000/(L_infilter*Gop_AEF*0.000001*POWER(2*Pi*Fx_infilter,2))</f>
        <v>#VALUE!</v>
      </c>
      <c r="C293" s="46" t="s">
        <v>23</v>
      </c>
      <c r="D293" s="660" t="e">
        <f>'Design Regulator'!#REF!*0.000001</f>
        <v>#REF!</v>
      </c>
      <c r="E293" s="46"/>
      <c r="I293" s="57"/>
    </row>
    <row r="294" spans="1:9" x14ac:dyDescent="0.2">
      <c r="A294" s="113"/>
      <c r="B294" s="397"/>
      <c r="C294" s="46"/>
      <c r="E294" s="46"/>
      <c r="I294" s="57"/>
    </row>
    <row r="295" spans="1:9" x14ac:dyDescent="0.2">
      <c r="A295" s="113" t="s">
        <v>769</v>
      </c>
      <c r="B295" s="397" t="e">
        <f>CHOOSE(OSC,0,Cinj_AEF/nAEF)</f>
        <v>#VALUE!</v>
      </c>
      <c r="C295" s="46" t="s">
        <v>23</v>
      </c>
      <c r="D295" t="e">
        <f>'Design Regulator'!#REF!*0.000001</f>
        <v>#REF!</v>
      </c>
      <c r="E295" s="46"/>
      <c r="I295" s="57"/>
    </row>
    <row r="296" spans="1:9" x14ac:dyDescent="0.2">
      <c r="A296" s="113" t="s">
        <v>766</v>
      </c>
      <c r="B296" s="397" t="e">
        <f>CHOOSE(OSC,SQRT(L_infilter*Gop_AEF/(Cinj_AEF)),1.09*SQRT(L_infilter*Gop_AEF/Cinj_AEF))</f>
        <v>#VALUE!</v>
      </c>
      <c r="C296" s="370" t="s">
        <v>138</v>
      </c>
      <c r="D296" t="e">
        <f>'Design Regulator'!#REF!</f>
        <v>#REF!</v>
      </c>
      <c r="E296" s="46"/>
      <c r="I296" s="57"/>
    </row>
    <row r="297" spans="1:9" x14ac:dyDescent="0.2">
      <c r="A297" s="113" t="s">
        <v>776</v>
      </c>
      <c r="B297" s="113" t="e">
        <f>CHOOSE(OSC,5,1)</f>
        <v>#VALUE!</v>
      </c>
      <c r="C297" s="370" t="s">
        <v>141</v>
      </c>
      <c r="D297" t="e">
        <f>B297*0.000000001</f>
        <v>#VALUE!</v>
      </c>
      <c r="E297" s="46"/>
      <c r="F297" s="113" t="s">
        <v>854</v>
      </c>
      <c r="I297" s="57"/>
    </row>
    <row r="298" spans="1:9" x14ac:dyDescent="0.2">
      <c r="A298" s="113" t="s">
        <v>777</v>
      </c>
      <c r="B298" s="113" t="e">
        <f>CHOOSE(OSC,200,1000)</f>
        <v>#VALUE!</v>
      </c>
      <c r="C298" s="370" t="s">
        <v>138</v>
      </c>
      <c r="E298" s="46"/>
      <c r="I298" s="57"/>
    </row>
    <row r="299" spans="1:9" x14ac:dyDescent="0.2">
      <c r="A299" s="113" t="s">
        <v>778</v>
      </c>
      <c r="B299" s="113" t="e">
        <f>Gop_AEF*B297</f>
        <v>#VALUE!</v>
      </c>
      <c r="C299" s="370" t="s">
        <v>141</v>
      </c>
      <c r="D299" t="e">
        <f>B299*0.000000001</f>
        <v>#VALUE!</v>
      </c>
      <c r="E299" s="46"/>
      <c r="I299" s="57"/>
    </row>
    <row r="300" spans="1:9" x14ac:dyDescent="0.2">
      <c r="A300" s="113"/>
      <c r="B300" s="113"/>
      <c r="C300" s="370"/>
      <c r="E300" s="46"/>
      <c r="I300" s="57"/>
    </row>
    <row r="301" spans="1:9" x14ac:dyDescent="0.2">
      <c r="A301" s="113" t="s">
        <v>908</v>
      </c>
      <c r="B301" s="113">
        <f>SQRT(L_infilter*0.000001/Cin)</f>
        <v>0.15055453054181619</v>
      </c>
      <c r="C301" s="370"/>
      <c r="D301" s="4">
        <f>'Standard Value Calculator'!S14</f>
        <v>0.15</v>
      </c>
      <c r="E301" s="46"/>
      <c r="I301" s="57"/>
    </row>
    <row r="302" spans="1:9" x14ac:dyDescent="0.2">
      <c r="A302" s="2"/>
      <c r="B302" s="113"/>
      <c r="C302" s="46"/>
      <c r="E302" s="46"/>
      <c r="I302" s="57"/>
    </row>
    <row r="303" spans="1:9" x14ac:dyDescent="0.2">
      <c r="A303" s="2" t="s">
        <v>785</v>
      </c>
      <c r="B303" s="113">
        <f>'Input Filter Calculations'!W97</f>
        <v>0</v>
      </c>
      <c r="C303" s="1" t="s">
        <v>770</v>
      </c>
      <c r="E303" s="46"/>
      <c r="I303" s="57"/>
    </row>
    <row r="304" spans="1:9" x14ac:dyDescent="0.2">
      <c r="A304" s="2" t="s">
        <v>802</v>
      </c>
      <c r="B304" s="113">
        <f>VinRipple_dBuV+B303</f>
        <v>92.071785793915453</v>
      </c>
      <c r="C304" s="1" t="s">
        <v>770</v>
      </c>
      <c r="E304" s="46"/>
      <c r="I304" s="57"/>
    </row>
    <row r="305" spans="1:9" ht="13.5" thickBot="1" x14ac:dyDescent="0.25">
      <c r="A305" s="371"/>
      <c r="B305" s="371"/>
      <c r="C305" s="71"/>
      <c r="D305" s="61"/>
      <c r="E305" s="71"/>
      <c r="F305" s="61"/>
      <c r="G305" s="61"/>
      <c r="H305" s="61"/>
      <c r="I305" s="62"/>
    </row>
    <row r="306" spans="1:9" x14ac:dyDescent="0.2">
      <c r="A306" s="1"/>
      <c r="B306" s="46"/>
      <c r="C306" s="46"/>
      <c r="E306" s="46"/>
    </row>
    <row r="307" spans="1:9" ht="16.5" thickBot="1" x14ac:dyDescent="0.3">
      <c r="A307" s="91" t="s">
        <v>190</v>
      </c>
    </row>
    <row r="308" spans="1:9" x14ac:dyDescent="0.2">
      <c r="A308" s="208" t="s">
        <v>586</v>
      </c>
      <c r="B308" s="63">
        <v>0</v>
      </c>
      <c r="C308" s="288"/>
      <c r="D308" s="63"/>
      <c r="E308" s="63"/>
      <c r="F308" s="63"/>
      <c r="G308" s="63"/>
      <c r="H308" s="63"/>
      <c r="I308" s="64"/>
    </row>
    <row r="309" spans="1:9" x14ac:dyDescent="0.2">
      <c r="A309" s="66" t="s">
        <v>55</v>
      </c>
      <c r="I309" s="57"/>
    </row>
    <row r="310" spans="1:9" x14ac:dyDescent="0.2">
      <c r="A310" s="56" t="s">
        <v>83</v>
      </c>
      <c r="B310" s="29">
        <f>'Design Regulator'!E13</f>
        <v>25</v>
      </c>
      <c r="C310" s="113" t="s">
        <v>223</v>
      </c>
      <c r="D310" t="s">
        <v>96</v>
      </c>
      <c r="I310" s="57"/>
    </row>
    <row r="311" spans="1:9" x14ac:dyDescent="0.2">
      <c r="A311" s="66" t="s">
        <v>58</v>
      </c>
      <c r="C311"/>
      <c r="I311" s="57"/>
    </row>
    <row r="312" spans="1:9" x14ac:dyDescent="0.2">
      <c r="A312" s="56" t="s">
        <v>82</v>
      </c>
      <c r="B312" s="59">
        <f>4000/1000000</f>
        <v>4.0000000000000001E-3</v>
      </c>
      <c r="C312" s="113" t="s">
        <v>271</v>
      </c>
      <c r="D312" s="113" t="s">
        <v>465</v>
      </c>
      <c r="I312" s="57"/>
    </row>
    <row r="313" spans="1:9" ht="15.75" x14ac:dyDescent="0.3">
      <c r="A313" s="209" t="s">
        <v>462</v>
      </c>
      <c r="B313" s="59">
        <v>20</v>
      </c>
      <c r="C313" s="113" t="s">
        <v>202</v>
      </c>
      <c r="D313" s="113" t="s">
        <v>463</v>
      </c>
      <c r="I313" s="57"/>
    </row>
    <row r="314" spans="1:9" x14ac:dyDescent="0.2">
      <c r="A314" s="56" t="s">
        <v>86</v>
      </c>
      <c r="B314" s="29">
        <f>RCinEsr</f>
        <v>1E-3</v>
      </c>
      <c r="C314" s="210" t="s">
        <v>116</v>
      </c>
      <c r="D314" s="113" t="s">
        <v>464</v>
      </c>
      <c r="I314" s="57"/>
    </row>
    <row r="315" spans="1:9" x14ac:dyDescent="0.2">
      <c r="A315" s="56"/>
      <c r="B315" s="29"/>
      <c r="C315" s="210"/>
      <c r="D315" s="113"/>
      <c r="I315" s="57"/>
    </row>
    <row r="316" spans="1:9" x14ac:dyDescent="0.2">
      <c r="A316" s="65" t="s">
        <v>666</v>
      </c>
      <c r="C316"/>
      <c r="I316" s="57"/>
    </row>
    <row r="317" spans="1:9" x14ac:dyDescent="0.2">
      <c r="A317" s="209" t="s">
        <v>640</v>
      </c>
      <c r="B317" s="59">
        <v>5</v>
      </c>
      <c r="C317" t="s">
        <v>0</v>
      </c>
      <c r="D317" s="350" t="s">
        <v>664</v>
      </c>
      <c r="I317" s="57"/>
    </row>
    <row r="318" spans="1:9" x14ac:dyDescent="0.2">
      <c r="A318" s="66" t="s">
        <v>112</v>
      </c>
      <c r="C318"/>
      <c r="I318" s="57"/>
    </row>
    <row r="319" spans="1:9" x14ac:dyDescent="0.2">
      <c r="A319" s="56" t="s">
        <v>61</v>
      </c>
      <c r="B319" s="59">
        <v>1</v>
      </c>
      <c r="C319" s="210" t="s">
        <v>116</v>
      </c>
      <c r="D319" s="113" t="s">
        <v>390</v>
      </c>
      <c r="I319" s="57"/>
    </row>
    <row r="320" spans="1:9" x14ac:dyDescent="0.2">
      <c r="A320" s="56" t="s">
        <v>126</v>
      </c>
      <c r="B320" s="59">
        <v>0.5</v>
      </c>
      <c r="C320" s="210" t="s">
        <v>116</v>
      </c>
      <c r="D320" s="113" t="s">
        <v>391</v>
      </c>
      <c r="I320" s="57"/>
    </row>
    <row r="321" spans="1:9" x14ac:dyDescent="0.2">
      <c r="A321" s="66" t="s">
        <v>113</v>
      </c>
      <c r="C321"/>
      <c r="I321" s="57"/>
    </row>
    <row r="322" spans="1:9" x14ac:dyDescent="0.2">
      <c r="A322" s="56" t="s">
        <v>60</v>
      </c>
      <c r="B322" s="105">
        <v>1</v>
      </c>
      <c r="C322" s="210" t="s">
        <v>116</v>
      </c>
      <c r="D322" s="113" t="s">
        <v>392</v>
      </c>
      <c r="I322" s="57"/>
    </row>
    <row r="323" spans="1:9" x14ac:dyDescent="0.2">
      <c r="A323" s="56" t="s">
        <v>125</v>
      </c>
      <c r="B323" s="59">
        <v>0.5</v>
      </c>
      <c r="C323" s="210" t="s">
        <v>116</v>
      </c>
      <c r="D323" s="113" t="s">
        <v>393</v>
      </c>
      <c r="I323" s="57"/>
    </row>
    <row r="324" spans="1:9" x14ac:dyDescent="0.2">
      <c r="A324" s="66" t="s">
        <v>62</v>
      </c>
      <c r="C324"/>
      <c r="I324" s="57"/>
    </row>
    <row r="325" spans="1:9" x14ac:dyDescent="0.2">
      <c r="A325" s="56" t="s">
        <v>62</v>
      </c>
      <c r="B325" s="67">
        <v>1.4E-8</v>
      </c>
      <c r="C325" t="s">
        <v>133</v>
      </c>
      <c r="D325" t="s">
        <v>98</v>
      </c>
      <c r="G325" s="350" t="s">
        <v>736</v>
      </c>
      <c r="I325" s="57"/>
    </row>
    <row r="326" spans="1:9" x14ac:dyDescent="0.2">
      <c r="A326" s="66" t="s">
        <v>52</v>
      </c>
      <c r="C326"/>
      <c r="I326" s="57"/>
    </row>
    <row r="327" spans="1:9" x14ac:dyDescent="0.2">
      <c r="A327" s="56" t="s">
        <v>128</v>
      </c>
      <c r="B327" s="59">
        <v>2.2000000000000001E-6</v>
      </c>
      <c r="C327" t="s">
        <v>1</v>
      </c>
      <c r="D327" s="113" t="s">
        <v>665</v>
      </c>
      <c r="I327" s="57"/>
    </row>
    <row r="328" spans="1:9" x14ac:dyDescent="0.2">
      <c r="A328" s="56"/>
      <c r="C328"/>
      <c r="I328" s="57"/>
    </row>
    <row r="329" spans="1:9" x14ac:dyDescent="0.2">
      <c r="A329" s="66" t="s">
        <v>663</v>
      </c>
      <c r="B329" s="2" t="s">
        <v>512</v>
      </c>
      <c r="C329"/>
      <c r="D329" s="2" t="s">
        <v>513</v>
      </c>
      <c r="I329" s="57"/>
    </row>
    <row r="330" spans="1:9" x14ac:dyDescent="0.2">
      <c r="A330" s="209" t="s">
        <v>514</v>
      </c>
      <c r="B330" s="29">
        <f>'Design Regulator'!E82/1000</f>
        <v>1.2E-2</v>
      </c>
      <c r="C330" s="210" t="s">
        <v>116</v>
      </c>
      <c r="D330" s="29">
        <f>'Design Regulator'!F82/1000</f>
        <v>4.0999999999999995E-3</v>
      </c>
      <c r="E330" s="210" t="s">
        <v>116</v>
      </c>
      <c r="F330" s="113" t="s">
        <v>668</v>
      </c>
      <c r="I330" s="57"/>
    </row>
    <row r="331" spans="1:9" x14ac:dyDescent="0.2">
      <c r="A331" s="56" t="s">
        <v>79</v>
      </c>
      <c r="B331" s="59">
        <f>4000/1000000</f>
        <v>4.0000000000000001E-3</v>
      </c>
      <c r="C331" s="113" t="s">
        <v>271</v>
      </c>
      <c r="D331" s="395">
        <v>4.0000000000000001E-3</v>
      </c>
      <c r="E331" s="113" t="s">
        <v>271</v>
      </c>
      <c r="F331" s="113" t="s">
        <v>394</v>
      </c>
      <c r="I331" s="57"/>
    </row>
    <row r="332" spans="1:9" x14ac:dyDescent="0.2">
      <c r="A332" s="209" t="s">
        <v>122</v>
      </c>
      <c r="B332" s="72">
        <f>'Design Regulator'!E83/1000000000</f>
        <v>8.0000000000000005E-9</v>
      </c>
      <c r="C332" t="s">
        <v>134</v>
      </c>
      <c r="D332" s="72">
        <f>'Design Regulator'!F83/1000000000</f>
        <v>2.4999999999999999E-8</v>
      </c>
      <c r="E332" t="s">
        <v>134</v>
      </c>
      <c r="F332" s="113" t="s">
        <v>667</v>
      </c>
      <c r="I332" s="57"/>
    </row>
    <row r="333" spans="1:9" x14ac:dyDescent="0.2">
      <c r="A333" s="209" t="s">
        <v>515</v>
      </c>
      <c r="B333" s="72">
        <f>'Design Regulator'!E84/1000000000</f>
        <v>2.8999999999999999E-9</v>
      </c>
      <c r="C333" t="s">
        <v>134</v>
      </c>
      <c r="D333" s="72">
        <f>'Design Regulator'!F84/1000000000</f>
        <v>8.9999999999999995E-9</v>
      </c>
      <c r="E333" t="s">
        <v>134</v>
      </c>
      <c r="F333" t="s">
        <v>121</v>
      </c>
      <c r="I333" s="57"/>
    </row>
    <row r="334" spans="1:9" x14ac:dyDescent="0.2">
      <c r="A334" s="209" t="s">
        <v>516</v>
      </c>
      <c r="B334" s="72">
        <f>'Design Regulator'!E85/1000000000</f>
        <v>3.1E-9</v>
      </c>
      <c r="C334" t="s">
        <v>134</v>
      </c>
      <c r="D334" s="72">
        <f>'Design Regulator'!F85/1000000000</f>
        <v>8.6999999999999985E-9</v>
      </c>
      <c r="E334" t="s">
        <v>134</v>
      </c>
      <c r="F334" t="s">
        <v>719</v>
      </c>
      <c r="I334" s="57"/>
    </row>
    <row r="335" spans="1:9" x14ac:dyDescent="0.2">
      <c r="A335" s="585" t="s">
        <v>715</v>
      </c>
      <c r="B335" s="72">
        <f>'Design Regulator'!E86/1000000000</f>
        <v>0</v>
      </c>
      <c r="C335" t="s">
        <v>134</v>
      </c>
      <c r="D335" s="72">
        <f>'Design Regulator'!F86/1000000000</f>
        <v>2.9999999999999997E-8</v>
      </c>
      <c r="E335" t="s">
        <v>134</v>
      </c>
      <c r="F335" s="113" t="s">
        <v>717</v>
      </c>
      <c r="I335" s="57"/>
    </row>
    <row r="336" spans="1:9" x14ac:dyDescent="0.2">
      <c r="A336" s="585" t="s">
        <v>716</v>
      </c>
      <c r="B336" s="72">
        <f>'Design Regulator'!E87/1000000000000</f>
        <v>1.16E-10</v>
      </c>
      <c r="C336" t="s">
        <v>24</v>
      </c>
      <c r="D336" s="72">
        <f>'Design Regulator'!F87/1000000000000</f>
        <v>3.6599999999999998E-10</v>
      </c>
      <c r="E336" t="s">
        <v>24</v>
      </c>
      <c r="F336" s="113" t="s">
        <v>718</v>
      </c>
      <c r="I336" s="57"/>
    </row>
    <row r="337" spans="1:9" x14ac:dyDescent="0.2">
      <c r="A337" s="209" t="s">
        <v>517</v>
      </c>
      <c r="B337" s="29">
        <f>'Design Regulator'!E88</f>
        <v>1.2</v>
      </c>
      <c r="C337" s="210" t="s">
        <v>116</v>
      </c>
      <c r="D337" s="29">
        <f>'Design Regulator'!F88</f>
        <v>1.2</v>
      </c>
      <c r="E337" s="210" t="s">
        <v>116</v>
      </c>
      <c r="F337" t="s">
        <v>100</v>
      </c>
      <c r="I337" s="57"/>
    </row>
    <row r="338" spans="1:9" x14ac:dyDescent="0.2">
      <c r="A338" s="209" t="s">
        <v>518</v>
      </c>
      <c r="B338" s="29">
        <f>'Design Regulator'!E89</f>
        <v>55</v>
      </c>
      <c r="C338" t="s">
        <v>66</v>
      </c>
      <c r="D338" s="29">
        <f>'Design Regulator'!F89</f>
        <v>178</v>
      </c>
      <c r="E338" t="s">
        <v>66</v>
      </c>
      <c r="F338" s="113" t="s">
        <v>670</v>
      </c>
      <c r="I338" s="57"/>
    </row>
    <row r="339" spans="1:9" x14ac:dyDescent="0.2">
      <c r="A339" s="209" t="s">
        <v>519</v>
      </c>
      <c r="B339" s="29">
        <f>'Design Regulator'!E90</f>
        <v>3.1</v>
      </c>
      <c r="C339" t="s">
        <v>0</v>
      </c>
      <c r="D339" s="29">
        <f>'Design Regulator'!F90</f>
        <v>3</v>
      </c>
      <c r="E339" t="s">
        <v>0</v>
      </c>
      <c r="F339" s="113" t="s">
        <v>671</v>
      </c>
      <c r="I339" s="57"/>
    </row>
    <row r="340" spans="1:9" x14ac:dyDescent="0.2">
      <c r="A340" s="209" t="s">
        <v>520</v>
      </c>
      <c r="B340" s="376">
        <f>Vth_Q1+(Iout/Number_of_Phases)/Gfs_Q1</f>
        <v>3.2454545454545456</v>
      </c>
      <c r="C340" t="s">
        <v>0</v>
      </c>
      <c r="D340" s="376">
        <f>Vth_Q2+(Iout/Number_of_Phases)/Gfs_Q2</f>
        <v>3.0449438202247192</v>
      </c>
      <c r="E340" t="s">
        <v>0</v>
      </c>
      <c r="F340" s="113" t="s">
        <v>672</v>
      </c>
      <c r="I340" s="57"/>
    </row>
    <row r="341" spans="1:9" x14ac:dyDescent="0.2">
      <c r="A341" s="56"/>
      <c r="C341"/>
      <c r="F341" s="113"/>
      <c r="I341" s="57"/>
    </row>
    <row r="342" spans="1:9" x14ac:dyDescent="0.2">
      <c r="A342" s="209" t="s">
        <v>522</v>
      </c>
      <c r="B342" s="29">
        <f>'Design Regulator'!E91</f>
        <v>0.7</v>
      </c>
      <c r="C342" t="s">
        <v>0</v>
      </c>
      <c r="D342" s="29">
        <f>'Design Regulator'!F91</f>
        <v>0.7</v>
      </c>
      <c r="E342" t="s">
        <v>0</v>
      </c>
      <c r="F342" s="113" t="s">
        <v>521</v>
      </c>
      <c r="I342" s="57"/>
    </row>
    <row r="343" spans="1:9" x14ac:dyDescent="0.2">
      <c r="A343" s="209" t="s">
        <v>482</v>
      </c>
      <c r="B343" s="72"/>
      <c r="C343" t="s">
        <v>134</v>
      </c>
      <c r="D343" s="72">
        <f>'Design Regulator'!F92/1000000000</f>
        <v>5.8999999999999999E-8</v>
      </c>
      <c r="E343" t="s">
        <v>134</v>
      </c>
      <c r="F343" t="s">
        <v>110</v>
      </c>
      <c r="I343" s="57"/>
    </row>
    <row r="344" spans="1:9" x14ac:dyDescent="0.2">
      <c r="A344" s="209" t="s">
        <v>483</v>
      </c>
      <c r="B344" s="72">
        <v>4.0000000000000001E-8</v>
      </c>
      <c r="C344" t="s">
        <v>133</v>
      </c>
      <c r="D344" s="72">
        <v>4.0000000000000001E-8</v>
      </c>
      <c r="E344" t="s">
        <v>133</v>
      </c>
      <c r="F344" t="s">
        <v>106</v>
      </c>
      <c r="I344" s="57"/>
    </row>
    <row r="345" spans="1:9" x14ac:dyDescent="0.2">
      <c r="A345" s="209" t="s">
        <v>579</v>
      </c>
      <c r="B345" s="29">
        <f>'Design Regulator'!E93</f>
        <v>42</v>
      </c>
      <c r="C345" s="113" t="s">
        <v>202</v>
      </c>
      <c r="D345" s="29">
        <f>'Design Regulator'!F93</f>
        <v>40.700000000000003</v>
      </c>
      <c r="E345" s="113" t="s">
        <v>202</v>
      </c>
      <c r="F345" s="113" t="s">
        <v>669</v>
      </c>
      <c r="I345" s="57"/>
    </row>
    <row r="346" spans="1:9" x14ac:dyDescent="0.2">
      <c r="A346" s="209"/>
      <c r="B346" s="29"/>
      <c r="C346" s="113"/>
      <c r="D346" s="29"/>
      <c r="E346" s="113"/>
      <c r="I346" s="57"/>
    </row>
    <row r="347" spans="1:9" x14ac:dyDescent="0.2">
      <c r="A347" s="209"/>
      <c r="B347" s="113"/>
      <c r="C347" s="113"/>
      <c r="D347" s="113"/>
      <c r="E347" s="113"/>
      <c r="I347" s="57"/>
    </row>
    <row r="348" spans="1:9" x14ac:dyDescent="0.2">
      <c r="A348" s="209"/>
      <c r="B348" s="29"/>
      <c r="C348" s="113"/>
      <c r="D348" s="29"/>
      <c r="E348" s="113"/>
      <c r="I348" s="57"/>
    </row>
    <row r="349" spans="1:9" x14ac:dyDescent="0.2">
      <c r="A349" s="66" t="s">
        <v>506</v>
      </c>
      <c r="B349" s="472"/>
      <c r="D349" s="472"/>
      <c r="I349" s="57"/>
    </row>
    <row r="350" spans="1:9" x14ac:dyDescent="0.2">
      <c r="A350" s="56" t="s">
        <v>192</v>
      </c>
      <c r="B350" s="29">
        <f>'Design Regulator'!F96</f>
        <v>0</v>
      </c>
      <c r="C350" t="s">
        <v>0</v>
      </c>
      <c r="D350" s="29" t="e">
        <f>'Design Regulator'!#REF!</f>
        <v>#REF!</v>
      </c>
      <c r="E350" t="s">
        <v>0</v>
      </c>
      <c r="F350" t="s">
        <v>195</v>
      </c>
      <c r="I350" s="57"/>
    </row>
    <row r="351" spans="1:9" x14ac:dyDescent="0.2">
      <c r="A351" s="56" t="s">
        <v>193</v>
      </c>
      <c r="B351" s="72">
        <f>'Design Regulator'!F97/1000000000</f>
        <v>0</v>
      </c>
      <c r="C351" t="s">
        <v>134</v>
      </c>
      <c r="D351" s="72" t="e">
        <f>'Design Regulator'!#REF!/1000000000</f>
        <v>#REF!</v>
      </c>
      <c r="E351" t="s">
        <v>134</v>
      </c>
      <c r="F351" t="s">
        <v>196</v>
      </c>
      <c r="I351" s="57"/>
    </row>
    <row r="352" spans="1:9" x14ac:dyDescent="0.2">
      <c r="A352" s="56" t="s">
        <v>194</v>
      </c>
      <c r="B352" s="29">
        <v>0</v>
      </c>
      <c r="C352" t="s">
        <v>1</v>
      </c>
      <c r="D352" s="29">
        <v>0</v>
      </c>
      <c r="E352" t="s">
        <v>1</v>
      </c>
      <c r="F352" t="s">
        <v>197</v>
      </c>
      <c r="I352" s="57"/>
    </row>
    <row r="353" spans="1:9" x14ac:dyDescent="0.2">
      <c r="A353" s="56"/>
      <c r="C353"/>
      <c r="I353" s="57"/>
    </row>
    <row r="354" spans="1:9" x14ac:dyDescent="0.2">
      <c r="A354" s="66" t="s">
        <v>117</v>
      </c>
      <c r="C354"/>
      <c r="I354" s="57"/>
    </row>
    <row r="355" spans="1:9" x14ac:dyDescent="0.2">
      <c r="A355" s="209" t="s">
        <v>457</v>
      </c>
      <c r="B355" s="395">
        <v>34.1</v>
      </c>
      <c r="C355" s="113" t="s">
        <v>202</v>
      </c>
      <c r="D355" s="113"/>
      <c r="E355" s="113"/>
      <c r="F355" t="s">
        <v>461</v>
      </c>
      <c r="I355" s="57"/>
    </row>
    <row r="356" spans="1:9" x14ac:dyDescent="0.2">
      <c r="A356" s="66" t="s">
        <v>77</v>
      </c>
      <c r="C356"/>
      <c r="I356" s="57"/>
    </row>
    <row r="357" spans="1:9" x14ac:dyDescent="0.2">
      <c r="A357" s="209" t="s">
        <v>59</v>
      </c>
      <c r="C357"/>
      <c r="I357" s="57"/>
    </row>
    <row r="358" spans="1:9" x14ac:dyDescent="0.2">
      <c r="A358" s="56" t="s">
        <v>88</v>
      </c>
      <c r="B358" s="69">
        <f>(Qgd_Q1+Qgs_Q1/2)*(RdsonDRT+Rgate1)/(VCC-Vsp_Q1)</f>
        <v>5.5797927461139901E-9</v>
      </c>
      <c r="C358" t="s">
        <v>133</v>
      </c>
      <c r="D358" s="30"/>
      <c r="I358" s="57"/>
    </row>
    <row r="359" spans="1:9" x14ac:dyDescent="0.2">
      <c r="A359" s="56" t="s">
        <v>89</v>
      </c>
      <c r="B359" s="69">
        <f>(Qgd_Q1+Qgs_Q1/2)*(RdsonDRT2+Rgate1)/(Vsp_Q1)</f>
        <v>2.330952380952381E-9</v>
      </c>
      <c r="C359" t="s">
        <v>133</v>
      </c>
      <c r="D359" s="30"/>
      <c r="I359" s="57"/>
    </row>
    <row r="360" spans="1:9" x14ac:dyDescent="0.2">
      <c r="A360" s="56"/>
      <c r="C360"/>
      <c r="I360" s="57"/>
    </row>
    <row r="361" spans="1:9" x14ac:dyDescent="0.2">
      <c r="A361" s="66" t="s">
        <v>400</v>
      </c>
      <c r="B361" s="2" t="s">
        <v>7</v>
      </c>
      <c r="C361" s="2" t="s">
        <v>76</v>
      </c>
      <c r="I361" s="57"/>
    </row>
    <row r="362" spans="1:9" x14ac:dyDescent="0.2">
      <c r="A362" s="58" t="s">
        <v>115</v>
      </c>
      <c r="B362" s="3">
        <f>CHOOSE(Ext_VCC, (Qg_Q1+Qg_Q2)*Fsw*VCC, (Qg_Q1+Qg_Q2)*Fsw*Vin)</f>
        <v>0.34650000000000003</v>
      </c>
      <c r="C362" s="3" t="s">
        <v>116</v>
      </c>
      <c r="I362" s="57"/>
    </row>
    <row r="363" spans="1:9" x14ac:dyDescent="0.2">
      <c r="A363" s="58" t="s">
        <v>119</v>
      </c>
      <c r="B363" s="584">
        <f>B362*ThetaJaCtrl</f>
        <v>11.815650000000002</v>
      </c>
      <c r="C363" s="113" t="s">
        <v>223</v>
      </c>
      <c r="I363" s="57"/>
    </row>
    <row r="364" spans="1:9" x14ac:dyDescent="0.2">
      <c r="A364" s="209" t="s">
        <v>703</v>
      </c>
      <c r="B364" s="584">
        <f>B363 + Ta</f>
        <v>36.815650000000005</v>
      </c>
      <c r="C364" s="113" t="s">
        <v>223</v>
      </c>
      <c r="I364" s="57"/>
    </row>
    <row r="365" spans="1:9" x14ac:dyDescent="0.2">
      <c r="A365" s="585"/>
      <c r="B365" s="584"/>
      <c r="C365" s="113"/>
      <c r="I365" s="57"/>
    </row>
    <row r="366" spans="1:9" x14ac:dyDescent="0.2">
      <c r="A366" s="58" t="s">
        <v>207</v>
      </c>
      <c r="B366" s="42">
        <f>(Qg_Q1+Qg_Q2)*Fsw+Iq</f>
        <v>6.9302199999999994E-2</v>
      </c>
      <c r="C366" t="s">
        <v>1</v>
      </c>
      <c r="I366" s="57"/>
    </row>
    <row r="367" spans="1:9" x14ac:dyDescent="0.2">
      <c r="A367" s="58" t="s">
        <v>208</v>
      </c>
      <c r="B367">
        <f>Qrr_Q2*Fsw</f>
        <v>0.1239</v>
      </c>
      <c r="C367" t="s">
        <v>1</v>
      </c>
      <c r="I367" s="57"/>
    </row>
    <row r="368" spans="1:9" x14ac:dyDescent="0.2">
      <c r="A368" s="58" t="s">
        <v>209</v>
      </c>
      <c r="B368" t="e">
        <f>C368/Vin</f>
        <v>#NAME?</v>
      </c>
      <c r="C368" t="e">
        <f>Deadtime*Fsw*(Ipp/2)*(Vsd_Q1+Vsd_Q2)</f>
        <v>#NAME?</v>
      </c>
      <c r="I368" s="57"/>
    </row>
    <row r="369" spans="1:9" x14ac:dyDescent="0.2">
      <c r="A369" s="58" t="s">
        <v>211</v>
      </c>
      <c r="B369" t="e">
        <f>SUM(B366:B368)</f>
        <v>#NAME?</v>
      </c>
      <c r="C369" t="s">
        <v>1</v>
      </c>
      <c r="I369" s="57"/>
    </row>
    <row r="370" spans="1:9" x14ac:dyDescent="0.2">
      <c r="A370" s="56"/>
      <c r="I370" s="57"/>
    </row>
    <row r="371" spans="1:9" x14ac:dyDescent="0.2">
      <c r="A371" s="66" t="s">
        <v>427</v>
      </c>
      <c r="I371" s="57"/>
    </row>
    <row r="372" spans="1:9" x14ac:dyDescent="0.2">
      <c r="A372" s="56" t="s">
        <v>114</v>
      </c>
      <c r="I372" s="57"/>
    </row>
    <row r="373" spans="1:9" ht="13.5" thickBot="1" x14ac:dyDescent="0.25">
      <c r="A373" s="60" t="s">
        <v>115</v>
      </c>
      <c r="B373" s="61"/>
      <c r="C373" s="289"/>
      <c r="D373" s="61"/>
      <c r="E373" s="61"/>
      <c r="F373" s="61"/>
      <c r="G373" s="61"/>
      <c r="H373" s="61"/>
      <c r="I373" s="62"/>
    </row>
    <row r="374" spans="1:9" x14ac:dyDescent="0.2">
      <c r="A374" s="1"/>
      <c r="B374" s="1"/>
      <c r="C374" s="1"/>
    </row>
    <row r="375" spans="1:9" ht="21.75" customHeight="1" thickBot="1" x14ac:dyDescent="0.3">
      <c r="A375" s="88" t="s">
        <v>203</v>
      </c>
      <c r="D375" s="2"/>
    </row>
    <row r="376" spans="1:9" x14ac:dyDescent="0.2">
      <c r="A376" s="89" t="str">
        <f>"RC1 = "&amp;'Design Regulator'!D71&amp;"kΩ"</f>
        <v>RC1 = 12.1kΩ</v>
      </c>
      <c r="B376" s="63" t="str">
        <f>'Design Regulator'!D71&amp;"kΩ"</f>
        <v>12.1kΩ</v>
      </c>
      <c r="C376" s="288"/>
      <c r="D376" s="283" t="str">
        <f>'Design Regulator'!D74&amp;"kΩ"</f>
        <v>kΩ</v>
      </c>
      <c r="E376" s="63"/>
      <c r="F376" s="63"/>
      <c r="G376" s="63"/>
      <c r="H376" s="63"/>
      <c r="I376" s="64"/>
    </row>
    <row r="377" spans="1:9" x14ac:dyDescent="0.2">
      <c r="A377" s="56" t="str">
        <f>"RC2 = "&amp;'Design Regulator'!D74&amp;"kΩ"</f>
        <v>RC2 = kΩ</v>
      </c>
      <c r="B377" t="str">
        <f>'Design Regulator'!D74&amp;"kΩ"</f>
        <v>kΩ</v>
      </c>
      <c r="I377" s="57"/>
    </row>
    <row r="378" spans="1:9" x14ac:dyDescent="0.2">
      <c r="A378" s="56"/>
      <c r="I378" s="57"/>
    </row>
    <row r="379" spans="1:9" x14ac:dyDescent="0.2">
      <c r="A379" s="56" t="str">
        <f>"Lo = "&amp;'Design Regulator'!E27&amp;"µH"</f>
        <v>Lo = 2.2µH</v>
      </c>
      <c r="B379" t="str">
        <f>'Design Regulator'!E27&amp;"µH"</f>
        <v>2.2µH</v>
      </c>
      <c r="D379" t="str">
        <f>IF(MODE = 1, 'Design Regulator'!I27&amp;"µH", 'Design Regulator'!E27&amp;"µH")</f>
        <v>µH</v>
      </c>
      <c r="I379" s="57"/>
    </row>
    <row r="380" spans="1:9" x14ac:dyDescent="0.2">
      <c r="A380" s="56" t="str">
        <f>"Rdcr = "&amp;Rdcr*1000&amp;"mΩ"</f>
        <v>Rdcr = 3.5mΩ</v>
      </c>
      <c r="B380" t="str">
        <f>Rdcr*1000&amp;"mΩ"</f>
        <v>3.5mΩ</v>
      </c>
      <c r="D380" t="str">
        <f>IF(MODE=1, Rdcr2*1000&amp;"mΩ", Rdcr*1000&amp;"mΩ")</f>
        <v>0mΩ</v>
      </c>
      <c r="I380" s="57"/>
    </row>
    <row r="381" spans="1:9" x14ac:dyDescent="0.2">
      <c r="A381" s="56" t="str">
        <f>"Rs = "&amp;'Design Regulator'!E18&amp;"mΩ"</f>
        <v>Rs = 4.6mΩ</v>
      </c>
      <c r="B381" t="str">
        <f>'Design Regulator'!E18&amp;"mΩ"</f>
        <v>4.6mΩ</v>
      </c>
      <c r="D381" t="str">
        <f>IF(MODE = 1, 'Design Regulator'!I18&amp;"mΩ", 'Design Regulator'!E18&amp;"mΩ")</f>
        <v>mΩ</v>
      </c>
      <c r="I381" s="57"/>
    </row>
    <row r="382" spans="1:9" x14ac:dyDescent="0.2">
      <c r="A382" s="670"/>
      <c r="I382" s="57"/>
    </row>
    <row r="383" spans="1:9" x14ac:dyDescent="0.2">
      <c r="A383" s="585" t="s">
        <v>917</v>
      </c>
      <c r="B383" t="str">
        <f>IF(VIN_max&gt;42,"LM5148(-Q1)","LM25148(-Q1)")</f>
        <v>LM25148(-Q1)</v>
      </c>
      <c r="I383" s="57"/>
    </row>
    <row r="384" spans="1:9" x14ac:dyDescent="0.2">
      <c r="A384" s="56"/>
      <c r="I384" s="57"/>
    </row>
    <row r="385" spans="1:9" x14ac:dyDescent="0.2">
      <c r="A385" s="670" t="str">
        <f>IF((INFILTER_TYPE=1),"AEF IS DISABLED!","AEF")</f>
        <v>AEF IS DISABLED!</v>
      </c>
      <c r="B385" s="113" t="str">
        <f>IF((INFILTER_TYPE=1),"","0.1µF")</f>
        <v/>
      </c>
      <c r="C385" s="113" t="str">
        <f>IF((INFILTER_TYPE=1),"","0.47Ω")</f>
        <v/>
      </c>
      <c r="D385" t="str">
        <f>IF((INFILTER_TYPE=1),"","3Ω")</f>
        <v/>
      </c>
      <c r="E385" t="str">
        <f>IF((INFILTER_TYPE=1),"","50kΩ")</f>
        <v/>
      </c>
      <c r="I385" s="57"/>
    </row>
    <row r="386" spans="1:9" x14ac:dyDescent="0.2">
      <c r="A386" s="670" t="str">
        <f>"LAEF ="&amp;L_infilter&amp;" uF"</f>
        <v>LAEF =0.68 uF</v>
      </c>
      <c r="B386" s="113" t="str">
        <f>IF((INFILTER_TYPE=1),"",L_infilter&amp;"µH")</f>
        <v/>
      </c>
      <c r="C386" s="113"/>
      <c r="I386" s="57"/>
    </row>
    <row r="387" spans="1:9" x14ac:dyDescent="0.2">
      <c r="A387" s="670"/>
      <c r="B387" t="str">
        <f>IF((INFILTER_TYPE=1),"",CinjSel*1000000&amp;"µF")</f>
        <v/>
      </c>
      <c r="I387" s="57"/>
    </row>
    <row r="388" spans="1:9" x14ac:dyDescent="0.2">
      <c r="A388" s="670"/>
      <c r="B388" t="str">
        <f>IF((INFILTER_TYPE=1),"",IF(OSC=1,"DNP",CdampSel*1000000&amp;"µF"))</f>
        <v/>
      </c>
      <c r="I388" s="57"/>
    </row>
    <row r="389" spans="1:9" x14ac:dyDescent="0.2">
      <c r="A389" s="670"/>
      <c r="B389" t="str">
        <f>IF((INFILTER_TYPE=1),"",RdampSel&amp;"Ω")</f>
        <v/>
      </c>
      <c r="I389" s="57"/>
    </row>
    <row r="390" spans="1:9" x14ac:dyDescent="0.2">
      <c r="A390" s="670" t="e">
        <f>"Rcomp ="&amp;Rcomp_AEF&amp;"Ω"</f>
        <v>#VALUE!</v>
      </c>
      <c r="B390" t="str">
        <f>IF((INFILTER_TYPE=1),"",Rcomp_AEF&amp;"Ω")</f>
        <v/>
      </c>
      <c r="I390" s="57"/>
    </row>
    <row r="391" spans="1:9" x14ac:dyDescent="0.2">
      <c r="A391" s="670" t="e">
        <f>"Ccomp ="&amp;Ccomp_AEF*1000000000000&amp;"pF"</f>
        <v>#VALUE!</v>
      </c>
      <c r="B391" t="str">
        <f>IF((INFILTER_TYPE=1),"",Ccomp_AEF*1000000000000&amp;"pF")</f>
        <v/>
      </c>
      <c r="I391" s="57"/>
    </row>
    <row r="392" spans="1:9" x14ac:dyDescent="0.2">
      <c r="A392" s="670" t="e">
        <f>"Csen ="&amp;Csen_AEF*1000000&amp;"µF"</f>
        <v>#VALUE!</v>
      </c>
      <c r="B392" t="str">
        <f>IF((INFILTER_TYPE=1),"",Csen_AEF*1000000&amp;"µF")</f>
        <v/>
      </c>
      <c r="I392" s="57"/>
    </row>
    <row r="393" spans="1:9" ht="15.75" x14ac:dyDescent="0.3">
      <c r="A393" s="670"/>
      <c r="B393" s="113" t="s">
        <v>887</v>
      </c>
      <c r="I393" s="57"/>
    </row>
    <row r="394" spans="1:9" x14ac:dyDescent="0.2">
      <c r="A394" s="670"/>
      <c r="I394" s="57"/>
    </row>
    <row r="395" spans="1:9" x14ac:dyDescent="0.2">
      <c r="A395" s="56" t="str">
        <f>"VOUT = "&amp;'Design Regulator'!E9&amp;"V"</f>
        <v>VOUT = 5V</v>
      </c>
      <c r="B395" t="str">
        <f>'Design Regulator'!E9&amp;"V"</f>
        <v>5V</v>
      </c>
      <c r="D395" t="str">
        <f>IF(MODE=1, 'Design Regulator'!I10&amp;"V", "")</f>
        <v>V</v>
      </c>
      <c r="I395" s="57"/>
    </row>
    <row r="396" spans="1:9" x14ac:dyDescent="0.2">
      <c r="A396" s="56"/>
      <c r="I396" s="57"/>
    </row>
    <row r="397" spans="1:9" x14ac:dyDescent="0.2">
      <c r="A397" s="56" t="str">
        <f>"COUT = "&amp;'Design Regulator'!$E$35&amp;"µF"</f>
        <v>COUT = 200µF</v>
      </c>
      <c r="B397" t="str">
        <f>ROUND('Design Regulator'!$E$35/Number_of_Phases, 0)&amp;"µF"</f>
        <v>200µF</v>
      </c>
      <c r="D397" t="str">
        <f>IF(MODE=1, 'Design Regulator'!$I$35&amp;"µF", ROUND('Design Regulator'!$E$35/Number_of_Phases, 0)&amp;"µF")</f>
        <v>µF</v>
      </c>
      <c r="I397" s="57"/>
    </row>
    <row r="398" spans="1:9" x14ac:dyDescent="0.2">
      <c r="A398" s="209" t="s">
        <v>258</v>
      </c>
      <c r="B398" t="str">
        <f>"22µF"</f>
        <v>22µF</v>
      </c>
      <c r="I398" s="57"/>
    </row>
    <row r="399" spans="1:9" x14ac:dyDescent="0.2">
      <c r="A399" s="209" t="s">
        <v>259</v>
      </c>
      <c r="B399" s="115" t="str">
        <f>ROUNDUP(Cout*1000000/22,0)&amp;" x"</f>
        <v>10 x</v>
      </c>
      <c r="C399" s="290"/>
      <c r="I399" s="57"/>
    </row>
    <row r="400" spans="1:9" x14ac:dyDescent="0.2">
      <c r="A400" s="56"/>
      <c r="I400" s="57"/>
    </row>
    <row r="401" spans="1:9" x14ac:dyDescent="0.2">
      <c r="A401" s="56" t="s">
        <v>212</v>
      </c>
      <c r="B401" t="str">
        <f>Cin*1000000&amp;"µF"</f>
        <v>30µF</v>
      </c>
      <c r="I401" s="57"/>
    </row>
    <row r="402" spans="1:9" x14ac:dyDescent="0.2">
      <c r="A402" s="209" t="s">
        <v>257</v>
      </c>
      <c r="B402" t="str">
        <f>"10µF"</f>
        <v>10µF</v>
      </c>
      <c r="I402" s="57"/>
    </row>
    <row r="403" spans="1:9" x14ac:dyDescent="0.2">
      <c r="A403" s="209" t="s">
        <v>256</v>
      </c>
      <c r="B403" s="115" t="str">
        <f>ROUNDUP(Cin*1000000/10,0)&amp;" x"</f>
        <v>3 x</v>
      </c>
      <c r="C403" s="290"/>
      <c r="I403" s="57"/>
    </row>
    <row r="404" spans="1:9" x14ac:dyDescent="0.2">
      <c r="A404" s="585" t="s">
        <v>753</v>
      </c>
      <c r="B404" s="115" t="str">
        <f>CHOOSE(INFILTER_TYPE,"",4*Cin*1000000&amp;"µF")</f>
        <v/>
      </c>
      <c r="C404" s="290"/>
      <c r="E404">
        <f>COMP_TYPE</f>
        <v>2</v>
      </c>
      <c r="I404" s="57"/>
    </row>
    <row r="405" spans="1:9" x14ac:dyDescent="0.2">
      <c r="A405" s="585" t="s">
        <v>832</v>
      </c>
      <c r="B405" s="115" t="str">
        <f>CHOOSE(INFILTER_TYPE,"",D301&amp;"Ω")</f>
        <v/>
      </c>
      <c r="C405" s="290"/>
      <c r="I405" s="57"/>
    </row>
    <row r="406" spans="1:9" x14ac:dyDescent="0.2">
      <c r="A406" s="209"/>
      <c r="B406" s="115"/>
      <c r="C406" s="290"/>
      <c r="I406" s="57"/>
    </row>
    <row r="407" spans="1:9" x14ac:dyDescent="0.2">
      <c r="A407" s="56" t="str">
        <f>"RC1 = "&amp;Rcea1_u/1000&amp;"kΩ"</f>
        <v>RC1 = 12.1kΩ</v>
      </c>
      <c r="B407" t="str">
        <f>IF(COMP_TYPE=1,"",ROUND(Rcea1_u/1000,2)&amp;"kΩ")</f>
        <v>12.1kΩ</v>
      </c>
      <c r="C407" t="str">
        <f>IF(OR(Vout=3.3,Vout=5,Vout=12),"",IF(COMP_TYPE=1,"100kΩ",""))</f>
        <v/>
      </c>
      <c r="D407" s="366" t="str">
        <f>IF(OR(Vout=3.3,Vout=5,Vout=12), IF(COMP_TYPE=1,"",ROUND(Rcea1_u/1000,2)&amp;"kΩ"), "")</f>
        <v>12.1kΩ</v>
      </c>
      <c r="E407" t="str">
        <f>IF(OR(Vout=3.3,Vout=5,Vout=12),IF(COMP_TYPE=1,"100kΩ",""),"")</f>
        <v/>
      </c>
      <c r="I407" s="57"/>
    </row>
    <row r="408" spans="1:9" x14ac:dyDescent="0.2">
      <c r="A408" s="56" t="str">
        <f>"CC1 = "&amp;Cc1ea_u*10^9&amp;"nF"</f>
        <v>CC1 = 3.3nF</v>
      </c>
      <c r="B408" t="str">
        <f>IF(COMP_TYPE=1,"",Cc1ea_u*10^9&amp;"nF")</f>
        <v>3.3nF</v>
      </c>
      <c r="C408" s="113"/>
      <c r="I408" s="57"/>
    </row>
    <row r="409" spans="1:9" x14ac:dyDescent="0.2">
      <c r="A409" s="56" t="str">
        <f>"CC2 = "&amp;IF(Cc2ea_u&gt;0, Cc2ea_u*10^12&amp;"pF", "OPEN")</f>
        <v>CC2 = OPEN</v>
      </c>
      <c r="B409" t="str">
        <f>IF(COMP_TYPE=1,"",IF(Cc2ea_u&gt;0, ROUND(Cc2ea_u*10^12,1)&amp;"pF", "N/A"))</f>
        <v>N/A</v>
      </c>
      <c r="C409" s="113"/>
      <c r="I409" s="57"/>
    </row>
    <row r="410" spans="1:9" x14ac:dyDescent="0.2">
      <c r="A410" s="56"/>
      <c r="I410" s="57"/>
    </row>
    <row r="411" spans="1:9" x14ac:dyDescent="0.2">
      <c r="A411" s="56" t="str">
        <f>"gm = "&amp;$B$200*1000&amp;"mS"</f>
        <v>gm = 1.2mS</v>
      </c>
      <c r="B411" t="str">
        <f>$B$200*1000&amp;"mS"</f>
        <v>1.2mS</v>
      </c>
      <c r="I411" s="57"/>
    </row>
    <row r="412" spans="1:9" x14ac:dyDescent="0.2">
      <c r="A412" s="56" t="str">
        <f>"RoEA = "&amp;RoEA/1000000&amp;"MΩ"</f>
        <v>RoEA = 64MΩ</v>
      </c>
      <c r="B412" t="str">
        <f>RoEA/1000000&amp;"MΩ"</f>
        <v>64MΩ</v>
      </c>
      <c r="I412" s="57"/>
    </row>
    <row r="413" spans="1:9" x14ac:dyDescent="0.2">
      <c r="A413" s="56" t="str">
        <f>"GBW = "&amp;GBW&amp;"MHz"</f>
        <v>GBW = 6MHz</v>
      </c>
      <c r="B413" t="str">
        <f>GBW&amp;"MHz"</f>
        <v>6MHz</v>
      </c>
      <c r="I413" s="57"/>
    </row>
    <row r="414" spans="1:9" x14ac:dyDescent="0.2">
      <c r="A414" s="56"/>
      <c r="I414" s="57"/>
    </row>
    <row r="415" spans="1:9" x14ac:dyDescent="0.2">
      <c r="A415" s="56"/>
      <c r="I415" s="57"/>
    </row>
    <row r="416" spans="1:9" x14ac:dyDescent="0.2">
      <c r="A416" s="209" t="s">
        <v>753</v>
      </c>
      <c r="B416" t="str">
        <f>IF(DITHER=1, ROUND(Cdither*1000000000,1)&amp;"nF", "")</f>
        <v>2.2nF</v>
      </c>
      <c r="C416" s="2" t="str">
        <f>IF(DITHER=1, "Cd", "")</f>
        <v>Cd</v>
      </c>
      <c r="I416" s="57"/>
    </row>
    <row r="417" spans="1:9" x14ac:dyDescent="0.2">
      <c r="A417" s="56" t="str">
        <f>"RFB1 = "&amp;'Design Regulator'!E65&amp;"kΩ"</f>
        <v>RFB1 = 78.7kΩ</v>
      </c>
      <c r="B417" t="str">
        <f>IF(VOUT_setting=1, 'Design Regulator'!E65&amp;"kΩ", "")</f>
        <v/>
      </c>
      <c r="D417" t="str">
        <f>'Design Regulator'!I65&amp;"kΩ"</f>
        <v>kΩ</v>
      </c>
      <c r="I417" s="57"/>
    </row>
    <row r="418" spans="1:9" x14ac:dyDescent="0.2">
      <c r="A418" s="56" t="str">
        <f>"RFB2 = "&amp;IF(Vout=Vref,"OPEN",'Design Regulator'!E66&amp;"kΩ")</f>
        <v>RFB2 = 471kΩ</v>
      </c>
      <c r="B418" t="str">
        <f>IF(VOUT_setting=1, IF(Vout=Vref,"OPEN",Rfb2_u/1000&amp;"kΩ"), "")</f>
        <v/>
      </c>
      <c r="D418" t="str">
        <f>IF(Vout2=Vref,"OPEN",Rfb4_u/1000&amp;"kΩ")</f>
        <v>0kΩ</v>
      </c>
      <c r="I418" s="57"/>
    </row>
    <row r="419" spans="1:9" x14ac:dyDescent="0.2">
      <c r="A419" s="585" t="str">
        <f>"RFBSET = "&amp;CHOOSE(VOUT_setting,"","24.9kΩ","0Ω","48.7kΩ")</f>
        <v>RFBSET = 24.9kΩ</v>
      </c>
      <c r="D419" t="str">
        <f>CHOOSE(VOUT_setting,"","24.9kΩ","0Ω","48.7kΩ")</f>
        <v>24.9kΩ</v>
      </c>
      <c r="I419" s="57"/>
    </row>
    <row r="420" spans="1:9" x14ac:dyDescent="0.2">
      <c r="A420" s="585"/>
      <c r="I420" s="57"/>
    </row>
    <row r="421" spans="1:9" x14ac:dyDescent="0.2">
      <c r="A421" s="585" t="s">
        <v>872</v>
      </c>
      <c r="B421" t="str">
        <f>IF((UVLO_TYPE=1),B188&amp;"kΩ","0Ω")</f>
        <v>200kΩ</v>
      </c>
      <c r="I421" s="57"/>
    </row>
    <row r="422" spans="1:9" x14ac:dyDescent="0.2">
      <c r="A422" s="585" t="s">
        <v>873</v>
      </c>
      <c r="B422" t="str">
        <f>IF((UVLO_TYPE=1),B189&amp;"kΩ","N/A")</f>
        <v>9.53kΩ</v>
      </c>
      <c r="I422" s="57"/>
    </row>
    <row r="423" spans="1:9" x14ac:dyDescent="0.2">
      <c r="A423" s="670"/>
      <c r="I423" s="57"/>
    </row>
    <row r="424" spans="1:9" x14ac:dyDescent="0.2">
      <c r="A424" s="56" t="str">
        <f>"Crossover frequency = "&amp;ROUND('Stability Calculations'!U4,0)&amp;"kHz"</f>
        <v>Crossover frequency = 39kHz</v>
      </c>
      <c r="B424" t="str">
        <f>ROUND('Stability Calculations'!U4,0)&amp;"kHz"</f>
        <v>39kHz</v>
      </c>
      <c r="D424" s="114">
        <f>'Stability Calculations'!U4</f>
        <v>38.683500000000002</v>
      </c>
      <c r="I424" s="57"/>
    </row>
    <row r="425" spans="1:9" x14ac:dyDescent="0.2">
      <c r="A425" s="56" t="str">
        <f>CHOOSE(BODE_PLOT_TYPE, "Phase margin = "&amp;ROUND('Stability Calculations'!U5,0)&amp;"°", "°")</f>
        <v>Phase margin = 70°</v>
      </c>
      <c r="B425" s="115" t="str">
        <f>ROUND('Stability Calculations'!U5,0)&amp;"°"</f>
        <v>70°</v>
      </c>
      <c r="C425" s="290"/>
      <c r="E425" s="210"/>
      <c r="I425" s="57"/>
    </row>
    <row r="426" spans="1:9" x14ac:dyDescent="0.2">
      <c r="A426" s="56" t="str">
        <f>IF(loopPM&lt;45,CHOOSE(COMP_TYPE,"Phase margin is LOW, increase Cout","Phase margin is LOW, recompensate"),"")</f>
        <v/>
      </c>
      <c r="B426" s="115"/>
      <c r="C426" s="290"/>
      <c r="E426" s="210"/>
      <c r="I426" s="57"/>
    </row>
    <row r="427" spans="1:9" x14ac:dyDescent="0.2">
      <c r="A427" s="670"/>
      <c r="B427" s="115"/>
      <c r="C427" s="290"/>
      <c r="E427" s="210"/>
      <c r="I427" s="57"/>
    </row>
    <row r="428" spans="1:9" x14ac:dyDescent="0.2">
      <c r="A428" s="66" t="s">
        <v>577</v>
      </c>
      <c r="B428" s="476" t="str">
        <f>IF(PLOT_TYPE=1, ROUND('Efficiency Calculations'!AZ109,1)&amp;"%", ROUND(#REF!,1)&amp;"%")</f>
        <v>88.2%</v>
      </c>
      <c r="C428" s="290"/>
      <c r="D428" s="476"/>
      <c r="E428" s="210"/>
      <c r="I428" s="57"/>
    </row>
    <row r="429" spans="1:9" x14ac:dyDescent="0.2">
      <c r="A429" s="66" t="s">
        <v>578</v>
      </c>
      <c r="B429" s="476" t="str">
        <f>IF(PLOT_TYPE=1, ROUND('Efficiency Calculations'!AZ59,1)&amp;"%", ROUND(#REF!,1)&amp;"%")</f>
        <v>86.9%</v>
      </c>
      <c r="C429" s="290"/>
      <c r="D429" s="476"/>
      <c r="E429" s="210"/>
      <c r="I429" s="57"/>
    </row>
    <row r="430" spans="1:9" x14ac:dyDescent="0.2">
      <c r="A430" s="631"/>
      <c r="B430" s="476" t="str">
        <f>IF(VOUT_setting=1, "", IF(OSC=1, "Tie OSC to VDDA", "Tie OSC to AGND"))</f>
        <v>Tie OSC to AGND</v>
      </c>
      <c r="C430" s="290"/>
      <c r="D430" s="476"/>
      <c r="E430" s="210"/>
      <c r="I430" s="57"/>
    </row>
    <row r="431" spans="1:9" x14ac:dyDescent="0.2">
      <c r="A431" s="56"/>
      <c r="B431" s="115"/>
      <c r="C431" s="290"/>
      <c r="E431" s="210"/>
      <c r="I431" s="57"/>
    </row>
    <row r="432" spans="1:9" x14ac:dyDescent="0.2">
      <c r="A432" s="56"/>
      <c r="I432" s="57"/>
    </row>
    <row r="433" spans="1:9" x14ac:dyDescent="0.2">
      <c r="A433" s="56" t="str">
        <f>"Rs = "&amp;Rs&amp;"Ω"</f>
        <v>Rs = 0.0046Ω</v>
      </c>
      <c r="B433" t="str">
        <f>'Standard Value Calculator'!S6&amp;"Ω"</f>
        <v>Ω</v>
      </c>
      <c r="I433" s="57"/>
    </row>
    <row r="434" spans="1:9" x14ac:dyDescent="0.2">
      <c r="A434" s="56" t="s">
        <v>186</v>
      </c>
      <c r="B434" t="str">
        <f>'Standard Value Calculator'!S16&amp;"mΩ"</f>
        <v>8.25mΩ</v>
      </c>
      <c r="I434" s="57"/>
    </row>
    <row r="435" spans="1:9" x14ac:dyDescent="0.2">
      <c r="A435" s="56" t="s">
        <v>164</v>
      </c>
      <c r="B435" t="str">
        <f>'Standard Value Calculator'!S6&amp;"mΩ"</f>
        <v>mΩ</v>
      </c>
      <c r="I435" s="57"/>
    </row>
    <row r="436" spans="1:9" x14ac:dyDescent="0.2">
      <c r="A436" s="56" t="e">
        <f>"Rshunt = "&amp;ROUND(Rshunt,1)&amp;"mΩ"</f>
        <v>#NAME?</v>
      </c>
      <c r="B436" t="e">
        <f>IF(Rshunt="0", "N/A",ROUND(Rshunt,1)&amp;"mΩ")</f>
        <v>#NAME?</v>
      </c>
      <c r="I436" s="57"/>
    </row>
    <row r="437" spans="1:9" x14ac:dyDescent="0.2">
      <c r="A437" s="56"/>
      <c r="I437" s="57"/>
    </row>
    <row r="438" spans="1:9" x14ac:dyDescent="0.2">
      <c r="A438" s="209" t="s">
        <v>254</v>
      </c>
      <c r="B438" s="113" t="s">
        <v>255</v>
      </c>
      <c r="I438" s="57"/>
    </row>
    <row r="439" spans="1:9" ht="15.75" x14ac:dyDescent="0.3">
      <c r="A439" s="209" t="s">
        <v>888</v>
      </c>
      <c r="B439" s="113"/>
      <c r="I439" s="57"/>
    </row>
    <row r="440" spans="1:9" x14ac:dyDescent="0.2">
      <c r="A440" s="585"/>
      <c r="B440" s="113"/>
      <c r="I440" s="57"/>
    </row>
    <row r="441" spans="1:9" x14ac:dyDescent="0.2">
      <c r="A441" s="585" t="s">
        <v>891</v>
      </c>
      <c r="B441" s="113" t="str">
        <f>IF((Ext_VCC=1),"5V","GND")</f>
        <v>5V</v>
      </c>
      <c r="I441" s="57"/>
    </row>
    <row r="442" spans="1:9" x14ac:dyDescent="0.2">
      <c r="A442" s="209" t="s">
        <v>890</v>
      </c>
      <c r="B442" s="113" t="str">
        <f xml:space="preserve"> 'Design Regulator'!E57&amp;"kΩ"</f>
        <v>41.2kΩ</v>
      </c>
      <c r="I442" s="57"/>
    </row>
    <row r="443" spans="1:9" x14ac:dyDescent="0.2">
      <c r="A443" s="209" t="s">
        <v>272</v>
      </c>
      <c r="B443" t="str">
        <f xml:space="preserve"> Rfadj&amp;"kΩ"</f>
        <v>9.53kΩ</v>
      </c>
      <c r="C443" s="2">
        <f>Rfadj</f>
        <v>9.5299999999999994</v>
      </c>
      <c r="D443">
        <f>Fsw</f>
        <v>2100000</v>
      </c>
      <c r="F443" t="b">
        <f>OR((Fsw=440000),(Fsw=2200000))</f>
        <v>0</v>
      </c>
      <c r="H443" t="b">
        <f>OR(OR(AND(OSC=1, OR(Fsw/1000&gt;2530, Fsw/1000&lt;1800)), AND(OSC=2, OR(Fsw/1000&gt;500, Fsw/1000&lt;300))), OR((Fsw=440000),(Fsw=2200000)))</f>
        <v>0</v>
      </c>
      <c r="I443" s="57"/>
    </row>
    <row r="444" spans="1:9" x14ac:dyDescent="0.2">
      <c r="A444" s="56" t="s">
        <v>150</v>
      </c>
      <c r="B444" s="630" t="str">
        <f>'Standard Value Calculator'!B4*1000000000&amp;"nF"</f>
        <v>0nF</v>
      </c>
      <c r="C444" s="113" t="str">
        <f>IF(MODE=1,"Css","")</f>
        <v>Css</v>
      </c>
      <c r="I444" s="57"/>
    </row>
    <row r="445" spans="1:9" x14ac:dyDescent="0.2">
      <c r="A445" s="209" t="s">
        <v>630</v>
      </c>
      <c r="B445" t="str">
        <f>IF(Cres_u = 0, "N/A", Cres_u*1000000000 &amp;"nF")</f>
        <v>330nF</v>
      </c>
      <c r="C445" t="str">
        <f>IF(Cres_u = 0, "N/A", Cres_u*1000000 &amp;"µF")</f>
        <v>0.33µF</v>
      </c>
      <c r="D445">
        <f>Cres_u</f>
        <v>3.3000000000000002E-7</v>
      </c>
      <c r="I445" s="57"/>
    </row>
    <row r="446" spans="1:9" x14ac:dyDescent="0.2">
      <c r="A446" s="585"/>
      <c r="I446" s="57"/>
    </row>
    <row r="447" spans="1:9" x14ac:dyDescent="0.2">
      <c r="A447" s="56" t="s">
        <v>187</v>
      </c>
      <c r="B447" t="str">
        <f>IF(B76="y","","|")</f>
        <v>|</v>
      </c>
      <c r="I447" s="57"/>
    </row>
    <row r="448" spans="1:9" x14ac:dyDescent="0.2">
      <c r="A448" s="56" t="s">
        <v>204</v>
      </c>
      <c r="B448" t="str">
        <f>'Design Regulator'!$E$10&amp;"A"</f>
        <v>8A</v>
      </c>
      <c r="I448" s="57"/>
    </row>
    <row r="449" spans="1:9" x14ac:dyDescent="0.2">
      <c r="A449" s="56" t="s">
        <v>144</v>
      </c>
      <c r="B449" t="str">
        <f>VIN_nom&amp;"V"</f>
        <v>12V</v>
      </c>
      <c r="I449" s="57"/>
    </row>
    <row r="450" spans="1:9" x14ac:dyDescent="0.2">
      <c r="A450" s="209" t="s">
        <v>583</v>
      </c>
      <c r="B450" t="str">
        <f>VIN_min&amp;"V"&amp;"..."&amp;VIN_max&amp;"V"</f>
        <v>10V...18V</v>
      </c>
      <c r="I450" s="57"/>
    </row>
    <row r="451" spans="1:9" x14ac:dyDescent="0.2">
      <c r="A451" s="56"/>
      <c r="B451" t="str">
        <f>IF(INFILTER_TYPE=1,B450,"")</f>
        <v>10V...18V</v>
      </c>
      <c r="C451" t="str">
        <f>IF(INFILTER_TYPE=1,"",B450)</f>
        <v/>
      </c>
      <c r="I451" s="57"/>
    </row>
    <row r="452" spans="1:9" ht="13.5" thickBot="1" x14ac:dyDescent="0.25">
      <c r="A452" s="60" t="str">
        <f>CHOOSE(Ext_VCC, "", "Tie VCCX to PGND")</f>
        <v/>
      </c>
      <c r="B452" s="61"/>
      <c r="C452" s="289"/>
      <c r="D452" s="61"/>
      <c r="E452" s="61"/>
      <c r="F452" s="61"/>
      <c r="G452" s="61"/>
      <c r="H452" s="61"/>
      <c r="I452" s="62"/>
    </row>
  </sheetData>
  <sheetProtection selectLockedCells="1"/>
  <mergeCells count="2">
    <mergeCell ref="E5:H5"/>
    <mergeCell ref="A1:I1"/>
  </mergeCells>
  <phoneticPr fontId="5" type="noConversion"/>
  <conditionalFormatting sqref="B393">
    <cfRule type="expression" dxfId="0" priority="1">
      <formula>OSC=1</formula>
    </cfRule>
  </conditionalFormatting>
  <pageMargins left="0.75" right="0.75" top="1" bottom="1" header="0.5" footer="0.5"/>
  <pageSetup orientation="portrait" r:id="rId1"/>
  <headerFooter alignWithMargins="0"/>
  <ignoredErrors>
    <ignoredError sqref="K132"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702465" r:id="rId4" name="Drop Down 1">
              <controlPr defaultSize="0" autoLine="0" autoPict="0">
                <anchor>
                  <from>
                    <xdr:col>9</xdr:col>
                    <xdr:colOff>361950</xdr:colOff>
                    <xdr:row>18</xdr:row>
                    <xdr:rowOff>57150</xdr:rowOff>
                  </from>
                  <to>
                    <xdr:col>11</xdr:col>
                    <xdr:colOff>0</xdr:colOff>
                    <xdr:row>19</xdr:row>
                    <xdr:rowOff>133350</xdr:rowOff>
                  </to>
                </anchor>
              </controlPr>
            </control>
          </mc:Choice>
        </mc:AlternateContent>
        <mc:AlternateContent xmlns:mc="http://schemas.openxmlformats.org/markup-compatibility/2006">
          <mc:Choice Requires="x14">
            <control shapeId="702468" r:id="rId5" name="Drop Down 4">
              <controlPr defaultSize="0" autoLine="0" autoPict="0">
                <anchor moveWithCells="1">
                  <from>
                    <xdr:col>17</xdr:col>
                    <xdr:colOff>361950</xdr:colOff>
                    <xdr:row>15</xdr:row>
                    <xdr:rowOff>133350</xdr:rowOff>
                  </from>
                  <to>
                    <xdr:col>20</xdr:col>
                    <xdr:colOff>28575</xdr:colOff>
                    <xdr:row>17</xdr:row>
                    <xdr:rowOff>0</xdr:rowOff>
                  </to>
                </anchor>
              </controlPr>
            </control>
          </mc:Choice>
        </mc:AlternateContent>
        <mc:AlternateContent xmlns:mc="http://schemas.openxmlformats.org/markup-compatibility/2006">
          <mc:Choice Requires="x14">
            <control shapeId="702470" r:id="rId6" name="Drop Down 6">
              <controlPr defaultSize="0" autoLine="0" autoPict="0">
                <anchor moveWithCells="1">
                  <from>
                    <xdr:col>22</xdr:col>
                    <xdr:colOff>409575</xdr:colOff>
                    <xdr:row>31</xdr:row>
                    <xdr:rowOff>38100</xdr:rowOff>
                  </from>
                  <to>
                    <xdr:col>25</xdr:col>
                    <xdr:colOff>66675</xdr:colOff>
                    <xdr:row>32</xdr:row>
                    <xdr:rowOff>171450</xdr:rowOff>
                  </to>
                </anchor>
              </controlPr>
            </control>
          </mc:Choice>
        </mc:AlternateContent>
        <mc:AlternateContent xmlns:mc="http://schemas.openxmlformats.org/markup-compatibility/2006">
          <mc:Choice Requires="x14">
            <control shapeId="702471" r:id="rId7" name="Drop Down 7">
              <controlPr defaultSize="0" autoLine="0" autoPict="0">
                <anchor moveWithCells="1">
                  <from>
                    <xdr:col>9</xdr:col>
                    <xdr:colOff>228600</xdr:colOff>
                    <xdr:row>51</xdr:row>
                    <xdr:rowOff>38100</xdr:rowOff>
                  </from>
                  <to>
                    <xdr:col>10</xdr:col>
                    <xdr:colOff>523875</xdr:colOff>
                    <xdr:row>52</xdr:row>
                    <xdr:rowOff>114300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N29"/>
  <sheetViews>
    <sheetView topLeftCell="A4" zoomScale="70" zoomScaleNormal="70" workbookViewId="0">
      <selection activeCell="G5" sqref="G5"/>
    </sheetView>
  </sheetViews>
  <sheetFormatPr defaultRowHeight="12.75" x14ac:dyDescent="0.2"/>
  <cols>
    <col min="1" max="1" width="10.5703125" customWidth="1"/>
    <col min="2" max="2" width="102.140625" customWidth="1"/>
  </cols>
  <sheetData>
    <row r="1" spans="1:14" x14ac:dyDescent="0.2">
      <c r="J1" s="113"/>
      <c r="N1" s="113" t="s">
        <v>592</v>
      </c>
    </row>
    <row r="2" spans="1:14" x14ac:dyDescent="0.2">
      <c r="A2" t="str">
        <f>IF(MODE=1, CHOOSE(SCH_SETTING, "SCH_SetVout_IntComp_nAEF","SCH_SetVout_IntComp_AEF","SCH_SetVout_ExtComp_nAEF","SCH_SetVout_ExtComp_AEF","SCH_AdjVout_IntComp_nAEF","SCH_AdjVout_IntComp_AEF","SCH_AdjVout_ExtComp_nAEF","SCH_AdjVout_ExtComp_AEF"))</f>
        <v>SCH_SetVout_ExtComp_nAEF</v>
      </c>
      <c r="J2" s="113"/>
      <c r="N2" s="113" t="s">
        <v>682</v>
      </c>
    </row>
    <row r="3" spans="1:14" x14ac:dyDescent="0.2">
      <c r="J3" s="113"/>
    </row>
    <row r="4" spans="1:14" ht="19.5" customHeight="1" x14ac:dyDescent="0.2">
      <c r="J4" s="113"/>
    </row>
    <row r="5" spans="1:14" ht="311.10000000000002" customHeight="1" x14ac:dyDescent="0.2">
      <c r="B5" s="521"/>
    </row>
    <row r="6" spans="1:14" ht="12" customHeight="1" x14ac:dyDescent="0.2">
      <c r="B6" s="521"/>
    </row>
    <row r="7" spans="1:14" ht="34.5" customHeight="1" x14ac:dyDescent="0.2"/>
    <row r="8" spans="1:14" ht="311.10000000000002" customHeight="1" x14ac:dyDescent="0.2">
      <c r="B8" s="521"/>
    </row>
    <row r="9" spans="1:14" x14ac:dyDescent="0.2">
      <c r="B9" s="521"/>
    </row>
    <row r="10" spans="1:14" ht="312" customHeight="1" x14ac:dyDescent="0.2">
      <c r="B10" s="521"/>
    </row>
    <row r="12" spans="1:14" ht="311.64999999999998" customHeight="1" x14ac:dyDescent="0.2">
      <c r="B12" s="521"/>
    </row>
    <row r="14" spans="1:14" ht="309.75" customHeight="1" x14ac:dyDescent="0.2">
      <c r="B14" s="521"/>
    </row>
    <row r="16" spans="1:14" ht="15" customHeight="1" x14ac:dyDescent="0.2"/>
    <row r="17" spans="2:2" ht="311.64999999999998" customHeight="1" x14ac:dyDescent="0.2">
      <c r="B17" s="521" t="s">
        <v>175</v>
      </c>
    </row>
    <row r="18" spans="2:2" ht="9.75" customHeight="1" x14ac:dyDescent="0.2"/>
    <row r="19" spans="2:2" ht="312" customHeight="1" x14ac:dyDescent="0.2">
      <c r="B19" s="521"/>
    </row>
    <row r="20" spans="2:2" ht="16.149999999999999" customHeight="1" x14ac:dyDescent="0.2"/>
    <row r="21" spans="2:2" ht="312" customHeight="1" x14ac:dyDescent="0.2">
      <c r="B21" s="521"/>
    </row>
    <row r="23" spans="2:2" ht="409.5" customHeight="1" x14ac:dyDescent="0.2">
      <c r="B23" s="521"/>
    </row>
    <row r="25" spans="2:2" ht="408.75" customHeight="1" x14ac:dyDescent="0.2">
      <c r="B25" s="521"/>
    </row>
    <row r="27" spans="2:2" ht="409.5" customHeight="1" x14ac:dyDescent="0.2">
      <c r="B27" s="521"/>
    </row>
    <row r="29" spans="2:2" ht="409.5" customHeight="1" x14ac:dyDescent="0.2">
      <c r="B29" s="521"/>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I687"/>
  <sheetViews>
    <sheetView topLeftCell="M1" zoomScaleNormal="100" workbookViewId="0">
      <pane ySplit="11" topLeftCell="A12" activePane="bottomLeft" state="frozen"/>
      <selection activeCell="A93" sqref="A93"/>
      <selection pane="bottomLeft" activeCell="AI9" sqref="AI9"/>
    </sheetView>
  </sheetViews>
  <sheetFormatPr defaultColWidth="9.140625" defaultRowHeight="12.75" x14ac:dyDescent="0.2"/>
  <cols>
    <col min="1" max="1" width="16.140625" style="307" customWidth="1"/>
    <col min="2" max="2" width="15.7109375" style="307" customWidth="1"/>
    <col min="3" max="3" width="10" style="307" customWidth="1"/>
    <col min="4" max="4" width="10.7109375" style="307" customWidth="1"/>
    <col min="5" max="5" width="10.140625" style="307" customWidth="1"/>
    <col min="6" max="8" width="11.7109375" style="307" customWidth="1"/>
    <col min="9" max="9" width="14.28515625" style="307" customWidth="1"/>
    <col min="10" max="10" width="11" style="307" customWidth="1"/>
    <col min="11" max="11" width="12" style="307" customWidth="1"/>
    <col min="12" max="12" width="11.42578125" style="307" customWidth="1"/>
    <col min="13" max="13" width="10.7109375" style="307" customWidth="1"/>
    <col min="14" max="18" width="11.42578125" style="307" customWidth="1"/>
    <col min="19" max="19" width="12.28515625" style="307" customWidth="1"/>
    <col min="20" max="20" width="12.140625" style="307" customWidth="1"/>
    <col min="21" max="21" width="9.42578125" style="307" customWidth="1"/>
    <col min="22" max="22" width="16.140625" style="307" bestFit="1" customWidth="1"/>
    <col min="23" max="23" width="16.140625" style="347" customWidth="1"/>
    <col min="24" max="24" width="9.140625" style="307"/>
    <col min="25" max="25" width="13.42578125" style="307" bestFit="1" customWidth="1"/>
    <col min="26" max="26" width="9.28515625" style="307" bestFit="1" customWidth="1"/>
    <col min="27" max="27" width="9.140625" style="307"/>
    <col min="28" max="28" width="13.5703125" style="307" customWidth="1"/>
    <col min="29" max="29" width="10.5703125" style="307" customWidth="1"/>
    <col min="30" max="30" width="9.140625" style="307"/>
    <col min="31" max="31" width="9.28515625" style="307" bestFit="1" customWidth="1"/>
    <col min="32" max="32" width="11.28515625" style="307" bestFit="1" customWidth="1"/>
    <col min="33" max="33" width="9.140625" style="307"/>
    <col min="34" max="34" width="12.28515625" customWidth="1"/>
    <col min="35" max="35" width="8.7109375" customWidth="1"/>
    <col min="36" max="16384" width="9.140625" style="307"/>
  </cols>
  <sheetData>
    <row r="1" spans="1:35" ht="13.5" thickBot="1" x14ac:dyDescent="0.25"/>
    <row r="2" spans="1:35" x14ac:dyDescent="0.2">
      <c r="A2" s="853" t="s">
        <v>409</v>
      </c>
      <c r="B2" s="854"/>
      <c r="C2" s="855"/>
      <c r="D2" s="856"/>
      <c r="E2" s="853" t="s">
        <v>315</v>
      </c>
      <c r="F2" s="854"/>
      <c r="G2" s="854"/>
      <c r="H2" s="388"/>
      <c r="I2" s="404"/>
      <c r="J2" s="853" t="s">
        <v>407</v>
      </c>
      <c r="K2" s="855"/>
      <c r="L2" s="856"/>
      <c r="M2" s="853" t="s">
        <v>408</v>
      </c>
      <c r="N2" s="854"/>
      <c r="O2" s="854"/>
      <c r="P2" s="870" t="s">
        <v>835</v>
      </c>
      <c r="Q2" s="854"/>
      <c r="R2" s="854"/>
      <c r="S2" s="862"/>
      <c r="T2" s="853" t="s">
        <v>316</v>
      </c>
      <c r="U2" s="854"/>
      <c r="V2" s="862"/>
      <c r="W2" s="689"/>
      <c r="AH2" s="113"/>
      <c r="AI2" s="113"/>
    </row>
    <row r="3" spans="1:35" x14ac:dyDescent="0.2">
      <c r="B3" s="308" t="s">
        <v>317</v>
      </c>
      <c r="C3" s="391">
        <f>Afb</f>
        <v>0.15767527500119166</v>
      </c>
      <c r="D3" s="310" t="s">
        <v>28</v>
      </c>
      <c r="E3" s="311" t="s">
        <v>318</v>
      </c>
      <c r="F3" s="309">
        <f>Acs</f>
        <v>21.739130434782609</v>
      </c>
      <c r="G3" s="310" t="s">
        <v>406</v>
      </c>
      <c r="H3" s="402" t="s">
        <v>334</v>
      </c>
      <c r="I3" s="414">
        <f>gm</f>
        <v>1.1999999999999999E-3</v>
      </c>
      <c r="J3" s="311" t="s">
        <v>425</v>
      </c>
      <c r="K3" s="312">
        <f>Fesr</f>
        <v>795774.71636878187</v>
      </c>
      <c r="L3" s="310" t="s">
        <v>9</v>
      </c>
      <c r="M3" s="311" t="s">
        <v>320</v>
      </c>
      <c r="N3" s="312">
        <f>Fsw/2</f>
        <v>1050000</v>
      </c>
      <c r="O3" s="310" t="s">
        <v>9</v>
      </c>
      <c r="P3" s="680" t="s">
        <v>844</v>
      </c>
      <c r="Q3" s="681">
        <f>((1/wffHz)+(1/wfftHz))</f>
        <v>5.8109410928520001E-6</v>
      </c>
      <c r="S3" s="680"/>
      <c r="T3" s="313" t="s">
        <v>321</v>
      </c>
      <c r="U3" s="312">
        <f>IF(VOUT_setting=1,Am*Afb*AEA,Am*AEA)</f>
        <v>824080.55861077167</v>
      </c>
      <c r="V3" s="310" t="s">
        <v>28</v>
      </c>
    </row>
    <row r="4" spans="1:35" x14ac:dyDescent="0.2">
      <c r="B4" s="308" t="s">
        <v>430</v>
      </c>
      <c r="C4" s="312">
        <f>Fz1_u</f>
        <v>3985.8488172741386</v>
      </c>
      <c r="D4" s="310" t="s">
        <v>9</v>
      </c>
      <c r="E4" s="311" t="s">
        <v>323</v>
      </c>
      <c r="F4" s="317">
        <f>Am</f>
        <v>10.73021560691109</v>
      </c>
      <c r="G4" s="310" t="s">
        <v>28</v>
      </c>
      <c r="H4" s="403"/>
      <c r="I4" s="403"/>
      <c r="J4" s="311" t="s">
        <v>424</v>
      </c>
      <c r="K4" s="312">
        <f>Fp_dominant</f>
        <v>1612.2183364797347</v>
      </c>
      <c r="L4" s="310" t="s">
        <v>9</v>
      </c>
      <c r="M4" s="311" t="s">
        <v>325</v>
      </c>
      <c r="N4" s="389">
        <f>Q*pole3</f>
        <v>169830.25523397583</v>
      </c>
      <c r="O4" s="681"/>
      <c r="P4" s="681" t="s">
        <v>845</v>
      </c>
      <c r="Q4" s="681">
        <f>((1/wfbtHz)+(1/wffHz)+(1/wfftHz)+(Afbr/wffHz))</f>
        <v>4.0613251007724614E-5</v>
      </c>
      <c r="R4" s="681"/>
      <c r="T4" s="313" t="s">
        <v>326</v>
      </c>
      <c r="U4" s="353">
        <f>AI7</f>
        <v>38.683500000000002</v>
      </c>
      <c r="V4" s="310" t="s">
        <v>2</v>
      </c>
    </row>
    <row r="5" spans="1:35" x14ac:dyDescent="0.2">
      <c r="B5" s="308" t="s">
        <v>429</v>
      </c>
      <c r="C5" s="317">
        <f>Fp1_u</f>
        <v>0.75343209626019259</v>
      </c>
      <c r="D5" s="310" t="s">
        <v>9</v>
      </c>
      <c r="E5" s="311" t="s">
        <v>27</v>
      </c>
      <c r="F5" s="391">
        <f>Q</f>
        <v>0.16174310022283411</v>
      </c>
      <c r="G5" s="310"/>
      <c r="H5" s="403"/>
      <c r="I5" s="403"/>
      <c r="J5" s="311"/>
      <c r="K5" s="312"/>
      <c r="L5" s="310"/>
      <c r="M5" s="311" t="s">
        <v>328</v>
      </c>
      <c r="N5" s="309">
        <f>pole3^2</f>
        <v>1102500000000</v>
      </c>
      <c r="O5" s="402"/>
      <c r="P5" s="402" t="s">
        <v>846</v>
      </c>
      <c r="Q5" s="402">
        <f>1/(wffHz*wfbtHz)</f>
        <v>1.5937437150456741E-12</v>
      </c>
      <c r="R5" s="402"/>
      <c r="S5" s="310"/>
      <c r="T5" s="313" t="s">
        <v>329</v>
      </c>
      <c r="U5" s="317">
        <f>AI9</f>
        <v>69.769035401800593</v>
      </c>
      <c r="V5" s="375" t="s">
        <v>386</v>
      </c>
    </row>
    <row r="6" spans="1:35" x14ac:dyDescent="0.2">
      <c r="B6" s="308" t="s">
        <v>330</v>
      </c>
      <c r="C6" s="309">
        <f>AEA</f>
        <v>76800</v>
      </c>
      <c r="D6" s="310" t="s">
        <v>28</v>
      </c>
      <c r="E6" s="311" t="s">
        <v>358</v>
      </c>
      <c r="F6" s="391">
        <f>mc</f>
        <v>4.2608695652173907</v>
      </c>
      <c r="G6" s="402"/>
      <c r="H6" s="405"/>
      <c r="I6" s="316"/>
      <c r="J6" s="314"/>
      <c r="K6" s="315"/>
      <c r="L6" s="316"/>
      <c r="M6" s="314"/>
      <c r="N6" s="417"/>
      <c r="O6" s="682"/>
      <c r="P6" s="682" t="s">
        <v>847</v>
      </c>
      <c r="Q6" s="688">
        <f>Rfb1_/Rfb2_u</f>
        <v>5.3078556263269636</v>
      </c>
      <c r="R6" s="682"/>
      <c r="S6" s="316"/>
      <c r="T6" s="387" t="s">
        <v>331</v>
      </c>
      <c r="U6" s="315">
        <f>180/Pi</f>
        <v>57.295779578552292</v>
      </c>
      <c r="V6" s="316"/>
      <c r="AH6" s="5" t="s">
        <v>46</v>
      </c>
      <c r="AI6" s="5"/>
    </row>
    <row r="7" spans="1:35" ht="13.5" thickBot="1" x14ac:dyDescent="0.25">
      <c r="B7" s="383" t="s">
        <v>428</v>
      </c>
      <c r="C7" s="390">
        <f>Fp2_u</f>
        <v>413223.14049586788</v>
      </c>
      <c r="D7" s="385" t="s">
        <v>9</v>
      </c>
      <c r="E7" s="384" t="s">
        <v>333</v>
      </c>
      <c r="F7" s="386">
        <f>k</f>
        <v>2.4679966941957705</v>
      </c>
      <c r="G7" s="386"/>
      <c r="H7" s="406"/>
      <c r="I7" s="385"/>
      <c r="J7" s="384"/>
      <c r="K7" s="384"/>
      <c r="L7" s="385"/>
      <c r="M7" s="384"/>
      <c r="N7" s="384"/>
      <c r="O7" s="384"/>
      <c r="P7" s="384"/>
      <c r="Q7" s="384"/>
      <c r="R7" s="384"/>
      <c r="S7" s="385"/>
      <c r="T7" s="384"/>
      <c r="U7" s="384"/>
      <c r="V7" s="385"/>
      <c r="AH7" t="s">
        <v>43</v>
      </c>
      <c r="AI7">
        <f>SUM(AH12:AH613)/1000</f>
        <v>38.683500000000002</v>
      </c>
    </row>
    <row r="8" spans="1:35" x14ac:dyDescent="0.2">
      <c r="B8" s="392"/>
      <c r="C8" s="393"/>
      <c r="F8" s="394"/>
      <c r="G8" s="394"/>
      <c r="H8" s="394"/>
    </row>
    <row r="9" spans="1:35" ht="13.5" thickBot="1" x14ac:dyDescent="0.25">
      <c r="AH9" t="s">
        <v>44</v>
      </c>
      <c r="AI9" s="4">
        <f>SUM(AI13:AI613)</f>
        <v>69.769035401800593</v>
      </c>
    </row>
    <row r="10" spans="1:35" ht="15" x14ac:dyDescent="0.25">
      <c r="A10" s="857" t="s">
        <v>437</v>
      </c>
      <c r="B10" s="851"/>
      <c r="C10" s="865" t="s">
        <v>335</v>
      </c>
      <c r="D10" s="866"/>
      <c r="E10" s="866"/>
      <c r="F10" s="866"/>
      <c r="G10" s="866"/>
      <c r="H10" s="867"/>
      <c r="I10" s="865" t="s">
        <v>336</v>
      </c>
      <c r="J10" s="866"/>
      <c r="K10" s="866"/>
      <c r="L10" s="866"/>
      <c r="M10" s="866"/>
      <c r="N10" s="867"/>
      <c r="O10" s="865" t="s">
        <v>833</v>
      </c>
      <c r="P10" s="866"/>
      <c r="Q10" s="866"/>
      <c r="R10" s="866"/>
      <c r="S10" s="860" t="s">
        <v>337</v>
      </c>
      <c r="T10" s="861"/>
      <c r="U10" s="860" t="s">
        <v>338</v>
      </c>
      <c r="V10" s="868"/>
      <c r="W10" s="869"/>
      <c r="AB10" s="871" t="s">
        <v>339</v>
      </c>
      <c r="AC10" s="872"/>
      <c r="AE10" s="871" t="s">
        <v>340</v>
      </c>
      <c r="AF10" s="872"/>
    </row>
    <row r="11" spans="1:35" x14ac:dyDescent="0.2">
      <c r="A11" s="858"/>
      <c r="B11" s="852"/>
      <c r="C11" s="873" t="s">
        <v>424</v>
      </c>
      <c r="D11" s="874"/>
      <c r="E11" s="874" t="s">
        <v>425</v>
      </c>
      <c r="F11" s="875"/>
      <c r="G11" s="863" t="s">
        <v>426</v>
      </c>
      <c r="H11" s="864"/>
      <c r="I11" s="873" t="s">
        <v>324</v>
      </c>
      <c r="J11" s="874"/>
      <c r="K11" s="874" t="s">
        <v>319</v>
      </c>
      <c r="L11" s="875"/>
      <c r="M11" s="863" t="s">
        <v>327</v>
      </c>
      <c r="N11" s="864"/>
      <c r="O11" s="873" t="s">
        <v>319</v>
      </c>
      <c r="P11" s="874"/>
      <c r="Q11" s="874" t="s">
        <v>834</v>
      </c>
      <c r="R11" s="875"/>
      <c r="S11" s="873" t="s">
        <v>320</v>
      </c>
      <c r="T11" s="875"/>
      <c r="U11" s="311"/>
      <c r="V11" s="309"/>
      <c r="W11" s="354"/>
      <c r="AB11" s="311"/>
      <c r="AC11" s="310"/>
      <c r="AE11" s="311"/>
      <c r="AF11" s="310"/>
    </row>
    <row r="12" spans="1:35" ht="13.5" thickBot="1" x14ac:dyDescent="0.25">
      <c r="A12" s="859"/>
      <c r="B12" s="351"/>
      <c r="C12" s="318" t="s">
        <v>341</v>
      </c>
      <c r="D12" s="319" t="s">
        <v>342</v>
      </c>
      <c r="E12" s="319" t="s">
        <v>341</v>
      </c>
      <c r="F12" s="320" t="s">
        <v>342</v>
      </c>
      <c r="G12" s="319" t="s">
        <v>341</v>
      </c>
      <c r="H12" s="320" t="s">
        <v>342</v>
      </c>
      <c r="I12" s="318" t="s">
        <v>341</v>
      </c>
      <c r="J12" s="319" t="s">
        <v>342</v>
      </c>
      <c r="K12" s="319" t="s">
        <v>341</v>
      </c>
      <c r="L12" s="320" t="s">
        <v>342</v>
      </c>
      <c r="M12" s="318" t="s">
        <v>341</v>
      </c>
      <c r="N12" s="319" t="s">
        <v>342</v>
      </c>
      <c r="O12" s="318" t="s">
        <v>341</v>
      </c>
      <c r="P12" s="319" t="s">
        <v>342</v>
      </c>
      <c r="Q12" s="319" t="s">
        <v>341</v>
      </c>
      <c r="R12" s="320" t="s">
        <v>342</v>
      </c>
      <c r="S12" s="318" t="s">
        <v>341</v>
      </c>
      <c r="T12" s="320" t="s">
        <v>342</v>
      </c>
      <c r="U12" s="318" t="s">
        <v>343</v>
      </c>
      <c r="V12" s="319" t="s">
        <v>345</v>
      </c>
      <c r="W12" s="355" t="s">
        <v>344</v>
      </c>
      <c r="Z12" s="321" t="s">
        <v>346</v>
      </c>
      <c r="AB12" s="322" t="s">
        <v>347</v>
      </c>
      <c r="AC12" s="323" t="s">
        <v>348</v>
      </c>
      <c r="AE12" s="322" t="s">
        <v>347</v>
      </c>
      <c r="AF12" s="323" t="s">
        <v>348</v>
      </c>
    </row>
    <row r="13" spans="1:35" x14ac:dyDescent="0.2">
      <c r="A13" s="324">
        <v>1</v>
      </c>
      <c r="B13" s="352">
        <f>A13/1000</f>
        <v>1E-3</v>
      </c>
      <c r="C13" s="325">
        <f t="shared" ref="C13:C76" si="0">SQRT(1+(A13/pole1)^2)</f>
        <v>1.0000001923633139</v>
      </c>
      <c r="D13" s="326">
        <f t="shared" ref="D13:D76" si="1">ATAN(A13/pole1)</f>
        <v>6.2026330375406803E-4</v>
      </c>
      <c r="E13" s="326">
        <f t="shared" ref="E13:E76" si="2">SQRT(1+(A13/Zero1)^2)</f>
        <v>1.0000000000007896</v>
      </c>
      <c r="F13" s="327">
        <f t="shared" ref="F13:F76" si="3">ATAN(A13/Zero1)</f>
        <v>1.2566370599993386E-6</v>
      </c>
      <c r="G13" s="326">
        <f t="shared" ref="G13:G76" si="4">IF(VIN_nom&gt;Vout, 1, SQRT(1+(A13/z_RHP)^2))</f>
        <v>1</v>
      </c>
      <c r="H13" s="327">
        <f t="shared" ref="H13:H76" si="5">IF(VIN_nom&gt;Vout, 0, -ATAN(A13/z_RHP))</f>
        <v>0</v>
      </c>
      <c r="I13" s="325">
        <f t="shared" ref="I13:I76" si="6">SQRT(1+(A13/Pole2)^2)</f>
        <v>1.6618116941190417</v>
      </c>
      <c r="J13" s="328">
        <f t="shared" ref="J13:J76" si="7">ATAN(A13/Pole2)</f>
        <v>0.9251022925550767</v>
      </c>
      <c r="K13" s="326">
        <f t="shared" ref="K13:K76" si="8">SQRT(1+(A13/Zero2)^2)</f>
        <v>1.0000000314722908</v>
      </c>
      <c r="L13" s="327">
        <f t="shared" ref="L13:L76" si="9">ATAN(A13/Zero2)</f>
        <v>2.5088758376499542E-4</v>
      </c>
      <c r="M13" s="325">
        <f t="shared" ref="M13:M76" si="10">SQRT(1+(A13/pole4)^2)</f>
        <v>1.0000000000029283</v>
      </c>
      <c r="N13" s="690">
        <f t="shared" ref="N13:N76" si="11">ATAN(A13/pole4)</f>
        <v>2.419999999995275E-6</v>
      </c>
      <c r="O13" s="683">
        <f t="shared" ref="O13:O76" si="12">IF(VOUT_setting=1,1,SQRT(1+(A13*zterm1)^2))</f>
        <v>1.0000000000168834</v>
      </c>
      <c r="P13" s="684">
        <f t="shared" ref="P13:P76" si="13">IF(VOUT_setting=1,0,ATAN(((A13*zterm1))))</f>
        <v>5.8109410927865939E-6</v>
      </c>
      <c r="Q13" s="683">
        <f>IF(VOUT_setting=1,1,SQRT((1+Afbr-pterm4*(A13)^2)^2+(A13*$Q$4)^2))</f>
        <v>6.3078556264561154</v>
      </c>
      <c r="R13" s="690">
        <f t="shared" ref="R13:R76" si="14">IF(VOUT_setting=1,0,ATAN(A13*$Q$4/(1+Afbr-$Q$5*(A13)^2)))</f>
        <v>6.438519429275934E-6</v>
      </c>
      <c r="S13" s="329">
        <f t="shared" ref="S13:S76" si="15">SQRT((1-(Z13/pterm2))^2+(A13/pterm1)^2)</f>
        <v>1.0000000000164286</v>
      </c>
      <c r="T13" s="330">
        <f t="shared" ref="T13:T76" si="16">IF((ATAN((A13/pterm1)/(1-A13^2/pterm2))&gt;0),ATAN((A13/pterm1)/(1-A13^2/pterm2)),PI()+ATAN((A13/pterm1)/(1-A13^2/pterm2)))</f>
        <v>5.8882323329941767E-6</v>
      </c>
      <c r="U13" s="331">
        <f t="shared" ref="U13:U76" si="17">20*LOG10(((E13*K13*G13*O13)/(C13*I13*S13*M13*Q13))*Adc)</f>
        <v>97.910120864692971</v>
      </c>
      <c r="V13" s="332">
        <f t="shared" ref="V13:V76" si="18">((F13+L13+H13+P13)-(D13+J13+T13+N13+R13))*radconv</f>
        <v>-53.026060695921707</v>
      </c>
      <c r="W13" s="563">
        <f t="shared" ref="W13:W76" si="19">IF(V13&gt;0,V13,V13+180)</f>
        <v>126.9739393040783</v>
      </c>
      <c r="Y13" s="307">
        <f t="shared" ref="Y13:Y76" si="20">IF(U13&lt;0,A13,1000000000)</f>
        <v>1000000000</v>
      </c>
      <c r="Z13" s="307">
        <f t="shared" ref="Z13:Z76" si="21">A13^2</f>
        <v>1</v>
      </c>
      <c r="AB13" s="333">
        <f t="shared" ref="AB13:AB76" si="22">20*LOG10((K13/(I13*M13))*AEA)</f>
        <v>93.295588458753173</v>
      </c>
      <c r="AC13" s="334">
        <f t="shared" ref="AC13:AC76" si="23">(L13-(J13+N13))*radconv</f>
        <v>-52.990220897937256</v>
      </c>
      <c r="AE13" s="333">
        <f t="shared" ref="AE13:AE76" si="24">20*LOG10((E13*G13/(C13*S13))*Acs*Am)</f>
        <v>47.357010665834885</v>
      </c>
      <c r="AF13" s="334">
        <f t="shared" ref="AF13:AF76" si="25">(F13+H13-(D13+T13))*radconv</f>
        <v>-3.5803840394416288E-2</v>
      </c>
      <c r="AH13">
        <f t="shared" ref="AH13:AH76" si="26">SUM((U14&lt;0)*(U13&gt;0))*A13</f>
        <v>0</v>
      </c>
      <c r="AI13">
        <f t="shared" ref="AI13:AI44" si="27">IF(AH13&gt;0,W11,0)</f>
        <v>0</v>
      </c>
    </row>
    <row r="14" spans="1:35" x14ac:dyDescent="0.2">
      <c r="A14" s="335">
        <v>1.0965</v>
      </c>
      <c r="B14" s="352">
        <f t="shared" ref="B14:B77" si="28">A14/1000</f>
        <v>1.0965E-3</v>
      </c>
      <c r="C14" s="325">
        <f t="shared" si="0"/>
        <v>1.0000002312807643</v>
      </c>
      <c r="D14" s="326">
        <f t="shared" si="1"/>
        <v>6.8011869492068118E-4</v>
      </c>
      <c r="E14" s="326">
        <f t="shared" si="2"/>
        <v>1.0000000000009495</v>
      </c>
      <c r="F14" s="327">
        <f t="shared" si="3"/>
        <v>1.3779025362891282E-6</v>
      </c>
      <c r="G14" s="326">
        <f t="shared" si="4"/>
        <v>1</v>
      </c>
      <c r="H14" s="327">
        <f t="shared" si="5"/>
        <v>0</v>
      </c>
      <c r="I14" s="325">
        <f t="shared" si="6"/>
        <v>1.765790199746335</v>
      </c>
      <c r="J14" s="328">
        <f t="shared" si="7"/>
        <v>0.96876395598735898</v>
      </c>
      <c r="K14" s="336">
        <f t="shared" si="8"/>
        <v>1.0000000378395204</v>
      </c>
      <c r="L14" s="337">
        <f t="shared" si="9"/>
        <v>2.7509823443057504E-4</v>
      </c>
      <c r="M14" s="325">
        <f t="shared" si="10"/>
        <v>1.0000000000035207</v>
      </c>
      <c r="N14" s="337">
        <f t="shared" si="11"/>
        <v>2.653529999993771E-6</v>
      </c>
      <c r="O14" s="343">
        <f t="shared" si="12"/>
        <v>1.0000000000202993</v>
      </c>
      <c r="P14" s="691">
        <f t="shared" si="13"/>
        <v>6.3716969082259915E-6</v>
      </c>
      <c r="Q14" s="336">
        <f>IF(VOUT_setting=1,1,SQRT((1+Afbr-pterm4*(A14)^2)^2+(A14*$Q$4)^2))</f>
        <v>6.3078556264822438</v>
      </c>
      <c r="R14" s="692">
        <f t="shared" si="14"/>
        <v>7.059836554181686E-6</v>
      </c>
      <c r="S14" s="329">
        <f t="shared" si="15"/>
        <v>1.0000000000197522</v>
      </c>
      <c r="T14" s="330">
        <f t="shared" si="16"/>
        <v>6.456446753114204E-6</v>
      </c>
      <c r="U14" s="331">
        <f t="shared" si="17"/>
        <v>97.382974754612306</v>
      </c>
      <c r="V14" s="332">
        <f t="shared" si="18"/>
        <v>-55.529774491644581</v>
      </c>
      <c r="W14" s="334">
        <f t="shared" si="19"/>
        <v>124.47022550835541</v>
      </c>
      <c r="Y14" s="307">
        <f t="shared" si="20"/>
        <v>1000000000</v>
      </c>
      <c r="Z14" s="307">
        <f t="shared" si="21"/>
        <v>1.2023122500000001</v>
      </c>
      <c r="AB14" s="333">
        <f t="shared" si="22"/>
        <v>92.768442686738894</v>
      </c>
      <c r="AC14" s="334">
        <f t="shared" si="23"/>
        <v>-55.490476154165648</v>
      </c>
      <c r="AE14" s="333">
        <f t="shared" si="24"/>
        <v>47.357010327774802</v>
      </c>
      <c r="AF14" s="334">
        <f t="shared" si="25"/>
        <v>-3.9258909981455141E-2</v>
      </c>
      <c r="AH14">
        <f t="shared" si="26"/>
        <v>0</v>
      </c>
      <c r="AI14">
        <f t="shared" si="27"/>
        <v>0</v>
      </c>
    </row>
    <row r="15" spans="1:35" x14ac:dyDescent="0.2">
      <c r="A15" s="335">
        <v>1.2022999999999999</v>
      </c>
      <c r="B15" s="352">
        <f t="shared" si="28"/>
        <v>1.2022999999999999E-3</v>
      </c>
      <c r="C15" s="325">
        <f t="shared" si="0"/>
        <v>1.0000002780660231</v>
      </c>
      <c r="D15" s="326">
        <f t="shared" si="1"/>
        <v>7.4574252749541885E-4</v>
      </c>
      <c r="E15" s="326">
        <f t="shared" si="2"/>
        <v>1.0000000000011413</v>
      </c>
      <c r="F15" s="327">
        <f t="shared" si="3"/>
        <v>1.5108547372368504E-6</v>
      </c>
      <c r="G15" s="326">
        <f t="shared" si="4"/>
        <v>1</v>
      </c>
      <c r="H15" s="327">
        <f t="shared" si="5"/>
        <v>0</v>
      </c>
      <c r="I15" s="325">
        <f t="shared" si="6"/>
        <v>1.883205651163032</v>
      </c>
      <c r="J15" s="328">
        <f t="shared" si="7"/>
        <v>1.0110049237128154</v>
      </c>
      <c r="K15" s="336">
        <f t="shared" si="8"/>
        <v>1.0000000454939917</v>
      </c>
      <c r="L15" s="337">
        <f t="shared" si="9"/>
        <v>3.0164213914096342E-4</v>
      </c>
      <c r="M15" s="325">
        <f t="shared" si="10"/>
        <v>1.0000000000042328</v>
      </c>
      <c r="N15" s="337">
        <f t="shared" si="11"/>
        <v>2.9095659999917888E-6</v>
      </c>
      <c r="O15" s="343">
        <f t="shared" si="12"/>
        <v>1.0000000000244056</v>
      </c>
      <c r="P15" s="691">
        <f t="shared" si="13"/>
        <v>6.9864944758222864E-6</v>
      </c>
      <c r="Q15" s="336">
        <f t="shared" ref="Q15:Q78" si="29">IF(VOUT_setting=1,1,SQRT((1+Afbr-$Q$5*(A15)^2)^2+(A15*$Q$4)^2))</f>
        <v>6.3078556265136552</v>
      </c>
      <c r="R15" s="692">
        <f t="shared" si="14"/>
        <v>7.7410319097716704E-6</v>
      </c>
      <c r="S15" s="329">
        <f t="shared" si="15"/>
        <v>1.0000000000237479</v>
      </c>
      <c r="T15" s="330">
        <f t="shared" si="16"/>
        <v>7.0794217339253076E-6</v>
      </c>
      <c r="U15" s="331">
        <f t="shared" si="17"/>
        <v>96.823801482384383</v>
      </c>
      <c r="V15" s="332">
        <f t="shared" si="18"/>
        <v>-57.952289332892363</v>
      </c>
      <c r="W15" s="334">
        <f t="shared" si="19"/>
        <v>122.04771066710764</v>
      </c>
      <c r="Y15" s="307">
        <f t="shared" si="20"/>
        <v>1000000000</v>
      </c>
      <c r="Z15" s="307">
        <f t="shared" si="21"/>
        <v>1.4455252899999997</v>
      </c>
      <c r="AB15" s="333">
        <f t="shared" si="22"/>
        <v>92.209269820923083</v>
      </c>
      <c r="AC15" s="334">
        <f t="shared" si="23"/>
        <v>-57.909199146216928</v>
      </c>
      <c r="AE15" s="333">
        <f t="shared" si="24"/>
        <v>47.357009921370263</v>
      </c>
      <c r="AF15" s="334">
        <f t="shared" si="25"/>
        <v>-4.3046954864940652E-2</v>
      </c>
      <c r="AH15">
        <f t="shared" si="26"/>
        <v>0</v>
      </c>
      <c r="AI15">
        <f t="shared" si="27"/>
        <v>0</v>
      </c>
    </row>
    <row r="16" spans="1:35" x14ac:dyDescent="0.2">
      <c r="A16" s="335">
        <v>1.3183</v>
      </c>
      <c r="B16" s="352">
        <f t="shared" si="28"/>
        <v>1.3183000000000001E-3</v>
      </c>
      <c r="C16" s="325">
        <f t="shared" si="0"/>
        <v>1.0000003343110437</v>
      </c>
      <c r="D16" s="326">
        <f t="shared" si="1"/>
        <v>8.176930359592192E-4</v>
      </c>
      <c r="E16" s="326">
        <f t="shared" si="2"/>
        <v>1.0000000000013722</v>
      </c>
      <c r="F16" s="327">
        <f t="shared" si="3"/>
        <v>1.6566246361964847E-6</v>
      </c>
      <c r="G16" s="326">
        <f t="shared" si="4"/>
        <v>1</v>
      </c>
      <c r="H16" s="327">
        <f t="shared" si="5"/>
        <v>0</v>
      </c>
      <c r="I16" s="325">
        <f t="shared" si="6"/>
        <v>2.0153268564047639</v>
      </c>
      <c r="J16" s="328">
        <f t="shared" si="7"/>
        <v>1.0515828472991509</v>
      </c>
      <c r="K16" s="336">
        <f t="shared" si="8"/>
        <v>1.000000054696162</v>
      </c>
      <c r="L16" s="337">
        <f t="shared" si="9"/>
        <v>3.3074509655660588E-4</v>
      </c>
      <c r="M16" s="325">
        <f t="shared" si="10"/>
        <v>1.0000000000050888</v>
      </c>
      <c r="N16" s="337">
        <f t="shared" si="11"/>
        <v>3.190285999989176E-6</v>
      </c>
      <c r="O16" s="343">
        <f t="shared" si="12"/>
        <v>1.0000000000293421</v>
      </c>
      <c r="P16" s="691">
        <f t="shared" si="13"/>
        <v>7.6605636425569403E-6</v>
      </c>
      <c r="Q16" s="336">
        <f t="shared" si="29"/>
        <v>6.3078556265514161</v>
      </c>
      <c r="R16" s="692">
        <f t="shared" si="14"/>
        <v>8.487900163529501E-6</v>
      </c>
      <c r="S16" s="329">
        <f t="shared" si="15"/>
        <v>1.0000000000285516</v>
      </c>
      <c r="T16" s="330">
        <f t="shared" si="16"/>
        <v>7.7624566845252178E-6</v>
      </c>
      <c r="U16" s="331">
        <f t="shared" si="17"/>
        <v>96.234846201076479</v>
      </c>
      <c r="V16" s="332">
        <f t="shared" si="18"/>
        <v>-60.279739120462388</v>
      </c>
      <c r="W16" s="334">
        <f t="shared" si="19"/>
        <v>119.72026087953762</v>
      </c>
      <c r="Y16" s="307">
        <f t="shared" si="20"/>
        <v>1000000000</v>
      </c>
      <c r="Z16" s="307">
        <f t="shared" si="21"/>
        <v>1.7379148900000001</v>
      </c>
      <c r="AB16" s="333">
        <f t="shared" si="22"/>
        <v>91.620315028201915</v>
      </c>
      <c r="AC16" s="334">
        <f t="shared" si="23"/>
        <v>-60.232491519213013</v>
      </c>
      <c r="AE16" s="333">
        <f t="shared" si="24"/>
        <v>47.357009432792658</v>
      </c>
      <c r="AF16" s="334">
        <f t="shared" si="25"/>
        <v>-4.7200198358421361E-2</v>
      </c>
      <c r="AH16">
        <f t="shared" si="26"/>
        <v>0</v>
      </c>
      <c r="AI16">
        <f t="shared" si="27"/>
        <v>0</v>
      </c>
    </row>
    <row r="17" spans="1:35" x14ac:dyDescent="0.2">
      <c r="A17" s="335">
        <v>1.4454</v>
      </c>
      <c r="B17" s="352">
        <f t="shared" si="28"/>
        <v>1.4454000000000001E-3</v>
      </c>
      <c r="C17" s="325">
        <f t="shared" si="0"/>
        <v>1.000000401881769</v>
      </c>
      <c r="D17" s="326">
        <f t="shared" si="1"/>
        <v>8.9652845401997738E-4</v>
      </c>
      <c r="E17" s="326">
        <f t="shared" si="2"/>
        <v>1.0000000000016496</v>
      </c>
      <c r="F17" s="327">
        <f t="shared" si="3"/>
        <v>1.8163432065220026E-6</v>
      </c>
      <c r="G17" s="326">
        <f t="shared" si="4"/>
        <v>1</v>
      </c>
      <c r="H17" s="327">
        <f t="shared" si="5"/>
        <v>0</v>
      </c>
      <c r="I17" s="325">
        <f t="shared" si="6"/>
        <v>2.1634091983845942</v>
      </c>
      <c r="J17" s="328">
        <f t="shared" si="7"/>
        <v>1.0902841593060766</v>
      </c>
      <c r="K17" s="336">
        <f t="shared" si="8"/>
        <v>1.0000000657513155</v>
      </c>
      <c r="L17" s="337">
        <f t="shared" si="9"/>
        <v>3.6263290528678964E-4</v>
      </c>
      <c r="M17" s="325">
        <f t="shared" si="10"/>
        <v>1.0000000000061176</v>
      </c>
      <c r="N17" s="337">
        <f t="shared" si="11"/>
        <v>3.4978679999857334E-6</v>
      </c>
      <c r="O17" s="343">
        <f t="shared" si="12"/>
        <v>1.0000000000352727</v>
      </c>
      <c r="P17" s="691">
        <f t="shared" si="13"/>
        <v>8.3991342554107729E-6</v>
      </c>
      <c r="Q17" s="336">
        <f t="shared" si="29"/>
        <v>6.3078556265967825</v>
      </c>
      <c r="R17" s="692">
        <f t="shared" si="14"/>
        <v>9.3062359829379334E-6</v>
      </c>
      <c r="S17" s="329">
        <f t="shared" si="15"/>
        <v>1.0000000000343223</v>
      </c>
      <c r="T17" s="330">
        <f t="shared" si="16"/>
        <v>8.5108510140110577E-6</v>
      </c>
      <c r="U17" s="331">
        <f t="shared" si="17"/>
        <v>95.618982119407946</v>
      </c>
      <c r="V17" s="332">
        <f t="shared" si="18"/>
        <v>-62.499906784484608</v>
      </c>
      <c r="W17" s="334">
        <f t="shared" si="19"/>
        <v>117.50009321551539</v>
      </c>
      <c r="Y17" s="307">
        <f t="shared" si="20"/>
        <v>1000000000</v>
      </c>
      <c r="Z17" s="307">
        <f t="shared" si="21"/>
        <v>2.0891811599999999</v>
      </c>
      <c r="AB17" s="333">
        <f t="shared" si="22"/>
        <v>91.004451533503712</v>
      </c>
      <c r="AC17" s="334">
        <f t="shared" si="23"/>
        <v>-62.448103947652832</v>
      </c>
      <c r="AE17" s="333">
        <f t="shared" si="24"/>
        <v>47.357008845833299</v>
      </c>
      <c r="AF17" s="334">
        <f t="shared" si="25"/>
        <v>-5.1750863731153673E-2</v>
      </c>
      <c r="AH17">
        <f t="shared" si="26"/>
        <v>0</v>
      </c>
      <c r="AI17">
        <f t="shared" si="27"/>
        <v>0</v>
      </c>
    </row>
    <row r="18" spans="1:35" x14ac:dyDescent="0.2">
      <c r="A18" s="335">
        <v>1.5849</v>
      </c>
      <c r="B18" s="352">
        <f t="shared" si="28"/>
        <v>1.5849E-3</v>
      </c>
      <c r="C18" s="325">
        <f t="shared" si="0"/>
        <v>1.0000004831988785</v>
      </c>
      <c r="D18" s="326">
        <f t="shared" si="1"/>
        <v>9.8305511951492404E-4</v>
      </c>
      <c r="E18" s="326">
        <f t="shared" si="2"/>
        <v>1.0000000000019833</v>
      </c>
      <c r="F18" s="327">
        <f t="shared" si="3"/>
        <v>1.9916440763913668E-6</v>
      </c>
      <c r="G18" s="326">
        <f t="shared" si="4"/>
        <v>1</v>
      </c>
      <c r="H18" s="327">
        <f t="shared" si="5"/>
        <v>0</v>
      </c>
      <c r="I18" s="325">
        <f t="shared" si="6"/>
        <v>2.3291677983365413</v>
      </c>
      <c r="J18" s="328">
        <f t="shared" si="7"/>
        <v>1.1270367888164614</v>
      </c>
      <c r="K18" s="336">
        <f t="shared" si="8"/>
        <v>1.000000079055497</v>
      </c>
      <c r="L18" s="337">
        <f t="shared" si="9"/>
        <v>3.9763171889541343E-4</v>
      </c>
      <c r="M18" s="325">
        <f t="shared" si="10"/>
        <v>1.0000000000073554</v>
      </c>
      <c r="N18" s="337">
        <f t="shared" si="11"/>
        <v>3.8354579999811917E-6</v>
      </c>
      <c r="O18" s="343">
        <f t="shared" si="12"/>
        <v>1.0000000000424099</v>
      </c>
      <c r="P18" s="691">
        <f t="shared" si="13"/>
        <v>9.2097605378007458E-6</v>
      </c>
      <c r="Q18" s="336">
        <f t="shared" si="29"/>
        <v>6.3078556266513788</v>
      </c>
      <c r="R18" s="692">
        <f t="shared" si="14"/>
        <v>1.0204409443250137E-5</v>
      </c>
      <c r="S18" s="329">
        <f t="shared" si="15"/>
        <v>1.000000000041267</v>
      </c>
      <c r="T18" s="330">
        <f t="shared" si="16"/>
        <v>9.3322594244122024E-6</v>
      </c>
      <c r="U18" s="331">
        <f t="shared" si="17"/>
        <v>94.977739423056349</v>
      </c>
      <c r="V18" s="332">
        <f t="shared" si="18"/>
        <v>-64.608691050088922</v>
      </c>
      <c r="W18" s="334">
        <f t="shared" si="19"/>
        <v>115.39130894991108</v>
      </c>
      <c r="Y18" s="307">
        <f t="shared" si="20"/>
        <v>1000000000</v>
      </c>
      <c r="Z18" s="307">
        <f t="shared" si="21"/>
        <v>2.51190801</v>
      </c>
      <c r="AB18" s="333">
        <f t="shared" si="22"/>
        <v>90.363209543533841</v>
      </c>
      <c r="AC18" s="334">
        <f t="shared" si="23"/>
        <v>-64.551888565184242</v>
      </c>
      <c r="AE18" s="333">
        <f t="shared" si="24"/>
        <v>47.357008139464739</v>
      </c>
      <c r="AF18" s="334">
        <f t="shared" si="25"/>
        <v>-5.6745495720245606E-2</v>
      </c>
      <c r="AH18">
        <f t="shared" si="26"/>
        <v>0</v>
      </c>
      <c r="AI18">
        <f t="shared" si="27"/>
        <v>0</v>
      </c>
    </row>
    <row r="19" spans="1:35" x14ac:dyDescent="0.2">
      <c r="A19" s="335">
        <v>1.7378</v>
      </c>
      <c r="B19" s="352">
        <f t="shared" si="28"/>
        <v>1.7378000000000001E-3</v>
      </c>
      <c r="C19" s="325">
        <f t="shared" si="0"/>
        <v>1.0000005809272536</v>
      </c>
      <c r="D19" s="326">
        <f t="shared" si="1"/>
        <v>1.0778932900435535E-3</v>
      </c>
      <c r="E19" s="326">
        <f t="shared" si="2"/>
        <v>1.0000000000023843</v>
      </c>
      <c r="F19" s="327">
        <f t="shared" si="3"/>
        <v>2.1837838828645288E-6</v>
      </c>
      <c r="G19" s="326">
        <f t="shared" si="4"/>
        <v>1</v>
      </c>
      <c r="H19" s="327">
        <f t="shared" si="5"/>
        <v>0</v>
      </c>
      <c r="I19" s="325">
        <f t="shared" si="6"/>
        <v>2.5139603333951541</v>
      </c>
      <c r="J19" s="328">
        <f t="shared" si="7"/>
        <v>1.1617017846863937</v>
      </c>
      <c r="K19" s="336">
        <f t="shared" si="8"/>
        <v>1.0000000950447048</v>
      </c>
      <c r="L19" s="337">
        <f t="shared" si="9"/>
        <v>4.3599242458874888E-4</v>
      </c>
      <c r="M19" s="325">
        <f t="shared" si="10"/>
        <v>1.0000000000088431</v>
      </c>
      <c r="N19" s="337">
        <f t="shared" si="11"/>
        <v>4.2054759999752065E-6</v>
      </c>
      <c r="O19" s="343">
        <f t="shared" si="12"/>
        <v>1.0000000000509872</v>
      </c>
      <c r="P19" s="691">
        <f t="shared" si="13"/>
        <v>1.0098253430814951E-5</v>
      </c>
      <c r="Q19" s="336">
        <f t="shared" si="29"/>
        <v>6.307855626716993</v>
      </c>
      <c r="R19" s="692">
        <f t="shared" si="14"/>
        <v>1.1188859063889125E-5</v>
      </c>
      <c r="S19" s="329">
        <f t="shared" si="15"/>
        <v>1.0000000000496136</v>
      </c>
      <c r="T19" s="330">
        <f t="shared" si="16"/>
        <v>1.023257014805715E-5</v>
      </c>
      <c r="U19" s="331">
        <f t="shared" si="17"/>
        <v>94.314585839193455</v>
      </c>
      <c r="V19" s="332">
        <f t="shared" si="18"/>
        <v>-66.59815220651042</v>
      </c>
      <c r="W19" s="334">
        <f t="shared" si="19"/>
        <v>113.40184779348958</v>
      </c>
      <c r="Y19" s="307">
        <f t="shared" si="20"/>
        <v>1000000000</v>
      </c>
      <c r="Z19" s="307">
        <f t="shared" si="21"/>
        <v>3.0199488400000001</v>
      </c>
      <c r="AB19" s="333">
        <f t="shared" si="22"/>
        <v>89.700056808613226</v>
      </c>
      <c r="AC19" s="334">
        <f t="shared" si="23"/>
        <v>-66.535869821571197</v>
      </c>
      <c r="AE19" s="333">
        <f t="shared" si="24"/>
        <v>47.357007290538306</v>
      </c>
      <c r="AF19" s="334">
        <f t="shared" si="25"/>
        <v>-6.2219897839261344E-2</v>
      </c>
      <c r="AH19">
        <f t="shared" si="26"/>
        <v>0</v>
      </c>
      <c r="AI19">
        <f t="shared" si="27"/>
        <v>0</v>
      </c>
    </row>
    <row r="20" spans="1:35" x14ac:dyDescent="0.2">
      <c r="A20" s="335">
        <v>1.9055</v>
      </c>
      <c r="B20" s="352">
        <f t="shared" si="28"/>
        <v>1.9055000000000001E-3</v>
      </c>
      <c r="C20" s="325">
        <f t="shared" si="0"/>
        <v>1.0000006984575984</v>
      </c>
      <c r="D20" s="326">
        <f t="shared" si="1"/>
        <v>1.1819113265310614E-3</v>
      </c>
      <c r="E20" s="326">
        <f t="shared" si="2"/>
        <v>1.0000000000028668</v>
      </c>
      <c r="F20" s="327">
        <f t="shared" si="3"/>
        <v>2.3945219178254238E-6</v>
      </c>
      <c r="G20" s="326">
        <f t="shared" si="4"/>
        <v>1</v>
      </c>
      <c r="H20" s="327">
        <f t="shared" si="5"/>
        <v>0</v>
      </c>
      <c r="I20" s="325">
        <f t="shared" si="6"/>
        <v>2.7196162362737817</v>
      </c>
      <c r="J20" s="328">
        <f t="shared" si="7"/>
        <v>1.1942629278506869</v>
      </c>
      <c r="K20" s="336">
        <f t="shared" si="8"/>
        <v>1.0000001142736876</v>
      </c>
      <c r="L20" s="337">
        <f t="shared" si="9"/>
        <v>4.7806626447449647E-4</v>
      </c>
      <c r="M20" s="325">
        <f t="shared" si="10"/>
        <v>1.0000000000106319</v>
      </c>
      <c r="N20" s="337">
        <f t="shared" si="11"/>
        <v>4.6113099999673131E-6</v>
      </c>
      <c r="O20" s="343">
        <f t="shared" si="12"/>
        <v>1.000000000061303</v>
      </c>
      <c r="P20" s="691">
        <f t="shared" si="13"/>
        <v>1.1072748251976958E-5</v>
      </c>
      <c r="Q20" s="336">
        <f t="shared" si="29"/>
        <v>6.3078556267959014</v>
      </c>
      <c r="R20" s="692">
        <f t="shared" si="14"/>
        <v>1.2268598772047427E-5</v>
      </c>
      <c r="S20" s="329">
        <f t="shared" si="15"/>
        <v>1.0000000000596512</v>
      </c>
      <c r="T20" s="330">
        <f t="shared" si="16"/>
        <v>1.1220026710206022E-5</v>
      </c>
      <c r="U20" s="331">
        <f t="shared" si="17"/>
        <v>93.631600897245804</v>
      </c>
      <c r="V20" s="332">
        <f t="shared" si="18"/>
        <v>-68.46739121446889</v>
      </c>
      <c r="W20" s="334">
        <f t="shared" si="19"/>
        <v>111.53260878553111</v>
      </c>
      <c r="Y20" s="307">
        <f t="shared" si="20"/>
        <v>1000000000</v>
      </c>
      <c r="Z20" s="307">
        <f t="shared" si="21"/>
        <v>3.63093025</v>
      </c>
      <c r="AB20" s="333">
        <f t="shared" si="22"/>
        <v>89.017072887622589</v>
      </c>
      <c r="AC20" s="334">
        <f t="shared" si="23"/>
        <v>-68.399098502257516</v>
      </c>
      <c r="AE20" s="333">
        <f t="shared" si="24"/>
        <v>47.357006269600355</v>
      </c>
      <c r="AF20" s="334">
        <f t="shared" si="25"/>
        <v>-6.8224195023571743E-2</v>
      </c>
      <c r="AH20">
        <f t="shared" si="26"/>
        <v>0</v>
      </c>
      <c r="AI20">
        <f t="shared" si="27"/>
        <v>0</v>
      </c>
    </row>
    <row r="21" spans="1:35" x14ac:dyDescent="0.2">
      <c r="A21" s="335">
        <v>2.0893000000000002</v>
      </c>
      <c r="B21" s="352">
        <f t="shared" si="28"/>
        <v>2.0893000000000001E-3</v>
      </c>
      <c r="C21" s="325">
        <f t="shared" si="0"/>
        <v>1.0000008396991587</v>
      </c>
      <c r="D21" s="326">
        <f t="shared" si="1"/>
        <v>1.2959155612717358E-3</v>
      </c>
      <c r="E21" s="326">
        <f t="shared" si="2"/>
        <v>1.0000000000034466</v>
      </c>
      <c r="F21" s="327">
        <f t="shared" si="3"/>
        <v>2.6254918094519678E-6</v>
      </c>
      <c r="G21" s="326">
        <f t="shared" si="4"/>
        <v>1</v>
      </c>
      <c r="H21" s="327">
        <f t="shared" si="5"/>
        <v>0</v>
      </c>
      <c r="I21" s="325">
        <f t="shared" si="6"/>
        <v>2.9478416545900292</v>
      </c>
      <c r="J21" s="328">
        <f t="shared" si="7"/>
        <v>1.2246967611285295</v>
      </c>
      <c r="K21" s="336">
        <f t="shared" si="8"/>
        <v>1.0000001373820331</v>
      </c>
      <c r="L21" s="337">
        <f t="shared" si="9"/>
        <v>5.2417939174973633E-4</v>
      </c>
      <c r="M21" s="325">
        <f t="shared" si="10"/>
        <v>1.0000000000127822</v>
      </c>
      <c r="N21" s="337">
        <f t="shared" si="11"/>
        <v>5.0561059999569135E-6</v>
      </c>
      <c r="O21" s="343">
        <f t="shared" si="12"/>
        <v>1.0000000000736995</v>
      </c>
      <c r="P21" s="691">
        <f t="shared" si="13"/>
        <v>1.214079922469917E-5</v>
      </c>
      <c r="Q21" s="336">
        <f t="shared" si="29"/>
        <v>6.3078556268907295</v>
      </c>
      <c r="R21" s="692">
        <f t="shared" si="14"/>
        <v>1.3451998642972121E-5</v>
      </c>
      <c r="S21" s="329">
        <f t="shared" si="15"/>
        <v>1.0000000000717137</v>
      </c>
      <c r="T21" s="330">
        <f t="shared" si="16"/>
        <v>1.2302283812883829E-5</v>
      </c>
      <c r="U21" s="331">
        <f t="shared" si="17"/>
        <v>92.9316693489627</v>
      </c>
      <c r="V21" s="332">
        <f t="shared" si="18"/>
        <v>-70.215092160718285</v>
      </c>
      <c r="W21" s="334">
        <f t="shared" si="19"/>
        <v>109.78490783928171</v>
      </c>
      <c r="Y21" s="307">
        <f t="shared" si="20"/>
        <v>1000000000</v>
      </c>
      <c r="Z21" s="307">
        <f t="shared" si="21"/>
        <v>4.3651744900000002</v>
      </c>
      <c r="AB21" s="333">
        <f t="shared" si="22"/>
        <v>88.31714256626978</v>
      </c>
      <c r="AC21" s="334">
        <f t="shared" si="23"/>
        <v>-70.14021210283272</v>
      </c>
      <c r="AE21" s="333">
        <f t="shared" si="24"/>
        <v>47.357005042692961</v>
      </c>
      <c r="AF21" s="334">
        <f t="shared" si="25"/>
        <v>-7.4804931692697391E-2</v>
      </c>
      <c r="AH21">
        <f t="shared" si="26"/>
        <v>0</v>
      </c>
      <c r="AI21">
        <f t="shared" si="27"/>
        <v>0</v>
      </c>
    </row>
    <row r="22" spans="1:35" x14ac:dyDescent="0.2">
      <c r="A22" s="335">
        <v>2.2909000000000002</v>
      </c>
      <c r="B22" s="352">
        <f t="shared" si="28"/>
        <v>2.2909000000000002E-3</v>
      </c>
      <c r="C22" s="325">
        <f t="shared" si="0"/>
        <v>1.0000010095651188</v>
      </c>
      <c r="D22" s="326">
        <f t="shared" si="1"/>
        <v>1.4209604284293735E-3</v>
      </c>
      <c r="E22" s="326">
        <f t="shared" si="2"/>
        <v>1.0000000000041438</v>
      </c>
      <c r="F22" s="327">
        <f t="shared" si="3"/>
        <v>2.8788298407460477E-6</v>
      </c>
      <c r="G22" s="326">
        <f t="shared" si="4"/>
        <v>1</v>
      </c>
      <c r="H22" s="327">
        <f t="shared" si="5"/>
        <v>0</v>
      </c>
      <c r="I22" s="325">
        <f t="shared" si="6"/>
        <v>3.2008380668425942</v>
      </c>
      <c r="J22" s="328">
        <f t="shared" si="7"/>
        <v>1.2530587565102276</v>
      </c>
      <c r="K22" s="336">
        <f t="shared" si="8"/>
        <v>1.0000001651735828</v>
      </c>
      <c r="L22" s="337">
        <f t="shared" si="9"/>
        <v>5.7475831441660991E-4</v>
      </c>
      <c r="M22" s="325">
        <f t="shared" si="10"/>
        <v>1.0000000000153677</v>
      </c>
      <c r="N22" s="337">
        <f t="shared" si="11"/>
        <v>5.5439779999431993E-6</v>
      </c>
      <c r="O22" s="343">
        <f t="shared" si="12"/>
        <v>1.0000000000886085</v>
      </c>
      <c r="P22" s="691">
        <f t="shared" si="13"/>
        <v>1.3312284948828261E-5</v>
      </c>
      <c r="Q22" s="336">
        <f t="shared" si="29"/>
        <v>6.3078556270047761</v>
      </c>
      <c r="R22" s="692">
        <f t="shared" si="14"/>
        <v>1.4750004159678206E-5</v>
      </c>
      <c r="S22" s="329">
        <f t="shared" si="15"/>
        <v>1.000000000086221</v>
      </c>
      <c r="T22" s="330">
        <f t="shared" si="16"/>
        <v>1.348935145104605E-5</v>
      </c>
      <c r="U22" s="331">
        <f t="shared" si="17"/>
        <v>92.216477074933536</v>
      </c>
      <c r="V22" s="332">
        <f t="shared" si="18"/>
        <v>-71.844470081680072</v>
      </c>
      <c r="W22" s="334">
        <f t="shared" si="19"/>
        <v>108.15552991831993</v>
      </c>
      <c r="Y22" s="307">
        <f t="shared" si="20"/>
        <v>1000000000</v>
      </c>
      <c r="Z22" s="307">
        <f t="shared" si="21"/>
        <v>5.2482228100000006</v>
      </c>
      <c r="AB22" s="333">
        <f t="shared" si="22"/>
        <v>87.601951767823735</v>
      </c>
      <c r="AC22" s="334">
        <f t="shared" si="23"/>
        <v>-71.762364732832552</v>
      </c>
      <c r="AE22" s="333">
        <f t="shared" si="24"/>
        <v>47.35700356713739</v>
      </c>
      <c r="AF22" s="334">
        <f t="shared" si="25"/>
        <v>-8.2022973604531826E-2</v>
      </c>
      <c r="AH22">
        <f t="shared" si="26"/>
        <v>0</v>
      </c>
      <c r="AI22">
        <f t="shared" si="27"/>
        <v>0</v>
      </c>
    </row>
    <row r="23" spans="1:35" x14ac:dyDescent="0.2">
      <c r="A23" s="335">
        <v>2.5118999999999998</v>
      </c>
      <c r="B23" s="352">
        <f t="shared" si="28"/>
        <v>2.5118999999999996E-3</v>
      </c>
      <c r="C23" s="325">
        <f t="shared" si="0"/>
        <v>1.0000012137429493</v>
      </c>
      <c r="D23" s="326">
        <f t="shared" si="1"/>
        <v>1.558038331800947E-3</v>
      </c>
      <c r="E23" s="326">
        <f t="shared" si="2"/>
        <v>1.0000000000049818</v>
      </c>
      <c r="F23" s="327">
        <f t="shared" si="3"/>
        <v>3.1565466310035161E-6</v>
      </c>
      <c r="G23" s="326">
        <f t="shared" si="4"/>
        <v>1</v>
      </c>
      <c r="H23" s="327">
        <f t="shared" si="5"/>
        <v>0</v>
      </c>
      <c r="I23" s="325">
        <f t="shared" si="6"/>
        <v>3.4806865568493635</v>
      </c>
      <c r="J23" s="328">
        <f t="shared" si="7"/>
        <v>1.27938990020751</v>
      </c>
      <c r="K23" s="336">
        <f t="shared" si="8"/>
        <v>1.0000001985788582</v>
      </c>
      <c r="L23" s="337">
        <f t="shared" si="9"/>
        <v>6.3020445145175877E-4</v>
      </c>
      <c r="M23" s="325">
        <f t="shared" si="10"/>
        <v>1.0000000000184759</v>
      </c>
      <c r="N23" s="337">
        <f t="shared" si="11"/>
        <v>6.0787979999251236E-6</v>
      </c>
      <c r="O23" s="343">
        <f t="shared" si="12"/>
        <v>1.000000000106529</v>
      </c>
      <c r="P23" s="691">
        <f t="shared" si="13"/>
        <v>1.4596502930098304E-5</v>
      </c>
      <c r="Q23" s="336">
        <f t="shared" si="29"/>
        <v>6.3078556271418593</v>
      </c>
      <c r="R23" s="692">
        <f t="shared" si="14"/>
        <v>1.6172916953233318E-5</v>
      </c>
      <c r="S23" s="329">
        <f t="shared" si="15"/>
        <v>1.0000000001036589</v>
      </c>
      <c r="T23" s="330">
        <f t="shared" si="16"/>
        <v>1.4790650796411689E-5</v>
      </c>
      <c r="U23" s="331">
        <f t="shared" si="17"/>
        <v>91.488451340513848</v>
      </c>
      <c r="V23" s="332">
        <f t="shared" si="18"/>
        <v>-73.357907879218061</v>
      </c>
      <c r="W23" s="334">
        <f t="shared" si="19"/>
        <v>106.64209212078194</v>
      </c>
      <c r="Y23" s="307">
        <f t="shared" si="20"/>
        <v>1000000000</v>
      </c>
      <c r="Z23" s="307">
        <f t="shared" si="21"/>
        <v>6.309641609999999</v>
      </c>
      <c r="AB23" s="333">
        <f t="shared" si="22"/>
        <v>86.873927807045447</v>
      </c>
      <c r="AC23" s="334">
        <f t="shared" si="23"/>
        <v>-73.267881951446014</v>
      </c>
      <c r="AE23" s="333">
        <f t="shared" si="24"/>
        <v>47.357001793529072</v>
      </c>
      <c r="AF23" s="334">
        <f t="shared" si="25"/>
        <v>-8.9935605901657528E-2</v>
      </c>
      <c r="AH23">
        <f t="shared" si="26"/>
        <v>0</v>
      </c>
      <c r="AI23">
        <f t="shared" si="27"/>
        <v>0</v>
      </c>
    </row>
    <row r="24" spans="1:35" x14ac:dyDescent="0.2">
      <c r="A24" s="335">
        <v>2.7542</v>
      </c>
      <c r="B24" s="352">
        <f t="shared" si="28"/>
        <v>2.7542000000000001E-3</v>
      </c>
      <c r="C24" s="325">
        <f t="shared" si="0"/>
        <v>1.0000014591936224</v>
      </c>
      <c r="D24" s="326">
        <f t="shared" si="1"/>
        <v>1.708327748425473E-3</v>
      </c>
      <c r="E24" s="326">
        <f t="shared" si="2"/>
        <v>1.0000000000059894</v>
      </c>
      <c r="F24" s="327">
        <f t="shared" si="3"/>
        <v>3.4610297906381803E-6</v>
      </c>
      <c r="G24" s="326">
        <f t="shared" si="4"/>
        <v>1</v>
      </c>
      <c r="H24" s="327">
        <f t="shared" si="5"/>
        <v>0</v>
      </c>
      <c r="I24" s="325">
        <f t="shared" si="6"/>
        <v>3.7898497839899727</v>
      </c>
      <c r="J24" s="328">
        <f t="shared" si="7"/>
        <v>1.3037716805673591</v>
      </c>
      <c r="K24" s="336">
        <f t="shared" si="8"/>
        <v>1.0000002387367386</v>
      </c>
      <c r="L24" s="337">
        <f t="shared" si="9"/>
        <v>6.9099448772649255E-4</v>
      </c>
      <c r="M24" s="325">
        <f t="shared" si="10"/>
        <v>1.0000000000222122</v>
      </c>
      <c r="N24" s="337">
        <f t="shared" si="11"/>
        <v>6.6651639999012995E-6</v>
      </c>
      <c r="O24" s="343">
        <f t="shared" si="12"/>
        <v>1.0000000001280718</v>
      </c>
      <c r="P24" s="691">
        <f t="shared" si="13"/>
        <v>1.6004493956566494E-5</v>
      </c>
      <c r="Q24" s="336">
        <f t="shared" si="29"/>
        <v>6.3078556273066519</v>
      </c>
      <c r="R24" s="692">
        <f t="shared" si="14"/>
        <v>1.7732970210527565E-5</v>
      </c>
      <c r="S24" s="329">
        <f t="shared" si="15"/>
        <v>1.0000000001246212</v>
      </c>
      <c r="T24" s="330">
        <f t="shared" si="16"/>
        <v>1.6217369490395119E-5</v>
      </c>
      <c r="U24" s="331">
        <f t="shared" si="17"/>
        <v>90.749307946608951</v>
      </c>
      <c r="V24" s="332">
        <f t="shared" si="18"/>
        <v>-74.760115537398548</v>
      </c>
      <c r="W24" s="334">
        <f t="shared" si="19"/>
        <v>105.23988446260145</v>
      </c>
      <c r="Y24" s="307">
        <f t="shared" si="20"/>
        <v>1000000000</v>
      </c>
      <c r="Z24" s="307">
        <f t="shared" si="21"/>
        <v>7.5856176399999997</v>
      </c>
      <c r="AB24" s="333">
        <f t="shared" si="22"/>
        <v>86.134786545308302</v>
      </c>
      <c r="AC24" s="334">
        <f t="shared" si="23"/>
        <v>-74.661405648454718</v>
      </c>
      <c r="AE24" s="333">
        <f t="shared" si="24"/>
        <v>47.35699966140114</v>
      </c>
      <c r="AF24" s="334">
        <f t="shared" si="25"/>
        <v>-9.8610854549376833E-2</v>
      </c>
      <c r="AH24">
        <f t="shared" si="26"/>
        <v>0</v>
      </c>
      <c r="AI24">
        <f t="shared" si="27"/>
        <v>0</v>
      </c>
    </row>
    <row r="25" spans="1:35" x14ac:dyDescent="0.2">
      <c r="A25" s="335">
        <v>3.02</v>
      </c>
      <c r="B25" s="352">
        <f t="shared" si="28"/>
        <v>3.0200000000000001E-3</v>
      </c>
      <c r="C25" s="325">
        <f t="shared" si="0"/>
        <v>1.0000017544289972</v>
      </c>
      <c r="D25" s="326">
        <f t="shared" si="1"/>
        <v>1.8731932266370906E-3</v>
      </c>
      <c r="E25" s="326">
        <f t="shared" si="2"/>
        <v>1.0000000000072011</v>
      </c>
      <c r="F25" s="327">
        <f t="shared" si="3"/>
        <v>3.795043921181781E-6</v>
      </c>
      <c r="G25" s="326">
        <f t="shared" si="4"/>
        <v>1</v>
      </c>
      <c r="H25" s="327">
        <f t="shared" si="5"/>
        <v>0</v>
      </c>
      <c r="I25" s="325">
        <f t="shared" si="6"/>
        <v>4.1311816445715843</v>
      </c>
      <c r="J25" s="328">
        <f t="shared" si="7"/>
        <v>1.3263063571377858</v>
      </c>
      <c r="K25" s="336">
        <f t="shared" si="8"/>
        <v>1.000000287039843</v>
      </c>
      <c r="L25" s="337">
        <f t="shared" si="9"/>
        <v>7.5768037387794439E-4</v>
      </c>
      <c r="M25" s="325">
        <f t="shared" si="10"/>
        <v>1.0000000000267062</v>
      </c>
      <c r="N25" s="337">
        <f t="shared" si="11"/>
        <v>7.3083999998698781E-6</v>
      </c>
      <c r="O25" s="343">
        <f t="shared" si="12"/>
        <v>1.0000000001539844</v>
      </c>
      <c r="P25" s="691">
        <f t="shared" si="13"/>
        <v>1.7549042098611521E-5</v>
      </c>
      <c r="Q25" s="336">
        <f t="shared" si="29"/>
        <v>6.3078556275048712</v>
      </c>
      <c r="R25" s="692">
        <f t="shared" si="14"/>
        <v>1.9444328674271385E-5</v>
      </c>
      <c r="S25" s="329">
        <f t="shared" si="15"/>
        <v>1.0000000001498355</v>
      </c>
      <c r="T25" s="330">
        <f t="shared" si="16"/>
        <v>1.7782461644104539E-5</v>
      </c>
      <c r="U25" s="331">
        <f t="shared" si="17"/>
        <v>90.000259911093309</v>
      </c>
      <c r="V25" s="332">
        <f t="shared" si="18"/>
        <v>-76.056999623128021</v>
      </c>
      <c r="W25" s="334">
        <f t="shared" si="19"/>
        <v>103.94300037687198</v>
      </c>
      <c r="Y25" s="307">
        <f t="shared" si="20"/>
        <v>1000000000</v>
      </c>
      <c r="Z25" s="307">
        <f t="shared" si="21"/>
        <v>9.1204000000000001</v>
      </c>
      <c r="AB25" s="333">
        <f t="shared" si="22"/>
        <v>85.385741074426775</v>
      </c>
      <c r="AC25" s="334">
        <f t="shared" si="23"/>
        <v>-75.948763544981986</v>
      </c>
      <c r="AE25" s="333">
        <f t="shared" si="24"/>
        <v>47.356997096814894</v>
      </c>
      <c r="AF25" s="334">
        <f t="shared" si="25"/>
        <v>-0.1081274862241616</v>
      </c>
      <c r="AH25">
        <f t="shared" si="26"/>
        <v>0</v>
      </c>
      <c r="AI25">
        <f t="shared" si="27"/>
        <v>0</v>
      </c>
    </row>
    <row r="26" spans="1:35" x14ac:dyDescent="0.2">
      <c r="A26" s="335">
        <v>3.3113000000000001</v>
      </c>
      <c r="B26" s="352">
        <f t="shared" si="28"/>
        <v>3.3113000000000001E-3</v>
      </c>
      <c r="C26" s="325">
        <f t="shared" si="0"/>
        <v>1.0000021092054849</v>
      </c>
      <c r="D26" s="326">
        <f t="shared" si="1"/>
        <v>2.0538752530849178E-3</v>
      </c>
      <c r="E26" s="326">
        <f t="shared" si="2"/>
        <v>1.0000000000086575</v>
      </c>
      <c r="F26" s="327">
        <f t="shared" si="3"/>
        <v>4.1611022967539844E-6</v>
      </c>
      <c r="G26" s="326">
        <f t="shared" si="4"/>
        <v>1</v>
      </c>
      <c r="H26" s="327">
        <f t="shared" si="5"/>
        <v>0</v>
      </c>
      <c r="I26" s="325">
        <f t="shared" si="6"/>
        <v>4.5072860572072795</v>
      </c>
      <c r="J26" s="328">
        <f t="shared" si="7"/>
        <v>1.3470716550586712</v>
      </c>
      <c r="K26" s="336">
        <f t="shared" si="8"/>
        <v>1.0000003450844135</v>
      </c>
      <c r="L26" s="337">
        <f t="shared" si="9"/>
        <v>8.3076388242928534E-4</v>
      </c>
      <c r="M26" s="325">
        <f t="shared" si="10"/>
        <v>1.0000000000321068</v>
      </c>
      <c r="N26" s="337">
        <f t="shared" si="11"/>
        <v>8.013345999828475E-6</v>
      </c>
      <c r="O26" s="343">
        <f t="shared" si="12"/>
        <v>1.0000000001851228</v>
      </c>
      <c r="P26" s="691">
        <f t="shared" si="13"/>
        <v>1.9241769238386101E-5</v>
      </c>
      <c r="Q26" s="336">
        <f t="shared" si="29"/>
        <v>6.3078556277430646</v>
      </c>
      <c r="R26" s="692">
        <f t="shared" si="14"/>
        <v>2.1319869383279458E-5</v>
      </c>
      <c r="S26" s="329">
        <f t="shared" si="15"/>
        <v>1.000000000180135</v>
      </c>
      <c r="T26" s="330">
        <f t="shared" si="16"/>
        <v>1.9497703722174429E-5</v>
      </c>
      <c r="U26" s="331">
        <f t="shared" si="17"/>
        <v>89.24344071920423</v>
      </c>
      <c r="V26" s="332">
        <f t="shared" si="18"/>
        <v>-77.253056664059059</v>
      </c>
      <c r="W26" s="334">
        <f t="shared" si="19"/>
        <v>102.74694333594094</v>
      </c>
      <c r="Y26" s="307">
        <f t="shared" si="20"/>
        <v>1000000000</v>
      </c>
      <c r="Z26" s="307">
        <f t="shared" si="21"/>
        <v>10.964707690000001</v>
      </c>
      <c r="AB26" s="333">
        <f t="shared" si="22"/>
        <v>84.628924964389228</v>
      </c>
      <c r="AC26" s="334">
        <f t="shared" si="23"/>
        <v>-77.134380491373861</v>
      </c>
      <c r="AE26" s="333">
        <f t="shared" si="24"/>
        <v>47.356994015020895</v>
      </c>
      <c r="AF26" s="334">
        <f t="shared" si="25"/>
        <v>-0.11855710631735177</v>
      </c>
      <c r="AH26">
        <f t="shared" si="26"/>
        <v>0</v>
      </c>
      <c r="AI26">
        <f t="shared" si="27"/>
        <v>0</v>
      </c>
    </row>
    <row r="27" spans="1:35" x14ac:dyDescent="0.2">
      <c r="A27" s="335">
        <v>3.6307999999999998</v>
      </c>
      <c r="B27" s="352">
        <f t="shared" si="28"/>
        <v>3.6308E-3</v>
      </c>
      <c r="C27" s="325">
        <f t="shared" si="0"/>
        <v>1.0000025358665479</v>
      </c>
      <c r="D27" s="326">
        <f t="shared" si="1"/>
        <v>2.25204848481577E-3</v>
      </c>
      <c r="E27" s="326">
        <f t="shared" si="2"/>
        <v>1.0000000000104086</v>
      </c>
      <c r="F27" s="327">
        <f t="shared" si="3"/>
        <v>4.5625978374163394E-6</v>
      </c>
      <c r="G27" s="326">
        <f t="shared" si="4"/>
        <v>1</v>
      </c>
      <c r="H27" s="327">
        <f t="shared" si="5"/>
        <v>0</v>
      </c>
      <c r="I27" s="325">
        <f t="shared" si="6"/>
        <v>4.9216763643820487</v>
      </c>
      <c r="J27" s="328">
        <f t="shared" si="7"/>
        <v>1.366188887695222</v>
      </c>
      <c r="K27" s="336">
        <f t="shared" si="8"/>
        <v>1.0000004148899586</v>
      </c>
      <c r="L27" s="337">
        <f t="shared" si="9"/>
        <v>9.1092240629145717E-4</v>
      </c>
      <c r="M27" s="325">
        <f t="shared" si="10"/>
        <v>1.0000000000386016</v>
      </c>
      <c r="N27" s="337">
        <f t="shared" si="11"/>
        <v>8.786535999773881E-6</v>
      </c>
      <c r="O27" s="343">
        <f t="shared" si="12"/>
        <v>1.0000000002225704</v>
      </c>
      <c r="P27" s="691">
        <f t="shared" si="13"/>
        <v>2.1098364916796457E-5</v>
      </c>
      <c r="Q27" s="336">
        <f t="shared" si="29"/>
        <v>6.3078556280295217</v>
      </c>
      <c r="R27" s="692">
        <f t="shared" si="14"/>
        <v>2.337697633995167E-5</v>
      </c>
      <c r="S27" s="329">
        <f t="shared" si="15"/>
        <v>1.0000000002165734</v>
      </c>
      <c r="T27" s="330">
        <f t="shared" si="16"/>
        <v>2.1378993951861403E-5</v>
      </c>
      <c r="U27" s="331">
        <f t="shared" si="17"/>
        <v>88.479479006104199</v>
      </c>
      <c r="V27" s="332">
        <f t="shared" si="18"/>
        <v>-78.355295731007985</v>
      </c>
      <c r="W27" s="334">
        <f t="shared" si="19"/>
        <v>101.64470426899202</v>
      </c>
      <c r="Y27" s="307">
        <f t="shared" si="20"/>
        <v>1000000000</v>
      </c>
      <c r="Z27" s="307">
        <f t="shared" si="21"/>
        <v>13.182708639999998</v>
      </c>
      <c r="AB27" s="333">
        <f t="shared" si="22"/>
        <v>83.864966957581956</v>
      </c>
      <c r="AC27" s="334">
        <f t="shared" si="23"/>
        <v>-78.225168794078826</v>
      </c>
      <c r="AE27" s="333">
        <f t="shared" si="24"/>
        <v>47.356990308797307</v>
      </c>
      <c r="AF27" s="334">
        <f t="shared" si="25"/>
        <v>-0.12999638211129588</v>
      </c>
      <c r="AH27">
        <f t="shared" si="26"/>
        <v>0</v>
      </c>
      <c r="AI27">
        <f t="shared" si="27"/>
        <v>0</v>
      </c>
    </row>
    <row r="28" spans="1:35" x14ac:dyDescent="0.2">
      <c r="A28" s="335">
        <v>3.9811000000000001</v>
      </c>
      <c r="B28" s="352">
        <f t="shared" si="28"/>
        <v>3.9811000000000004E-3</v>
      </c>
      <c r="C28" s="325">
        <f t="shared" si="0"/>
        <v>1.0000030487920479</v>
      </c>
      <c r="D28" s="326">
        <f t="shared" si="1"/>
        <v>2.4693255362748211E-3</v>
      </c>
      <c r="E28" s="326">
        <f t="shared" si="2"/>
        <v>1.000000000012514</v>
      </c>
      <c r="F28" s="327">
        <f t="shared" si="3"/>
        <v>5.0027977995242642E-6</v>
      </c>
      <c r="G28" s="326">
        <f t="shared" si="4"/>
        <v>1</v>
      </c>
      <c r="H28" s="327">
        <f t="shared" si="5"/>
        <v>0</v>
      </c>
      <c r="I28" s="325">
        <f t="shared" si="6"/>
        <v>5.3777469554862867</v>
      </c>
      <c r="J28" s="328">
        <f t="shared" si="7"/>
        <v>1.3837561846598598</v>
      </c>
      <c r="K28" s="336">
        <f t="shared" si="8"/>
        <v>1.000000498809166</v>
      </c>
      <c r="L28" s="337">
        <f t="shared" si="9"/>
        <v>9.9880824854021804E-4</v>
      </c>
      <c r="M28" s="325">
        <f t="shared" si="10"/>
        <v>1.0000000000464095</v>
      </c>
      <c r="N28" s="337">
        <f t="shared" si="11"/>
        <v>9.6342619997019169E-6</v>
      </c>
      <c r="O28" s="343">
        <f t="shared" si="12"/>
        <v>1.0000000002675895</v>
      </c>
      <c r="P28" s="691">
        <f t="shared" si="13"/>
        <v>2.3133937580626164E-5</v>
      </c>
      <c r="Q28" s="336">
        <f t="shared" si="29"/>
        <v>6.3078556283738951</v>
      </c>
      <c r="R28" s="692">
        <f t="shared" si="14"/>
        <v>2.5632389694727125E-5</v>
      </c>
      <c r="S28" s="329">
        <f t="shared" si="15"/>
        <v>1.0000000002603797</v>
      </c>
      <c r="T28" s="330">
        <f t="shared" si="16"/>
        <v>2.344164173717595E-5</v>
      </c>
      <c r="U28" s="331">
        <f t="shared" si="17"/>
        <v>87.709729064206172</v>
      </c>
      <c r="V28" s="332">
        <f t="shared" si="18"/>
        <v>-79.369395402365811</v>
      </c>
      <c r="W28" s="334">
        <f t="shared" si="19"/>
        <v>100.63060459763419</v>
      </c>
      <c r="Y28" s="307">
        <f t="shared" si="20"/>
        <v>1000000000</v>
      </c>
      <c r="Z28" s="307">
        <f t="shared" si="21"/>
        <v>15.849157210000001</v>
      </c>
      <c r="AB28" s="333">
        <f t="shared" si="22"/>
        <v>83.095221471331143</v>
      </c>
      <c r="AC28" s="334">
        <f t="shared" si="23"/>
        <v>-79.226713852032177</v>
      </c>
      <c r="AE28" s="333">
        <f t="shared" si="24"/>
        <v>47.356985853233255</v>
      </c>
      <c r="AF28" s="334">
        <f t="shared" si="25"/>
        <v>-0.14253839957202757</v>
      </c>
      <c r="AH28">
        <f t="shared" si="26"/>
        <v>0</v>
      </c>
      <c r="AI28">
        <f t="shared" si="27"/>
        <v>0</v>
      </c>
    </row>
    <row r="29" spans="1:35" x14ac:dyDescent="0.2">
      <c r="A29" s="335">
        <v>4.3651999999999997</v>
      </c>
      <c r="B29" s="352">
        <f t="shared" si="28"/>
        <v>4.3651999999999996E-3</v>
      </c>
      <c r="C29" s="325">
        <f t="shared" si="0"/>
        <v>1.0000036654710089</v>
      </c>
      <c r="D29" s="326">
        <f t="shared" si="1"/>
        <v>2.7075671044341043E-3</v>
      </c>
      <c r="E29" s="326">
        <f t="shared" si="2"/>
        <v>1.0000000000150453</v>
      </c>
      <c r="F29" s="327">
        <f t="shared" si="3"/>
        <v>5.4854720942569805E-6</v>
      </c>
      <c r="G29" s="326">
        <f t="shared" si="4"/>
        <v>1</v>
      </c>
      <c r="H29" s="327">
        <f t="shared" si="5"/>
        <v>0</v>
      </c>
      <c r="I29" s="325">
        <f t="shared" si="6"/>
        <v>5.8794202100984334</v>
      </c>
      <c r="J29" s="328">
        <f t="shared" si="7"/>
        <v>1.399880606272041</v>
      </c>
      <c r="K29" s="336">
        <f t="shared" si="8"/>
        <v>1.0000005997034169</v>
      </c>
      <c r="L29" s="337">
        <f t="shared" si="9"/>
        <v>1.0951740657763136E-3</v>
      </c>
      <c r="M29" s="325">
        <f t="shared" si="10"/>
        <v>1.0000000000557967</v>
      </c>
      <c r="N29" s="337">
        <f t="shared" si="11"/>
        <v>1.0563783999607046E-5</v>
      </c>
      <c r="O29" s="343">
        <f t="shared" si="12"/>
        <v>1.0000000003217151</v>
      </c>
      <c r="P29" s="691">
        <f t="shared" si="13"/>
        <v>2.536592005307715E-5</v>
      </c>
      <c r="Q29" s="336">
        <f t="shared" si="29"/>
        <v>6.3078556287879293</v>
      </c>
      <c r="R29" s="692">
        <f t="shared" si="14"/>
        <v>2.8105425005791586E-5</v>
      </c>
      <c r="S29" s="329">
        <f t="shared" si="15"/>
        <v>1.0000000003130467</v>
      </c>
      <c r="T29" s="330">
        <f t="shared" si="16"/>
        <v>2.5703311775043775E-5</v>
      </c>
      <c r="U29" s="331">
        <f t="shared" si="17"/>
        <v>86.93504182683013</v>
      </c>
      <c r="V29" s="332">
        <f t="shared" si="18"/>
        <v>-80.301554588587308</v>
      </c>
      <c r="W29" s="334">
        <f t="shared" si="19"/>
        <v>99.698445411412692</v>
      </c>
      <c r="Y29" s="307">
        <f t="shared" si="20"/>
        <v>1000000000</v>
      </c>
      <c r="Z29" s="307">
        <f t="shared" si="21"/>
        <v>19.054971039999998</v>
      </c>
      <c r="AB29" s="333">
        <f t="shared" si="22"/>
        <v>82.320539590877999</v>
      </c>
      <c r="AC29" s="334">
        <f t="shared" si="23"/>
        <v>-80.145107061619697</v>
      </c>
      <c r="AE29" s="333">
        <f t="shared" si="24"/>
        <v>47.356980496410365</v>
      </c>
      <c r="AF29" s="334">
        <f t="shared" si="25"/>
        <v>-0.1562905648957004</v>
      </c>
      <c r="AH29">
        <f t="shared" si="26"/>
        <v>0</v>
      </c>
      <c r="AI29">
        <f t="shared" si="27"/>
        <v>0</v>
      </c>
    </row>
    <row r="30" spans="1:35" x14ac:dyDescent="0.2">
      <c r="A30" s="335">
        <v>4.7862999999999998</v>
      </c>
      <c r="B30" s="352">
        <f t="shared" si="28"/>
        <v>4.7862999999999994E-3</v>
      </c>
      <c r="C30" s="325">
        <f t="shared" si="0"/>
        <v>1.0000044067779463</v>
      </c>
      <c r="D30" s="326">
        <f t="shared" si="1"/>
        <v>2.9687579097092613E-3</v>
      </c>
      <c r="E30" s="326">
        <f t="shared" si="2"/>
        <v>1.000000000018088</v>
      </c>
      <c r="F30" s="327">
        <f t="shared" si="3"/>
        <v>6.0146419602054721E-6</v>
      </c>
      <c r="G30" s="326">
        <f t="shared" si="4"/>
        <v>1</v>
      </c>
      <c r="H30" s="327">
        <f t="shared" si="5"/>
        <v>0</v>
      </c>
      <c r="I30" s="325">
        <f t="shared" si="6"/>
        <v>6.4308882592783911</v>
      </c>
      <c r="J30" s="328">
        <f t="shared" si="7"/>
        <v>1.4146632284566123</v>
      </c>
      <c r="K30" s="336">
        <f t="shared" si="8"/>
        <v>1.0000007209879997</v>
      </c>
      <c r="L30" s="337">
        <f t="shared" si="9"/>
        <v>1.2008226901836837E-3</v>
      </c>
      <c r="M30" s="325">
        <f t="shared" si="10"/>
        <v>1.000000000067081</v>
      </c>
      <c r="N30" s="337">
        <f t="shared" si="11"/>
        <v>1.1582845999482002E-5</v>
      </c>
      <c r="O30" s="343">
        <f t="shared" si="12"/>
        <v>1.0000000003867788</v>
      </c>
      <c r="P30" s="691">
        <f t="shared" si="13"/>
        <v>2.7812907345545897E-5</v>
      </c>
      <c r="Q30" s="336">
        <f t="shared" si="29"/>
        <v>6.3078556292856378</v>
      </c>
      <c r="R30" s="692">
        <f t="shared" si="14"/>
        <v>3.0816685535184606E-5</v>
      </c>
      <c r="S30" s="329">
        <f t="shared" si="15"/>
        <v>1.0000000003763576</v>
      </c>
      <c r="T30" s="330">
        <f t="shared" si="16"/>
        <v>2.8182846408834157E-5</v>
      </c>
      <c r="U30" s="331">
        <f t="shared" si="17"/>
        <v>86.156307188711708</v>
      </c>
      <c r="V30" s="332">
        <f t="shared" si="18"/>
        <v>-81.157633638740393</v>
      </c>
      <c r="W30" s="334">
        <f t="shared" si="19"/>
        <v>98.842366361259607</v>
      </c>
      <c r="Y30" s="307">
        <f t="shared" si="20"/>
        <v>1000000000</v>
      </c>
      <c r="Z30" s="307">
        <f t="shared" si="21"/>
        <v>22.908667689999998</v>
      </c>
      <c r="AB30" s="333">
        <f t="shared" si="22"/>
        <v>81.541811392287528</v>
      </c>
      <c r="AC30" s="334">
        <f t="shared" si="23"/>
        <v>-80.986094091554818</v>
      </c>
      <c r="AE30" s="333">
        <f t="shared" si="24"/>
        <v>47.356974057002631</v>
      </c>
      <c r="AF30" s="334">
        <f t="shared" si="25"/>
        <v>-0.17136744337252638</v>
      </c>
      <c r="AH30">
        <f t="shared" si="26"/>
        <v>0</v>
      </c>
      <c r="AI30">
        <f t="shared" si="27"/>
        <v>0</v>
      </c>
    </row>
    <row r="31" spans="1:35" x14ac:dyDescent="0.2">
      <c r="A31" s="335">
        <v>5.2481</v>
      </c>
      <c r="B31" s="352">
        <f t="shared" si="28"/>
        <v>5.2481000000000003E-3</v>
      </c>
      <c r="C31" s="325">
        <f t="shared" si="0"/>
        <v>1.000005298163358</v>
      </c>
      <c r="D31" s="326">
        <f t="shared" si="1"/>
        <v>3.2551927641929343E-3</v>
      </c>
      <c r="E31" s="326">
        <f t="shared" si="2"/>
        <v>1.0000000000217466</v>
      </c>
      <c r="F31" s="327">
        <f t="shared" si="3"/>
        <v>6.5949569544903879E-6</v>
      </c>
      <c r="G31" s="326">
        <f t="shared" si="4"/>
        <v>1</v>
      </c>
      <c r="H31" s="327">
        <f t="shared" si="5"/>
        <v>0</v>
      </c>
      <c r="I31" s="325">
        <f t="shared" si="6"/>
        <v>7.0370065471355714</v>
      </c>
      <c r="J31" s="328">
        <f t="shared" si="7"/>
        <v>1.4282077656998367</v>
      </c>
      <c r="K31" s="336">
        <f t="shared" si="8"/>
        <v>1.0000008668268909</v>
      </c>
      <c r="L31" s="337">
        <f t="shared" si="9"/>
        <v>1.3166823950926459E-3</v>
      </c>
      <c r="M31" s="325">
        <f t="shared" si="10"/>
        <v>1.0000000000806502</v>
      </c>
      <c r="N31" s="337">
        <f t="shared" si="11"/>
        <v>1.2700401999317137E-5</v>
      </c>
      <c r="O31" s="343">
        <f t="shared" si="12"/>
        <v>1.0000000004650151</v>
      </c>
      <c r="P31" s="691">
        <f t="shared" si="13"/>
        <v>3.0496399939942391E-5</v>
      </c>
      <c r="Q31" s="336">
        <f t="shared" si="29"/>
        <v>6.3078556298841084</v>
      </c>
      <c r="R31" s="692">
        <f t="shared" si="14"/>
        <v>3.3789993804616493E-5</v>
      </c>
      <c r="S31" s="329">
        <f t="shared" si="15"/>
        <v>1.0000000004524858</v>
      </c>
      <c r="T31" s="330">
        <f t="shared" si="16"/>
        <v>3.0902032098051352E-5</v>
      </c>
      <c r="U31" s="331">
        <f t="shared" si="17"/>
        <v>85.373960880515881</v>
      </c>
      <c r="V31" s="332">
        <f t="shared" si="18"/>
        <v>-81.943654880014435</v>
      </c>
      <c r="W31" s="334">
        <f t="shared" si="19"/>
        <v>98.056345119985565</v>
      </c>
      <c r="Y31" s="307">
        <f t="shared" si="20"/>
        <v>1000000000</v>
      </c>
      <c r="Z31" s="307">
        <f t="shared" si="21"/>
        <v>27.542553609999999</v>
      </c>
      <c r="AB31" s="333">
        <f t="shared" si="22"/>
        <v>80.759472827303426</v>
      </c>
      <c r="AC31" s="334">
        <f t="shared" si="23"/>
        <v>-81.755564671063823</v>
      </c>
      <c r="AE31" s="333">
        <f t="shared" si="24"/>
        <v>47.356966313935416</v>
      </c>
      <c r="AF31" s="334">
        <f t="shared" si="25"/>
        <v>-0.18790149992252148</v>
      </c>
      <c r="AH31">
        <f t="shared" si="26"/>
        <v>0</v>
      </c>
      <c r="AI31">
        <f t="shared" si="27"/>
        <v>0</v>
      </c>
    </row>
    <row r="32" spans="1:35" x14ac:dyDescent="0.2">
      <c r="A32" s="335">
        <v>5.7544000000000004</v>
      </c>
      <c r="B32" s="352">
        <f t="shared" si="28"/>
        <v>5.7544000000000007E-3</v>
      </c>
      <c r="C32" s="325">
        <f t="shared" si="0"/>
        <v>1.0000063697296973</v>
      </c>
      <c r="D32" s="326">
        <f t="shared" si="1"/>
        <v>3.5692284561729235E-3</v>
      </c>
      <c r="E32" s="326">
        <f t="shared" si="2"/>
        <v>1.0000000000261451</v>
      </c>
      <c r="F32" s="327">
        <f t="shared" si="3"/>
        <v>7.2311922979379609E-6</v>
      </c>
      <c r="G32" s="326">
        <f t="shared" si="4"/>
        <v>1</v>
      </c>
      <c r="H32" s="327">
        <f t="shared" si="5"/>
        <v>0</v>
      </c>
      <c r="I32" s="325">
        <f t="shared" si="6"/>
        <v>7.7027703220498491</v>
      </c>
      <c r="J32" s="328">
        <f t="shared" si="7"/>
        <v>1.4406054345536401</v>
      </c>
      <c r="K32" s="336">
        <f t="shared" si="8"/>
        <v>1.0000010421451908</v>
      </c>
      <c r="L32" s="337">
        <f t="shared" si="9"/>
        <v>1.4437065392739618E-3</v>
      </c>
      <c r="M32" s="325">
        <f t="shared" si="10"/>
        <v>1.000000000096962</v>
      </c>
      <c r="N32" s="337">
        <f t="shared" si="11"/>
        <v>1.3925647999099827E-5</v>
      </c>
      <c r="O32" s="343">
        <f t="shared" si="12"/>
        <v>1.0000000005590659</v>
      </c>
      <c r="P32" s="691">
        <f t="shared" si="13"/>
        <v>3.3438479412244672E-5</v>
      </c>
      <c r="Q32" s="336">
        <f t="shared" si="29"/>
        <v>6.3078556306035516</v>
      </c>
      <c r="R32" s="692">
        <f t="shared" si="14"/>
        <v>3.7049816187685387E-5</v>
      </c>
      <c r="S32" s="329">
        <f t="shared" si="15"/>
        <v>1.0000000005440026</v>
      </c>
      <c r="T32" s="330">
        <f t="shared" si="16"/>
        <v>3.388324412539339E-5</v>
      </c>
      <c r="U32" s="331">
        <f t="shared" si="17"/>
        <v>84.58877322767195</v>
      </c>
      <c r="V32" s="332">
        <f t="shared" si="18"/>
        <v>-82.664926718390873</v>
      </c>
      <c r="W32" s="334">
        <f t="shared" si="19"/>
        <v>97.335073281609127</v>
      </c>
      <c r="Y32" s="307">
        <f t="shared" si="20"/>
        <v>1000000000</v>
      </c>
      <c r="Z32" s="307">
        <f t="shared" si="21"/>
        <v>33.113119360000006</v>
      </c>
      <c r="AB32" s="333">
        <f t="shared" si="22"/>
        <v>79.974294482842637</v>
      </c>
      <c r="AC32" s="334">
        <f t="shared" si="23"/>
        <v>-82.458691027057796</v>
      </c>
      <c r="AE32" s="333">
        <f t="shared" si="24"/>
        <v>47.356957005726059</v>
      </c>
      <c r="AF32" s="334">
        <f t="shared" si="25"/>
        <v>-0.20602877697720234</v>
      </c>
      <c r="AH32">
        <f t="shared" si="26"/>
        <v>0</v>
      </c>
      <c r="AI32">
        <f t="shared" si="27"/>
        <v>0</v>
      </c>
    </row>
    <row r="33" spans="1:35" x14ac:dyDescent="0.2">
      <c r="A33" s="335">
        <v>6.3095999999999997</v>
      </c>
      <c r="B33" s="352">
        <f t="shared" si="28"/>
        <v>6.3095999999999994E-3</v>
      </c>
      <c r="C33" s="325">
        <f t="shared" si="0"/>
        <v>1.0000076581573334</v>
      </c>
      <c r="D33" s="326">
        <f t="shared" si="1"/>
        <v>3.9135938626504935E-3</v>
      </c>
      <c r="E33" s="326">
        <f t="shared" si="2"/>
        <v>1.0000000000314335</v>
      </c>
      <c r="F33" s="327">
        <f t="shared" si="3"/>
        <v>7.9288771936098444E-6</v>
      </c>
      <c r="G33" s="326">
        <f t="shared" si="4"/>
        <v>1</v>
      </c>
      <c r="H33" s="327">
        <f t="shared" si="5"/>
        <v>0</v>
      </c>
      <c r="I33" s="325">
        <f t="shared" si="6"/>
        <v>8.4339712076971249</v>
      </c>
      <c r="J33" s="328">
        <f t="shared" si="7"/>
        <v>1.4519486345941182</v>
      </c>
      <c r="K33" s="336">
        <f t="shared" si="8"/>
        <v>1.0000012529442401</v>
      </c>
      <c r="L33" s="337">
        <f t="shared" si="9"/>
        <v>1.5829990094644397E-3</v>
      </c>
      <c r="M33" s="325">
        <f t="shared" si="10"/>
        <v>1.0000000001165747</v>
      </c>
      <c r="N33" s="337">
        <f t="shared" si="11"/>
        <v>1.5269231998813324E-5</v>
      </c>
      <c r="O33" s="343">
        <f t="shared" si="12"/>
        <v>1.0000000006721506</v>
      </c>
      <c r="P33" s="691">
        <f t="shared" si="13"/>
        <v>3.6664713903029506E-5</v>
      </c>
      <c r="Q33" s="336">
        <f t="shared" si="29"/>
        <v>6.3078556314685947</v>
      </c>
      <c r="R33" s="692">
        <f t="shared" si="14"/>
        <v>4.0624482169570969E-5</v>
      </c>
      <c r="S33" s="329">
        <f t="shared" si="15"/>
        <v>1.0000000006540402</v>
      </c>
      <c r="T33" s="330">
        <f t="shared" si="16"/>
        <v>3.7152390712903477E-5</v>
      </c>
      <c r="U33" s="331">
        <f t="shared" si="17"/>
        <v>83.801060553881882</v>
      </c>
      <c r="V33" s="332">
        <f t="shared" si="18"/>
        <v>-83.326838300629447</v>
      </c>
      <c r="W33" s="334">
        <f t="shared" si="19"/>
        <v>96.673161699370553</v>
      </c>
      <c r="Y33" s="307">
        <f t="shared" si="20"/>
        <v>1000000000</v>
      </c>
      <c r="Z33" s="307">
        <f t="shared" si="21"/>
        <v>39.811052159999996</v>
      </c>
      <c r="AB33" s="333">
        <f t="shared" si="22"/>
        <v>79.186593001233078</v>
      </c>
      <c r="AC33" s="334">
        <f t="shared" si="23"/>
        <v>-83.100704627316148</v>
      </c>
      <c r="AE33" s="333">
        <f t="shared" si="24"/>
        <v>47.356945813754464</v>
      </c>
      <c r="AF33" s="334">
        <f t="shared" si="25"/>
        <v>-0.22590679530350999</v>
      </c>
      <c r="AH33">
        <f t="shared" si="26"/>
        <v>0</v>
      </c>
      <c r="AI33">
        <f t="shared" si="27"/>
        <v>0</v>
      </c>
    </row>
    <row r="34" spans="1:35" x14ac:dyDescent="0.2">
      <c r="A34" s="335">
        <v>6.9183000000000003</v>
      </c>
      <c r="B34" s="352">
        <f t="shared" si="28"/>
        <v>6.9183000000000005E-3</v>
      </c>
      <c r="C34" s="325">
        <f t="shared" si="0"/>
        <v>1.0000092070197242</v>
      </c>
      <c r="D34" s="326">
        <f t="shared" si="1"/>
        <v>4.2911418255937124E-3</v>
      </c>
      <c r="E34" s="326">
        <f t="shared" si="2"/>
        <v>1.0000000000377911</v>
      </c>
      <c r="F34" s="327">
        <f t="shared" si="3"/>
        <v>8.6937921719789704E-6</v>
      </c>
      <c r="G34" s="326">
        <f t="shared" si="4"/>
        <v>1</v>
      </c>
      <c r="H34" s="327">
        <f t="shared" si="5"/>
        <v>0</v>
      </c>
      <c r="I34" s="325">
        <f t="shared" si="6"/>
        <v>9.2366718597911497</v>
      </c>
      <c r="J34" s="328">
        <f t="shared" si="7"/>
        <v>1.4623196036984634</v>
      </c>
      <c r="K34" s="336">
        <f t="shared" si="8"/>
        <v>1.0000015063532</v>
      </c>
      <c r="L34" s="337">
        <f t="shared" si="9"/>
        <v>1.7357138641139966E-3</v>
      </c>
      <c r="M34" s="325">
        <f t="shared" si="10"/>
        <v>1.0000000001401521</v>
      </c>
      <c r="N34" s="337">
        <f t="shared" si="11"/>
        <v>1.6742285998435685E-5</v>
      </c>
      <c r="O34" s="343">
        <f t="shared" si="12"/>
        <v>1.0000000008080936</v>
      </c>
      <c r="P34" s="691">
        <f t="shared" si="13"/>
        <v>4.0201833741020095E-5</v>
      </c>
      <c r="Q34" s="336">
        <f t="shared" si="29"/>
        <v>6.3078556325084953</v>
      </c>
      <c r="R34" s="692">
        <f t="shared" si="14"/>
        <v>4.4543608939242479E-5</v>
      </c>
      <c r="S34" s="329">
        <f t="shared" si="15"/>
        <v>1.0000000007863206</v>
      </c>
      <c r="T34" s="330">
        <f t="shared" si="16"/>
        <v>4.0736557729022299E-5</v>
      </c>
      <c r="U34" s="331">
        <f t="shared" si="17"/>
        <v>83.011381276878723</v>
      </c>
      <c r="V34" s="332">
        <f t="shared" si="18"/>
        <v>-83.934200867068313</v>
      </c>
      <c r="W34" s="334">
        <f t="shared" si="19"/>
        <v>96.065799132931687</v>
      </c>
      <c r="Y34" s="307">
        <f t="shared" si="20"/>
        <v>1000000000</v>
      </c>
      <c r="Z34" s="307">
        <f t="shared" si="21"/>
        <v>47.862874890000008</v>
      </c>
      <c r="AB34" s="333">
        <f t="shared" si="22"/>
        <v>78.396927178709163</v>
      </c>
      <c r="AC34" s="334">
        <f t="shared" si="23"/>
        <v>-83.686251870261586</v>
      </c>
      <c r="AE34" s="333">
        <f t="shared" si="24"/>
        <v>47.356932359526354</v>
      </c>
      <c r="AF34" s="334">
        <f t="shared" si="25"/>
        <v>-0.24770023141196743</v>
      </c>
      <c r="AH34">
        <f t="shared" si="26"/>
        <v>0</v>
      </c>
      <c r="AI34">
        <f t="shared" si="27"/>
        <v>0</v>
      </c>
    </row>
    <row r="35" spans="1:35" x14ac:dyDescent="0.2">
      <c r="A35" s="335">
        <v>7.5857999999999999</v>
      </c>
      <c r="B35" s="352">
        <f t="shared" si="28"/>
        <v>7.5858000000000002E-3</v>
      </c>
      <c r="C35" s="325">
        <f t="shared" si="0"/>
        <v>1.0000110693638966</v>
      </c>
      <c r="D35" s="326">
        <f t="shared" si="1"/>
        <v>4.7051592509548493E-3</v>
      </c>
      <c r="E35" s="326">
        <f t="shared" si="2"/>
        <v>1.0000000000454352</v>
      </c>
      <c r="F35" s="327">
        <f t="shared" si="3"/>
        <v>9.5325974094592564E-6</v>
      </c>
      <c r="G35" s="326">
        <f t="shared" si="4"/>
        <v>1</v>
      </c>
      <c r="H35" s="327">
        <f t="shared" si="5"/>
        <v>0</v>
      </c>
      <c r="I35" s="325">
        <f t="shared" si="6"/>
        <v>10.117864863899811</v>
      </c>
      <c r="J35" s="328">
        <f t="shared" si="7"/>
        <v>1.4717996240146538</v>
      </c>
      <c r="K35" s="336">
        <f t="shared" si="8"/>
        <v>1.0000018110512645</v>
      </c>
      <c r="L35" s="337">
        <f t="shared" si="9"/>
        <v>1.9031807750176947E-3</v>
      </c>
      <c r="M35" s="325">
        <f t="shared" si="10"/>
        <v>1.0000000001685014</v>
      </c>
      <c r="N35" s="337">
        <f t="shared" si="11"/>
        <v>1.83576359979378E-5</v>
      </c>
      <c r="O35" s="343">
        <f t="shared" si="12"/>
        <v>1.0000000009715513</v>
      </c>
      <c r="P35" s="691">
        <f t="shared" si="13"/>
        <v>4.4080636913605635E-5</v>
      </c>
      <c r="Q35" s="336">
        <f t="shared" si="29"/>
        <v>6.3078556337588676</v>
      </c>
      <c r="R35" s="692">
        <f t="shared" si="14"/>
        <v>4.8841320649137473E-5</v>
      </c>
      <c r="S35" s="329">
        <f t="shared" si="15"/>
        <v>1.0000000009453738</v>
      </c>
      <c r="T35" s="330">
        <f t="shared" si="16"/>
        <v>4.4666952804728734E-5</v>
      </c>
      <c r="U35" s="331">
        <f t="shared" si="17"/>
        <v>82.219900558489201</v>
      </c>
      <c r="V35" s="332">
        <f t="shared" si="18"/>
        <v>-84.491786014914922</v>
      </c>
      <c r="W35" s="334">
        <f t="shared" si="19"/>
        <v>95.508213985085078</v>
      </c>
      <c r="Y35" s="307">
        <f t="shared" si="20"/>
        <v>1000000000</v>
      </c>
      <c r="Z35" s="307">
        <f t="shared" si="21"/>
        <v>57.544361639999998</v>
      </c>
      <c r="AB35" s="333">
        <f t="shared" si="22"/>
        <v>77.605462637888706</v>
      </c>
      <c r="AC35" s="334">
        <f t="shared" si="23"/>
        <v>-84.21991443022192</v>
      </c>
      <c r="AE35" s="333">
        <f t="shared" si="24"/>
        <v>47.356916182259283</v>
      </c>
      <c r="AF35" s="334">
        <f t="shared" si="25"/>
        <v>-0.27159881760705712</v>
      </c>
      <c r="AH35">
        <f t="shared" si="26"/>
        <v>0</v>
      </c>
      <c r="AI35">
        <f t="shared" si="27"/>
        <v>0</v>
      </c>
    </row>
    <row r="36" spans="1:35" x14ac:dyDescent="0.2">
      <c r="A36" s="335">
        <v>8.3176000000000005</v>
      </c>
      <c r="B36" s="352">
        <f t="shared" si="28"/>
        <v>8.3176000000000014E-3</v>
      </c>
      <c r="C36" s="325">
        <f t="shared" si="0"/>
        <v>1.0000133080818694</v>
      </c>
      <c r="D36" s="326">
        <f t="shared" si="1"/>
        <v>5.1590569455049829E-3</v>
      </c>
      <c r="E36" s="326">
        <f t="shared" si="2"/>
        <v>1.0000000000546243</v>
      </c>
      <c r="F36" s="327">
        <f t="shared" si="3"/>
        <v>1.0452204409875373E-5</v>
      </c>
      <c r="G36" s="326">
        <f t="shared" si="4"/>
        <v>1</v>
      </c>
      <c r="H36" s="327">
        <f t="shared" si="5"/>
        <v>0</v>
      </c>
      <c r="I36" s="325">
        <f t="shared" si="6"/>
        <v>11.084813548102122</v>
      </c>
      <c r="J36" s="328">
        <f t="shared" si="7"/>
        <v>1.48045999406976</v>
      </c>
      <c r="K36" s="336">
        <f t="shared" si="8"/>
        <v>1.0000021773284613</v>
      </c>
      <c r="L36" s="337">
        <f t="shared" si="9"/>
        <v>2.0867795814381142E-3</v>
      </c>
      <c r="M36" s="325">
        <f t="shared" si="10"/>
        <v>1.0000000002025802</v>
      </c>
      <c r="N36" s="337">
        <f t="shared" si="11"/>
        <v>2.0128591997281563E-5</v>
      </c>
      <c r="O36" s="343">
        <f t="shared" si="12"/>
        <v>1.0000000011680434</v>
      </c>
      <c r="P36" s="691">
        <f t="shared" si="13"/>
        <v>4.8333083596269033E-5</v>
      </c>
      <c r="Q36" s="336">
        <f t="shared" si="29"/>
        <v>6.307855635261939</v>
      </c>
      <c r="R36" s="692">
        <f t="shared" si="14"/>
        <v>5.3553029155412697E-5</v>
      </c>
      <c r="S36" s="329">
        <f t="shared" si="15"/>
        <v>1.0000000011365717</v>
      </c>
      <c r="T36" s="330">
        <f t="shared" si="16"/>
        <v>4.8975961217348593E-5</v>
      </c>
      <c r="U36" s="331">
        <f t="shared" si="17"/>
        <v>81.427093935125598</v>
      </c>
      <c r="V36" s="332">
        <f t="shared" si="18"/>
        <v>-85.003797634640605</v>
      </c>
      <c r="W36" s="334">
        <f t="shared" si="19"/>
        <v>94.996202365359395</v>
      </c>
      <c r="Y36" s="307">
        <f t="shared" si="20"/>
        <v>1000000000</v>
      </c>
      <c r="Z36" s="307">
        <f t="shared" si="21"/>
        <v>69.182469760000004</v>
      </c>
      <c r="AB36" s="333">
        <f t="shared" si="22"/>
        <v>76.812675461489263</v>
      </c>
      <c r="AC36" s="334">
        <f t="shared" si="23"/>
        <v>-84.705699115529001</v>
      </c>
      <c r="AE36" s="333">
        <f t="shared" si="24"/>
        <v>47.356896735658147</v>
      </c>
      <c r="AF36" s="334">
        <f t="shared" si="25"/>
        <v>-0.29779943826143146</v>
      </c>
      <c r="AH36">
        <f t="shared" si="26"/>
        <v>0</v>
      </c>
      <c r="AI36">
        <f t="shared" si="27"/>
        <v>0</v>
      </c>
    </row>
    <row r="37" spans="1:35" x14ac:dyDescent="0.2">
      <c r="A37" s="335">
        <v>9.1201000000000008</v>
      </c>
      <c r="B37" s="352">
        <f t="shared" si="28"/>
        <v>9.1201000000000008E-3</v>
      </c>
      <c r="C37" s="325">
        <f t="shared" si="0"/>
        <v>1.0000159999276224</v>
      </c>
      <c r="D37" s="326">
        <f t="shared" si="1"/>
        <v>5.6568037430813319E-3</v>
      </c>
      <c r="E37" s="326">
        <f t="shared" si="2"/>
        <v>1.0000000000656732</v>
      </c>
      <c r="F37" s="327">
        <f t="shared" si="3"/>
        <v>1.146065565040423E-5</v>
      </c>
      <c r="G37" s="326">
        <f t="shared" si="4"/>
        <v>1</v>
      </c>
      <c r="H37" s="327">
        <f t="shared" si="5"/>
        <v>0</v>
      </c>
      <c r="I37" s="325">
        <f t="shared" si="6"/>
        <v>12.145976381660288</v>
      </c>
      <c r="J37" s="328">
        <f t="shared" si="7"/>
        <v>1.4883712353380336</v>
      </c>
      <c r="K37" s="336">
        <f t="shared" si="8"/>
        <v>1.0000026177429138</v>
      </c>
      <c r="L37" s="337">
        <f t="shared" si="9"/>
        <v>2.2881159075709302E-3</v>
      </c>
      <c r="M37" s="325">
        <f t="shared" si="10"/>
        <v>1.0000000002435567</v>
      </c>
      <c r="N37" s="337">
        <f t="shared" si="11"/>
        <v>2.2070641996416363E-5</v>
      </c>
      <c r="O37" s="343">
        <f t="shared" si="12"/>
        <v>1.0000000014043073</v>
      </c>
      <c r="P37" s="691">
        <f t="shared" si="13"/>
        <v>5.2996363811304073E-5</v>
      </c>
      <c r="Q37" s="336">
        <f t="shared" si="29"/>
        <v>6.3078556370692445</v>
      </c>
      <c r="R37" s="692">
        <f t="shared" si="14"/>
        <v>5.871994098148064E-5</v>
      </c>
      <c r="S37" s="329">
        <f t="shared" si="15"/>
        <v>1.0000000013664696</v>
      </c>
      <c r="T37" s="330">
        <f t="shared" si="16"/>
        <v>5.370126765314181E-5</v>
      </c>
      <c r="U37" s="331">
        <f t="shared" si="17"/>
        <v>80.63299358079199</v>
      </c>
      <c r="V37" s="332">
        <f t="shared" si="18"/>
        <v>-85.474414526927404</v>
      </c>
      <c r="W37" s="334">
        <f t="shared" si="19"/>
        <v>94.525585473072596</v>
      </c>
      <c r="Y37" s="307">
        <f t="shared" si="20"/>
        <v>1000000000</v>
      </c>
      <c r="Z37" s="307">
        <f t="shared" si="21"/>
        <v>83.176224010000013</v>
      </c>
      <c r="AB37" s="333">
        <f t="shared" si="22"/>
        <v>76.018598490225543</v>
      </c>
      <c r="AC37" s="334">
        <f t="shared" si="23"/>
        <v>-85.147555400934181</v>
      </c>
      <c r="AE37" s="333">
        <f t="shared" si="24"/>
        <v>47.356873353024731</v>
      </c>
      <c r="AF37" s="334">
        <f t="shared" si="25"/>
        <v>-0.32653118917728952</v>
      </c>
      <c r="AH37">
        <f t="shared" si="26"/>
        <v>0</v>
      </c>
      <c r="AI37">
        <f t="shared" si="27"/>
        <v>0</v>
      </c>
    </row>
    <row r="38" spans="1:35" x14ac:dyDescent="0.2">
      <c r="A38" s="335">
        <v>10</v>
      </c>
      <c r="B38" s="352">
        <f t="shared" si="28"/>
        <v>0.01</v>
      </c>
      <c r="C38" s="325">
        <f t="shared" si="0"/>
        <v>1.0000192361482183</v>
      </c>
      <c r="D38" s="326">
        <f t="shared" si="1"/>
        <v>6.2025542908619282E-3</v>
      </c>
      <c r="E38" s="326">
        <f t="shared" si="2"/>
        <v>1.0000000000789568</v>
      </c>
      <c r="F38" s="327">
        <f t="shared" si="3"/>
        <v>1.2566370599338535E-5</v>
      </c>
      <c r="G38" s="326">
        <f t="shared" si="4"/>
        <v>1</v>
      </c>
      <c r="H38" s="327">
        <f t="shared" si="5"/>
        <v>0</v>
      </c>
      <c r="I38" s="325">
        <f t="shared" si="6"/>
        <v>13.310214523856478</v>
      </c>
      <c r="J38" s="328">
        <f t="shared" si="7"/>
        <v>1.4955951979625666</v>
      </c>
      <c r="K38" s="336">
        <f t="shared" si="8"/>
        <v>1.0000031472241639</v>
      </c>
      <c r="L38" s="337">
        <f t="shared" si="9"/>
        <v>2.5088706263050463E-3</v>
      </c>
      <c r="M38" s="325">
        <f t="shared" si="10"/>
        <v>1.00000000029282</v>
      </c>
      <c r="N38" s="337">
        <f t="shared" si="11"/>
        <v>2.4199999995275832E-5</v>
      </c>
      <c r="O38" s="343">
        <f t="shared" si="12"/>
        <v>1.0000000016883517</v>
      </c>
      <c r="P38" s="691">
        <f t="shared" si="13"/>
        <v>5.8109410863113912E-5</v>
      </c>
      <c r="Q38" s="336">
        <f t="shared" si="29"/>
        <v>6.3078556392420495</v>
      </c>
      <c r="R38" s="692">
        <f t="shared" si="14"/>
        <v>6.4385194206290929E-5</v>
      </c>
      <c r="S38" s="329">
        <f t="shared" si="15"/>
        <v>1.000000001642861</v>
      </c>
      <c r="T38" s="330">
        <f t="shared" si="16"/>
        <v>5.8882323267858814E-5</v>
      </c>
      <c r="U38" s="331">
        <f t="shared" si="17"/>
        <v>79.837917610135349</v>
      </c>
      <c r="V38" s="332">
        <f t="shared" si="18"/>
        <v>-85.907325128661554</v>
      </c>
      <c r="W38" s="334">
        <f t="shared" si="19"/>
        <v>94.092674871338446</v>
      </c>
      <c r="Y38" s="307">
        <f t="shared" si="20"/>
        <v>1000000000</v>
      </c>
      <c r="Z38" s="307">
        <f t="shared" si="21"/>
        <v>100</v>
      </c>
      <c r="AB38" s="333">
        <f t="shared" si="22"/>
        <v>75.223550631338711</v>
      </c>
      <c r="AC38" s="334">
        <f t="shared" si="23"/>
        <v>-85.548931660674143</v>
      </c>
      <c r="AE38" s="333">
        <f t="shared" si="24"/>
        <v>47.356845241779688</v>
      </c>
      <c r="AF38" s="334">
        <f t="shared" si="25"/>
        <v>-0.35803389208829495</v>
      </c>
      <c r="AH38">
        <f t="shared" si="26"/>
        <v>0</v>
      </c>
      <c r="AI38">
        <f t="shared" si="27"/>
        <v>0</v>
      </c>
    </row>
    <row r="39" spans="1:35" x14ac:dyDescent="0.2">
      <c r="A39" s="335">
        <v>10.965</v>
      </c>
      <c r="B39" s="352">
        <f t="shared" si="28"/>
        <v>1.0964999999999999E-2</v>
      </c>
      <c r="C39" s="325">
        <f t="shared" si="0"/>
        <v>1.0000231278116434</v>
      </c>
      <c r="D39" s="326">
        <f t="shared" si="1"/>
        <v>6.8010831351636393E-3</v>
      </c>
      <c r="E39" s="326">
        <f t="shared" si="2"/>
        <v>1.0000000000949307</v>
      </c>
      <c r="F39" s="327">
        <f t="shared" si="3"/>
        <v>1.3779025362027965E-5</v>
      </c>
      <c r="G39" s="326">
        <f t="shared" si="4"/>
        <v>1</v>
      </c>
      <c r="H39" s="327">
        <f t="shared" si="5"/>
        <v>0</v>
      </c>
      <c r="I39" s="325">
        <f t="shared" si="6"/>
        <v>14.587717537436079</v>
      </c>
      <c r="J39" s="328">
        <f t="shared" si="7"/>
        <v>1.5021917037094636</v>
      </c>
      <c r="K39" s="336">
        <f t="shared" si="8"/>
        <v>1.0000037839449611</v>
      </c>
      <c r="L39" s="337">
        <f t="shared" si="9"/>
        <v>2.750975474010672E-3</v>
      </c>
      <c r="M39" s="325">
        <f t="shared" si="10"/>
        <v>1.000000000352061</v>
      </c>
      <c r="N39" s="337">
        <f t="shared" si="11"/>
        <v>2.6535299993771963E-5</v>
      </c>
      <c r="O39" s="343">
        <f t="shared" si="12"/>
        <v>1.000000002029926</v>
      </c>
      <c r="P39" s="691">
        <f t="shared" si="13"/>
        <v>6.3716968996895023E-5</v>
      </c>
      <c r="Q39" s="336">
        <f t="shared" si="29"/>
        <v>6.3078556418549301</v>
      </c>
      <c r="R39" s="692">
        <f t="shared" si="14"/>
        <v>7.0598365427822487E-5</v>
      </c>
      <c r="S39" s="329">
        <f t="shared" si="15"/>
        <v>1.000000001975232</v>
      </c>
      <c r="T39" s="330">
        <f t="shared" si="16"/>
        <v>6.4564467449295879E-5</v>
      </c>
      <c r="U39" s="331">
        <f t="shared" si="17"/>
        <v>79.041843528781556</v>
      </c>
      <c r="V39" s="332">
        <f t="shared" si="18"/>
        <v>-86.30612324345843</v>
      </c>
      <c r="W39" s="334">
        <f t="shared" si="19"/>
        <v>93.69387675654157</v>
      </c>
      <c r="Y39" s="307">
        <f t="shared" si="20"/>
        <v>1000000000</v>
      </c>
      <c r="Z39" s="307">
        <f t="shared" si="21"/>
        <v>120.23122499999999</v>
      </c>
      <c r="AB39" s="333">
        <f t="shared" si="22"/>
        <v>74.42751035520719</v>
      </c>
      <c r="AC39" s="334">
        <f t="shared" si="23"/>
        <v>-85.913145816781935</v>
      </c>
      <c r="AE39" s="333">
        <f t="shared" si="24"/>
        <v>47.356811437188469</v>
      </c>
      <c r="AF39" s="334">
        <f t="shared" si="25"/>
        <v>-0.39258315170337671</v>
      </c>
      <c r="AH39">
        <f t="shared" si="26"/>
        <v>0</v>
      </c>
      <c r="AI39">
        <f t="shared" si="27"/>
        <v>0</v>
      </c>
    </row>
    <row r="40" spans="1:35" x14ac:dyDescent="0.2">
      <c r="A40" s="335">
        <v>12.023</v>
      </c>
      <c r="B40" s="352">
        <f t="shared" si="28"/>
        <v>1.2022999999999999E-2</v>
      </c>
      <c r="C40" s="325">
        <f t="shared" si="0"/>
        <v>1.0000278062195822</v>
      </c>
      <c r="D40" s="326">
        <f t="shared" si="1"/>
        <v>7.4572884181871987E-3</v>
      </c>
      <c r="E40" s="326">
        <f t="shared" si="2"/>
        <v>1.000000000114134</v>
      </c>
      <c r="F40" s="327">
        <f t="shared" si="3"/>
        <v>1.5108547371230402E-5</v>
      </c>
      <c r="G40" s="326">
        <f t="shared" si="4"/>
        <v>1</v>
      </c>
      <c r="H40" s="327">
        <f t="shared" si="5"/>
        <v>0</v>
      </c>
      <c r="I40" s="325">
        <f t="shared" si="6"/>
        <v>15.98894469492086</v>
      </c>
      <c r="J40" s="328">
        <f t="shared" si="7"/>
        <v>1.508212265643093</v>
      </c>
      <c r="K40" s="336">
        <f t="shared" si="8"/>
        <v>1.0000045493889327</v>
      </c>
      <c r="L40" s="337">
        <f t="shared" si="9"/>
        <v>3.0164123343417947E-3</v>
      </c>
      <c r="M40" s="325">
        <f t="shared" si="10"/>
        <v>1.0000000004232787</v>
      </c>
      <c r="N40" s="337">
        <f t="shared" si="11"/>
        <v>2.9095659991789609E-5</v>
      </c>
      <c r="O40" s="343">
        <f t="shared" si="12"/>
        <v>1.0000000024405551</v>
      </c>
      <c r="P40" s="691">
        <f t="shared" si="13"/>
        <v>6.9864944645686754E-5</v>
      </c>
      <c r="Q40" s="336">
        <f t="shared" si="29"/>
        <v>6.3078556449960477</v>
      </c>
      <c r="R40" s="692">
        <f t="shared" si="14"/>
        <v>7.7410318947438453E-5</v>
      </c>
      <c r="S40" s="329">
        <f t="shared" si="15"/>
        <v>1.000000002374797</v>
      </c>
      <c r="T40" s="330">
        <f t="shared" si="16"/>
        <v>7.0794217231355707E-5</v>
      </c>
      <c r="U40" s="331">
        <f t="shared" si="17"/>
        <v>78.245160440505359</v>
      </c>
      <c r="V40" s="332">
        <f t="shared" si="18"/>
        <v>-86.673930917681673</v>
      </c>
      <c r="W40" s="334">
        <f t="shared" si="19"/>
        <v>93.326069082318327</v>
      </c>
      <c r="Y40" s="307">
        <f t="shared" si="20"/>
        <v>1000000000</v>
      </c>
      <c r="Z40" s="307">
        <f t="shared" si="21"/>
        <v>144.55252899999999</v>
      </c>
      <c r="AB40" s="333">
        <f t="shared" si="22"/>
        <v>73.630867906093584</v>
      </c>
      <c r="AC40" s="334">
        <f t="shared" si="23"/>
        <v>-86.243036892250728</v>
      </c>
      <c r="AE40" s="333">
        <f t="shared" si="24"/>
        <v>47.356770798784503</v>
      </c>
      <c r="AF40" s="334">
        <f t="shared" si="25"/>
        <v>-0.43046170732813438</v>
      </c>
      <c r="AH40">
        <f t="shared" si="26"/>
        <v>0</v>
      </c>
      <c r="AI40">
        <f t="shared" si="27"/>
        <v>0</v>
      </c>
    </row>
    <row r="41" spans="1:35" x14ac:dyDescent="0.2">
      <c r="A41" s="335">
        <v>13.183</v>
      </c>
      <c r="B41" s="352">
        <f t="shared" si="28"/>
        <v>1.3183E-2</v>
      </c>
      <c r="C41" s="325">
        <f t="shared" si="0"/>
        <v>1.0000334305511538</v>
      </c>
      <c r="D41" s="326">
        <f t="shared" si="1"/>
        <v>8.1767499467157462E-3</v>
      </c>
      <c r="E41" s="326">
        <f t="shared" si="2"/>
        <v>1.0000000001372202</v>
      </c>
      <c r="F41" s="327">
        <f t="shared" si="3"/>
        <v>1.6566246360464517E-5</v>
      </c>
      <c r="G41" s="326">
        <f t="shared" si="4"/>
        <v>1</v>
      </c>
      <c r="H41" s="327">
        <f t="shared" si="5"/>
        <v>0</v>
      </c>
      <c r="I41" s="325">
        <f t="shared" si="6"/>
        <v>17.525816209655709</v>
      </c>
      <c r="J41" s="328">
        <f t="shared" si="7"/>
        <v>1.5137066369282155</v>
      </c>
      <c r="K41" s="336">
        <f t="shared" si="8"/>
        <v>1.0000054696013854</v>
      </c>
      <c r="L41" s="337">
        <f t="shared" si="9"/>
        <v>3.3074390259227875E-3</v>
      </c>
      <c r="M41" s="325">
        <f t="shared" si="10"/>
        <v>1.0000000005088963</v>
      </c>
      <c r="N41" s="337">
        <f t="shared" si="11"/>
        <v>3.1902859989176497E-5</v>
      </c>
      <c r="O41" s="343">
        <f t="shared" si="12"/>
        <v>1.0000000029342118</v>
      </c>
      <c r="P41" s="691">
        <f t="shared" si="13"/>
        <v>7.6605636277216478E-5</v>
      </c>
      <c r="Q41" s="336">
        <f t="shared" si="29"/>
        <v>6.307855648772283</v>
      </c>
      <c r="R41" s="692">
        <f t="shared" si="14"/>
        <v>8.4879001437187756E-5</v>
      </c>
      <c r="S41" s="329">
        <f t="shared" si="15"/>
        <v>1.0000000028551526</v>
      </c>
      <c r="T41" s="330">
        <f t="shared" si="16"/>
        <v>7.7624566703014364E-5</v>
      </c>
      <c r="U41" s="331">
        <f t="shared" si="17"/>
        <v>77.44795052300519</v>
      </c>
      <c r="V41" s="332">
        <f t="shared" si="18"/>
        <v>-87.013793093452122</v>
      </c>
      <c r="W41" s="334">
        <f t="shared" si="19"/>
        <v>92.986206906547878</v>
      </c>
      <c r="Y41" s="307">
        <f t="shared" si="20"/>
        <v>1000000000</v>
      </c>
      <c r="Z41" s="307">
        <f t="shared" si="21"/>
        <v>173.79148899999998</v>
      </c>
      <c r="AB41" s="333">
        <f t="shared" si="22"/>
        <v>72.833706844304814</v>
      </c>
      <c r="AC41" s="334">
        <f t="shared" si="23"/>
        <v>-86.541327417865801</v>
      </c>
      <c r="AE41" s="333">
        <f t="shared" si="24"/>
        <v>47.356721943985136</v>
      </c>
      <c r="AF41" s="334">
        <f t="shared" si="25"/>
        <v>-0.47199164667974797</v>
      </c>
      <c r="AH41">
        <f t="shared" si="26"/>
        <v>0</v>
      </c>
      <c r="AI41">
        <f t="shared" si="27"/>
        <v>0</v>
      </c>
    </row>
    <row r="42" spans="1:35" x14ac:dyDescent="0.2">
      <c r="A42" s="335">
        <v>14.454000000000001</v>
      </c>
      <c r="B42" s="352">
        <f t="shared" si="28"/>
        <v>1.4454E-2</v>
      </c>
      <c r="C42" s="325">
        <f t="shared" si="0"/>
        <v>1.0000401873774651</v>
      </c>
      <c r="D42" s="326">
        <f t="shared" si="1"/>
        <v>8.9650467546991408E-3</v>
      </c>
      <c r="E42" s="326">
        <f t="shared" si="2"/>
        <v>1.0000000001649552</v>
      </c>
      <c r="F42" s="327">
        <f t="shared" si="3"/>
        <v>1.8163432063242567E-5</v>
      </c>
      <c r="G42" s="326">
        <f t="shared" si="4"/>
        <v>1</v>
      </c>
      <c r="H42" s="327">
        <f t="shared" si="5"/>
        <v>0</v>
      </c>
      <c r="I42" s="325">
        <f t="shared" si="6"/>
        <v>19.2102560098898</v>
      </c>
      <c r="J42" s="328">
        <f t="shared" si="7"/>
        <v>1.5187172612821689</v>
      </c>
      <c r="K42" s="336">
        <f t="shared" si="8"/>
        <v>1.0000065751101603</v>
      </c>
      <c r="L42" s="337">
        <f t="shared" si="9"/>
        <v>3.6263133162222978E-3</v>
      </c>
      <c r="M42" s="325">
        <f t="shared" si="10"/>
        <v>1.000000000611754</v>
      </c>
      <c r="N42" s="337">
        <f t="shared" si="11"/>
        <v>3.4978679985734423E-5</v>
      </c>
      <c r="O42" s="343">
        <f t="shared" si="12"/>
        <v>1.0000000035272727</v>
      </c>
      <c r="P42" s="691">
        <f t="shared" si="13"/>
        <v>8.3991342358575899E-5</v>
      </c>
      <c r="Q42" s="336">
        <f t="shared" si="29"/>
        <v>6.3078556533089181</v>
      </c>
      <c r="R42" s="692">
        <f t="shared" si="14"/>
        <v>9.3062359568270406E-5</v>
      </c>
      <c r="S42" s="329">
        <f t="shared" si="15"/>
        <v>1.0000000034322343</v>
      </c>
      <c r="T42" s="330">
        <f t="shared" si="16"/>
        <v>8.5108509952638547E-5</v>
      </c>
      <c r="U42" s="331">
        <f t="shared" si="17"/>
        <v>76.650803439246971</v>
      </c>
      <c r="V42" s="332">
        <f t="shared" si="18"/>
        <v>-87.328335871053</v>
      </c>
      <c r="W42" s="334">
        <f t="shared" si="19"/>
        <v>92.671664128947</v>
      </c>
      <c r="Y42" s="307">
        <f t="shared" si="20"/>
        <v>1000000000</v>
      </c>
      <c r="Z42" s="307">
        <f t="shared" si="21"/>
        <v>208.91811600000003</v>
      </c>
      <c r="AB42" s="333">
        <f t="shared" si="22"/>
        <v>72.036618453301244</v>
      </c>
      <c r="AC42" s="334">
        <f t="shared" si="23"/>
        <v>-86.810321126855143</v>
      </c>
      <c r="AE42" s="333">
        <f t="shared" si="24"/>
        <v>47.356663252326129</v>
      </c>
      <c r="AF42" s="334">
        <f t="shared" si="25"/>
        <v>-0.51749501319527735</v>
      </c>
      <c r="AH42">
        <f t="shared" si="26"/>
        <v>0</v>
      </c>
      <c r="AI42">
        <f t="shared" si="27"/>
        <v>0</v>
      </c>
    </row>
    <row r="43" spans="1:35" x14ac:dyDescent="0.2">
      <c r="A43" s="335">
        <v>15.849</v>
      </c>
      <c r="B43" s="352">
        <f t="shared" si="28"/>
        <v>1.5848999999999999E-2</v>
      </c>
      <c r="C43" s="325">
        <f t="shared" si="0"/>
        <v>1.0000483187321811</v>
      </c>
      <c r="D43" s="326">
        <f t="shared" si="1"/>
        <v>9.8302377059847328E-3</v>
      </c>
      <c r="E43" s="326">
        <f t="shared" si="2"/>
        <v>1.0000000001983325</v>
      </c>
      <c r="F43" s="327">
        <f t="shared" si="3"/>
        <v>1.991644076130662E-5</v>
      </c>
      <c r="G43" s="326">
        <f t="shared" si="4"/>
        <v>1</v>
      </c>
      <c r="H43" s="327">
        <f t="shared" si="5"/>
        <v>0</v>
      </c>
      <c r="I43" s="325">
        <f t="shared" si="6"/>
        <v>21.059493424125595</v>
      </c>
      <c r="J43" s="328">
        <f t="shared" si="7"/>
        <v>1.5232939411333712</v>
      </c>
      <c r="K43" s="336">
        <f t="shared" si="8"/>
        <v>1.0000079055187783</v>
      </c>
      <c r="L43" s="337">
        <f t="shared" si="9"/>
        <v>3.9762964420686836E-3</v>
      </c>
      <c r="M43" s="325">
        <f t="shared" si="10"/>
        <v>1.0000000007355367</v>
      </c>
      <c r="N43" s="337">
        <f t="shared" si="11"/>
        <v>3.835457998119252E-5</v>
      </c>
      <c r="O43" s="343">
        <f t="shared" si="12"/>
        <v>1.0000000042409845</v>
      </c>
      <c r="P43" s="691">
        <f t="shared" si="13"/>
        <v>9.2097605120221667E-5</v>
      </c>
      <c r="Q43" s="336">
        <f t="shared" si="29"/>
        <v>6.3078556587684709</v>
      </c>
      <c r="R43" s="692">
        <f t="shared" si="14"/>
        <v>1.0204409408825993E-4</v>
      </c>
      <c r="S43" s="329">
        <f t="shared" si="15"/>
        <v>1.0000000041267159</v>
      </c>
      <c r="T43" s="330">
        <f t="shared" si="16"/>
        <v>9.3322593996962171E-5</v>
      </c>
      <c r="U43" s="331">
        <f t="shared" si="17"/>
        <v>75.85244900974385</v>
      </c>
      <c r="V43" s="332">
        <f t="shared" si="18"/>
        <v>-87.62069332302039</v>
      </c>
      <c r="W43" s="334">
        <f t="shared" si="19"/>
        <v>92.37930667697961</v>
      </c>
      <c r="Y43" s="307">
        <f t="shared" si="20"/>
        <v>1000000000</v>
      </c>
      <c r="Z43" s="307">
        <f t="shared" si="21"/>
        <v>251.19080099999999</v>
      </c>
      <c r="AB43" s="333">
        <f t="shared" si="22"/>
        <v>71.238334655783277</v>
      </c>
      <c r="AC43" s="334">
        <f t="shared" si="23"/>
        <v>-87.052686435598531</v>
      </c>
      <c r="AE43" s="333">
        <f t="shared" si="24"/>
        <v>47.356592621659544</v>
      </c>
      <c r="AF43" s="334">
        <f t="shared" si="25"/>
        <v>-0.56743699558237437</v>
      </c>
      <c r="AH43">
        <f t="shared" si="26"/>
        <v>0</v>
      </c>
      <c r="AI43">
        <f t="shared" si="27"/>
        <v>0</v>
      </c>
    </row>
    <row r="44" spans="1:35" x14ac:dyDescent="0.2">
      <c r="A44" s="335">
        <v>17.378</v>
      </c>
      <c r="B44" s="352">
        <f t="shared" si="28"/>
        <v>1.7378000000000001E-2</v>
      </c>
      <c r="C44" s="325">
        <f t="shared" si="0"/>
        <v>1.0000580910549475</v>
      </c>
      <c r="D44" s="326">
        <f t="shared" si="1"/>
        <v>1.0778519652042724E-2</v>
      </c>
      <c r="E44" s="326">
        <f t="shared" si="2"/>
        <v>1.0000000002384457</v>
      </c>
      <c r="F44" s="327">
        <f t="shared" si="3"/>
        <v>2.1837838825208578E-5</v>
      </c>
      <c r="G44" s="326">
        <f t="shared" si="4"/>
        <v>1</v>
      </c>
      <c r="H44" s="327">
        <f t="shared" si="5"/>
        <v>0</v>
      </c>
      <c r="I44" s="325">
        <f t="shared" si="6"/>
        <v>23.086785306500069</v>
      </c>
      <c r="J44" s="328">
        <f t="shared" si="7"/>
        <v>1.5274679488222271</v>
      </c>
      <c r="K44" s="336">
        <f t="shared" si="8"/>
        <v>1.0000095044257524</v>
      </c>
      <c r="L44" s="337">
        <f t="shared" si="9"/>
        <v>4.3598968966104875E-3</v>
      </c>
      <c r="M44" s="325">
        <f t="shared" si="10"/>
        <v>1.0000000008843013</v>
      </c>
      <c r="N44" s="337">
        <f t="shared" si="11"/>
        <v>4.2054759975207264E-5</v>
      </c>
      <c r="O44" s="343">
        <f t="shared" si="12"/>
        <v>1.0000000050987361</v>
      </c>
      <c r="P44" s="691">
        <f t="shared" si="13"/>
        <v>1.0098253396832654E-4</v>
      </c>
      <c r="Q44" s="336">
        <f t="shared" si="29"/>
        <v>6.3078556653298632</v>
      </c>
      <c r="R44" s="692">
        <f t="shared" si="14"/>
        <v>1.1188859018509915E-4</v>
      </c>
      <c r="S44" s="329">
        <f t="shared" si="15"/>
        <v>1.0000000049613562</v>
      </c>
      <c r="T44" s="330">
        <f t="shared" si="16"/>
        <v>1.0232570115475603E-4</v>
      </c>
      <c r="U44" s="331">
        <f t="shared" si="17"/>
        <v>75.054067130034028</v>
      </c>
      <c r="V44" s="332">
        <f t="shared" si="18"/>
        <v>-87.89287294968446</v>
      </c>
      <c r="W44" s="334">
        <f t="shared" si="19"/>
        <v>92.10712705031554</v>
      </c>
      <c r="Y44" s="307">
        <f t="shared" si="20"/>
        <v>1000000000</v>
      </c>
      <c r="Z44" s="307">
        <f t="shared" si="21"/>
        <v>301.99488400000001</v>
      </c>
      <c r="AB44" s="333">
        <f t="shared" si="22"/>
        <v>70.440037661360492</v>
      </c>
      <c r="AC44" s="334">
        <f t="shared" si="23"/>
        <v>-87.270072777706076</v>
      </c>
      <c r="AE44" s="333">
        <f t="shared" si="24"/>
        <v>47.356507737957173</v>
      </c>
      <c r="AF44" s="334">
        <f t="shared" si="25"/>
        <v>-0.62217530098531659</v>
      </c>
      <c r="AH44">
        <f t="shared" si="26"/>
        <v>0</v>
      </c>
      <c r="AI44">
        <f t="shared" si="27"/>
        <v>0</v>
      </c>
    </row>
    <row r="45" spans="1:35" x14ac:dyDescent="0.2">
      <c r="A45" s="335">
        <v>19.055</v>
      </c>
      <c r="B45" s="352">
        <f t="shared" si="28"/>
        <v>1.9054999999999999E-2</v>
      </c>
      <c r="C45" s="325">
        <f t="shared" si="0"/>
        <v>1.0000698433451884</v>
      </c>
      <c r="D45" s="326">
        <f t="shared" si="1"/>
        <v>1.1818568471119647E-2</v>
      </c>
      <c r="E45" s="326">
        <f t="shared" si="2"/>
        <v>1.0000000002866867</v>
      </c>
      <c r="F45" s="327">
        <f t="shared" si="3"/>
        <v>2.3945219173723484E-5</v>
      </c>
      <c r="G45" s="326">
        <f t="shared" si="4"/>
        <v>1</v>
      </c>
      <c r="H45" s="327">
        <f t="shared" si="5"/>
        <v>0</v>
      </c>
      <c r="I45" s="325">
        <f t="shared" si="6"/>
        <v>25.3106943259247</v>
      </c>
      <c r="J45" s="328">
        <f t="shared" si="7"/>
        <v>1.5312770496822636</v>
      </c>
      <c r="K45" s="336">
        <f t="shared" si="8"/>
        <v>1.000011427304111</v>
      </c>
      <c r="L45" s="337">
        <f t="shared" si="9"/>
        <v>4.780626589178885E-3</v>
      </c>
      <c r="M45" s="325">
        <f t="shared" si="10"/>
        <v>1.0000000010632089</v>
      </c>
      <c r="N45" s="337">
        <f t="shared" si="11"/>
        <v>4.6113099967314751E-5</v>
      </c>
      <c r="O45" s="343">
        <f t="shared" si="12"/>
        <v>1.0000000061302876</v>
      </c>
      <c r="P45" s="691">
        <f t="shared" si="13"/>
        <v>1.1072748207176732E-4</v>
      </c>
      <c r="Q45" s="336">
        <f t="shared" si="29"/>
        <v>6.3078556732207396</v>
      </c>
      <c r="R45" s="692">
        <f t="shared" si="14"/>
        <v>1.2268598712222192E-4</v>
      </c>
      <c r="S45" s="329">
        <f t="shared" si="15"/>
        <v>1.0000000059651137</v>
      </c>
      <c r="T45" s="330">
        <f t="shared" si="16"/>
        <v>1.122002666725246E-4</v>
      </c>
      <c r="U45" s="331">
        <f t="shared" si="17"/>
        <v>74.255169854259179</v>
      </c>
      <c r="V45" s="332">
        <f t="shared" si="18"/>
        <v>-88.147340578674232</v>
      </c>
      <c r="W45" s="334">
        <f t="shared" si="19"/>
        <v>91.852659421325768</v>
      </c>
      <c r="Y45" s="307">
        <f t="shared" si="20"/>
        <v>1000000000</v>
      </c>
      <c r="Z45" s="307">
        <f t="shared" si="21"/>
        <v>363.09302500000001</v>
      </c>
      <c r="AB45" s="333">
        <f t="shared" si="22"/>
        <v>69.641242468357646</v>
      </c>
      <c r="AC45" s="334">
        <f t="shared" si="23"/>
        <v>-87.464444671001289</v>
      </c>
      <c r="AE45" s="333">
        <f t="shared" si="24"/>
        <v>47.356405657090932</v>
      </c>
      <c r="AF45" s="334">
        <f t="shared" si="25"/>
        <v>-0.68221073580348501</v>
      </c>
      <c r="AH45">
        <f t="shared" si="26"/>
        <v>0</v>
      </c>
      <c r="AI45">
        <f t="shared" ref="AI45:AI76" si="30">IF(AH45&gt;0,W43,0)</f>
        <v>0</v>
      </c>
    </row>
    <row r="46" spans="1:35" x14ac:dyDescent="0.2">
      <c r="A46" s="335">
        <v>20.893000000000001</v>
      </c>
      <c r="B46" s="352">
        <f t="shared" si="28"/>
        <v>2.0893000000000002E-2</v>
      </c>
      <c r="C46" s="325">
        <f t="shared" si="0"/>
        <v>1.0000839664259296</v>
      </c>
      <c r="D46" s="326">
        <f t="shared" si="1"/>
        <v>1.2958437486821061E-2</v>
      </c>
      <c r="E46" s="326">
        <f t="shared" si="2"/>
        <v>1.0000000003446603</v>
      </c>
      <c r="F46" s="327">
        <f t="shared" si="3"/>
        <v>2.6254918088547314E-5</v>
      </c>
      <c r="G46" s="326">
        <f t="shared" si="4"/>
        <v>1</v>
      </c>
      <c r="H46" s="327">
        <f t="shared" si="5"/>
        <v>0</v>
      </c>
      <c r="I46" s="325">
        <f t="shared" si="6"/>
        <v>27.748460174460277</v>
      </c>
      <c r="J46" s="328">
        <f t="shared" si="7"/>
        <v>1.5347504858010557</v>
      </c>
      <c r="K46" s="336">
        <f t="shared" si="8"/>
        <v>1.0000137381098855</v>
      </c>
      <c r="L46" s="337">
        <f t="shared" si="9"/>
        <v>5.241746389812953E-3</v>
      </c>
      <c r="M46" s="325">
        <f t="shared" si="10"/>
        <v>1.0000000012782104</v>
      </c>
      <c r="N46" s="337">
        <f t="shared" si="11"/>
        <v>5.0561059956914873E-5</v>
      </c>
      <c r="O46" s="343">
        <f t="shared" si="12"/>
        <v>1.0000000073699502</v>
      </c>
      <c r="P46" s="691">
        <f t="shared" si="13"/>
        <v>1.2140799165644294E-4</v>
      </c>
      <c r="Q46" s="336">
        <f t="shared" si="29"/>
        <v>6.3078556827035666</v>
      </c>
      <c r="R46" s="692">
        <f t="shared" si="14"/>
        <v>1.345199856411154E-4</v>
      </c>
      <c r="S46" s="329">
        <f t="shared" si="15"/>
        <v>1.000000007171375</v>
      </c>
      <c r="T46" s="330">
        <f t="shared" si="16"/>
        <v>1.2302283756263191E-4</v>
      </c>
      <c r="U46" s="331">
        <f t="shared" si="17"/>
        <v>73.456370665305599</v>
      </c>
      <c r="V46" s="332">
        <f t="shared" si="18"/>
        <v>-88.38605196535147</v>
      </c>
      <c r="W46" s="334">
        <f t="shared" si="19"/>
        <v>91.61394803464853</v>
      </c>
      <c r="Y46" s="307">
        <f t="shared" si="20"/>
        <v>1000000000</v>
      </c>
      <c r="Z46" s="307">
        <f t="shared" si="21"/>
        <v>436.51744900000006</v>
      </c>
      <c r="AB46" s="333">
        <f t="shared" si="22"/>
        <v>68.842565953755582</v>
      </c>
      <c r="AC46" s="334">
        <f t="shared" si="23"/>
        <v>-87.637292532122487</v>
      </c>
      <c r="AE46" s="333">
        <f t="shared" si="24"/>
        <v>47.356282985029672</v>
      </c>
      <c r="AF46" s="334">
        <f t="shared" si="25"/>
        <v>-0.74800817131181085</v>
      </c>
      <c r="AH46">
        <f t="shared" si="26"/>
        <v>0</v>
      </c>
      <c r="AI46">
        <f t="shared" si="30"/>
        <v>0</v>
      </c>
    </row>
    <row r="47" spans="1:35" x14ac:dyDescent="0.2">
      <c r="A47" s="335">
        <v>22.909000000000002</v>
      </c>
      <c r="B47" s="352">
        <f t="shared" si="28"/>
        <v>2.2909000000000002E-2</v>
      </c>
      <c r="C47" s="325">
        <f t="shared" si="0"/>
        <v>1.000100951467255</v>
      </c>
      <c r="D47" s="326">
        <f t="shared" si="1"/>
        <v>1.4208657594636975E-2</v>
      </c>
      <c r="E47" s="326">
        <f t="shared" si="2"/>
        <v>1.000000000414383</v>
      </c>
      <c r="F47" s="327">
        <f t="shared" si="3"/>
        <v>2.8788298399587083E-5</v>
      </c>
      <c r="G47" s="326">
        <f t="shared" si="4"/>
        <v>1</v>
      </c>
      <c r="H47" s="327">
        <f t="shared" si="5"/>
        <v>0</v>
      </c>
      <c r="I47" s="325">
        <f t="shared" si="6"/>
        <v>30.422630277720291</v>
      </c>
      <c r="J47" s="328">
        <f t="shared" si="7"/>
        <v>1.5379201371219822</v>
      </c>
      <c r="K47" s="336">
        <f t="shared" si="8"/>
        <v>1.0000165172232278</v>
      </c>
      <c r="L47" s="337">
        <f t="shared" si="9"/>
        <v>5.7475204883809319E-3</v>
      </c>
      <c r="M47" s="325">
        <f t="shared" si="10"/>
        <v>1.0000000015367845</v>
      </c>
      <c r="N47" s="337">
        <f t="shared" si="11"/>
        <v>5.5439779943200657E-5</v>
      </c>
      <c r="O47" s="343">
        <f t="shared" si="12"/>
        <v>1.0000000088608465</v>
      </c>
      <c r="P47" s="691">
        <f t="shared" si="13"/>
        <v>1.3312284870975905E-4</v>
      </c>
      <c r="Q47" s="336">
        <f t="shared" si="29"/>
        <v>6.3078556941082118</v>
      </c>
      <c r="R47" s="692">
        <f t="shared" si="14"/>
        <v>1.4750004055715888E-4</v>
      </c>
      <c r="S47" s="329">
        <f t="shared" si="15"/>
        <v>1.0000000086221008</v>
      </c>
      <c r="T47" s="330">
        <f t="shared" si="16"/>
        <v>1.3489351376402766E-4</v>
      </c>
      <c r="U47" s="331">
        <f t="shared" si="17"/>
        <v>72.657089842253953</v>
      </c>
      <c r="V47" s="332">
        <f t="shared" si="18"/>
        <v>-88.611200231440179</v>
      </c>
      <c r="W47" s="334">
        <f t="shared" si="19"/>
        <v>91.388799768559821</v>
      </c>
      <c r="Y47" s="307">
        <f t="shared" si="20"/>
        <v>1000000000</v>
      </c>
      <c r="Z47" s="307">
        <f t="shared" si="21"/>
        <v>524.82228100000009</v>
      </c>
      <c r="AB47" s="333">
        <f t="shared" si="22"/>
        <v>68.043432662008769</v>
      </c>
      <c r="AC47" s="334">
        <f t="shared" si="23"/>
        <v>-87.790200984344025</v>
      </c>
      <c r="AE47" s="333">
        <f t="shared" si="24"/>
        <v>47.356135456479208</v>
      </c>
      <c r="AF47" s="334">
        <f t="shared" si="25"/>
        <v>-0.82017549468109896</v>
      </c>
      <c r="AH47">
        <f t="shared" si="26"/>
        <v>0</v>
      </c>
      <c r="AI47">
        <f t="shared" si="30"/>
        <v>0</v>
      </c>
    </row>
    <row r="48" spans="1:35" x14ac:dyDescent="0.2">
      <c r="A48" s="335">
        <v>25.119</v>
      </c>
      <c r="B48" s="352">
        <f t="shared" si="28"/>
        <v>2.5118999999999999E-2</v>
      </c>
      <c r="C48" s="325">
        <f t="shared" si="0"/>
        <v>1.000121367003616</v>
      </c>
      <c r="D48" s="326">
        <f t="shared" si="1"/>
        <v>1.557913540150657E-2</v>
      </c>
      <c r="E48" s="326">
        <f t="shared" si="2"/>
        <v>1.0000000004981893</v>
      </c>
      <c r="F48" s="327">
        <f t="shared" si="3"/>
        <v>3.1565466299656284E-5</v>
      </c>
      <c r="G48" s="326">
        <f t="shared" si="4"/>
        <v>1</v>
      </c>
      <c r="H48" s="327">
        <f t="shared" si="5"/>
        <v>0</v>
      </c>
      <c r="I48" s="325">
        <f t="shared" si="6"/>
        <v>33.354428352217163</v>
      </c>
      <c r="J48" s="328">
        <f t="shared" si="7"/>
        <v>1.5408108070194597</v>
      </c>
      <c r="K48" s="336">
        <f t="shared" si="8"/>
        <v>1.0000198576906254</v>
      </c>
      <c r="L48" s="337">
        <f t="shared" si="9"/>
        <v>6.3019619206012402E-3</v>
      </c>
      <c r="M48" s="325">
        <f t="shared" si="10"/>
        <v>1.0000000018475892</v>
      </c>
      <c r="N48" s="337">
        <f t="shared" si="11"/>
        <v>6.0787979925125838E-5</v>
      </c>
      <c r="O48" s="343">
        <f t="shared" si="12"/>
        <v>1.0000000106528948</v>
      </c>
      <c r="P48" s="691">
        <f t="shared" si="13"/>
        <v>1.45965028274716E-4</v>
      </c>
      <c r="Q48" s="336">
        <f t="shared" si="29"/>
        <v>6.3078557078165263</v>
      </c>
      <c r="R48" s="692">
        <f t="shared" si="14"/>
        <v>1.6172916816187876E-4</v>
      </c>
      <c r="S48" s="329">
        <f t="shared" si="15"/>
        <v>1.0000000103658644</v>
      </c>
      <c r="T48" s="330">
        <f t="shared" si="16"/>
        <v>1.4790650698015252E-4</v>
      </c>
      <c r="U48" s="331">
        <f t="shared" si="17"/>
        <v>71.857806682539177</v>
      </c>
      <c r="V48" s="332">
        <f t="shared" si="18"/>
        <v>-88.824551222117961</v>
      </c>
      <c r="W48" s="334">
        <f t="shared" si="19"/>
        <v>91.175448777882039</v>
      </c>
      <c r="Y48" s="307">
        <f t="shared" si="20"/>
        <v>1000000000</v>
      </c>
      <c r="Z48" s="307">
        <f t="shared" si="21"/>
        <v>630.96416099999999</v>
      </c>
      <c r="AB48" s="333">
        <f t="shared" si="22"/>
        <v>67.244326827409338</v>
      </c>
      <c r="AC48" s="334">
        <f t="shared" si="23"/>
        <v>-87.92436344482185</v>
      </c>
      <c r="AE48" s="333">
        <f t="shared" si="24"/>
        <v>47.355958134674616</v>
      </c>
      <c r="AF48" s="334">
        <f t="shared" si="25"/>
        <v>-0.89928455861191037</v>
      </c>
      <c r="AH48">
        <f t="shared" si="26"/>
        <v>0</v>
      </c>
      <c r="AI48">
        <f t="shared" si="30"/>
        <v>0</v>
      </c>
    </row>
    <row r="49" spans="1:35" x14ac:dyDescent="0.2">
      <c r="A49" s="335">
        <v>27.542000000000002</v>
      </c>
      <c r="B49" s="352">
        <f t="shared" si="28"/>
        <v>2.7542000000000001E-2</v>
      </c>
      <c r="C49" s="325">
        <f t="shared" si="0"/>
        <v>1.0001459088240088</v>
      </c>
      <c r="D49" s="326">
        <f t="shared" si="1"/>
        <v>1.7081632536930264E-2</v>
      </c>
      <c r="E49" s="326">
        <f t="shared" si="2"/>
        <v>1.0000000005989362</v>
      </c>
      <c r="F49" s="327">
        <f t="shared" si="3"/>
        <v>3.4610297892700425E-5</v>
      </c>
      <c r="G49" s="326">
        <f t="shared" si="4"/>
        <v>1</v>
      </c>
      <c r="H49" s="327">
        <f t="shared" si="5"/>
        <v>0</v>
      </c>
      <c r="I49" s="325">
        <f t="shared" si="6"/>
        <v>36.569059852843971</v>
      </c>
      <c r="J49" s="328">
        <f t="shared" si="7"/>
        <v>1.5434473964267386</v>
      </c>
      <c r="K49" s="336">
        <f t="shared" si="8"/>
        <v>1.0000238733917333</v>
      </c>
      <c r="L49" s="337">
        <f t="shared" si="9"/>
        <v>6.9098360029764246E-3</v>
      </c>
      <c r="M49" s="325">
        <f t="shared" si="10"/>
        <v>1.0000000022212205</v>
      </c>
      <c r="N49" s="337">
        <f t="shared" si="11"/>
        <v>6.6651639901301322E-5</v>
      </c>
      <c r="O49" s="343">
        <f t="shared" si="12"/>
        <v>1.0000000128071913</v>
      </c>
      <c r="P49" s="691">
        <f t="shared" si="13"/>
        <v>1.6004493821284569E-4</v>
      </c>
      <c r="Q49" s="336">
        <f t="shared" si="29"/>
        <v>6.3078557242958668</v>
      </c>
      <c r="R49" s="692">
        <f t="shared" si="14"/>
        <v>1.7732970029875063E-4</v>
      </c>
      <c r="S49" s="329">
        <f t="shared" si="15"/>
        <v>1.0000000124621158</v>
      </c>
      <c r="T49" s="330">
        <f t="shared" si="16"/>
        <v>1.6217369360689508E-4</v>
      </c>
      <c r="U49" s="331">
        <f t="shared" si="17"/>
        <v>71.058422529554178</v>
      </c>
      <c r="V49" s="332">
        <f t="shared" si="18"/>
        <v>-89.02794087467413</v>
      </c>
      <c r="W49" s="334">
        <f t="shared" si="19"/>
        <v>90.97205912532587</v>
      </c>
      <c r="Y49" s="307">
        <f t="shared" si="20"/>
        <v>1000000000</v>
      </c>
      <c r="Z49" s="307">
        <f t="shared" si="21"/>
        <v>758.56176400000004</v>
      </c>
      <c r="AB49" s="333">
        <f t="shared" si="22"/>
        <v>66.445155834797077</v>
      </c>
      <c r="AC49" s="334">
        <f t="shared" si="23"/>
        <v>-88.040936233874675</v>
      </c>
      <c r="AE49" s="333">
        <f t="shared" si="24"/>
        <v>47.355744978281884</v>
      </c>
      <c r="AF49" s="334">
        <f t="shared" si="25"/>
        <v>-0.98601429688091546</v>
      </c>
      <c r="AH49">
        <f t="shared" si="26"/>
        <v>0</v>
      </c>
      <c r="AI49">
        <f t="shared" si="30"/>
        <v>0</v>
      </c>
    </row>
    <row r="50" spans="1:35" x14ac:dyDescent="0.2">
      <c r="A50" s="335">
        <v>30.2</v>
      </c>
      <c r="B50" s="352">
        <f t="shared" si="28"/>
        <v>3.0199999999999998E-2</v>
      </c>
      <c r="C50" s="325">
        <f t="shared" si="0"/>
        <v>1.0001754276661854</v>
      </c>
      <c r="D50" s="326">
        <f t="shared" si="1"/>
        <v>1.8729763709249881E-2</v>
      </c>
      <c r="E50" s="326">
        <f t="shared" si="2"/>
        <v>1.000000000720118</v>
      </c>
      <c r="F50" s="327">
        <f t="shared" si="3"/>
        <v>3.7950439193780811E-5</v>
      </c>
      <c r="G50" s="326">
        <f t="shared" si="4"/>
        <v>1</v>
      </c>
      <c r="H50" s="327">
        <f t="shared" si="5"/>
        <v>0</v>
      </c>
      <c r="I50" s="325">
        <f t="shared" si="6"/>
        <v>40.095712714011178</v>
      </c>
      <c r="J50" s="328">
        <f t="shared" si="7"/>
        <v>1.5458534181575374</v>
      </c>
      <c r="K50" s="336">
        <f t="shared" si="8"/>
        <v>1.0000287035764859</v>
      </c>
      <c r="L50" s="337">
        <f t="shared" si="9"/>
        <v>7.576660203984069E-3</v>
      </c>
      <c r="M50" s="325">
        <f t="shared" si="10"/>
        <v>1.0000000026706355</v>
      </c>
      <c r="N50" s="337">
        <f t="shared" si="11"/>
        <v>7.3083999869879497E-5</v>
      </c>
      <c r="O50" s="343">
        <f t="shared" si="12"/>
        <v>1.0000000153984439</v>
      </c>
      <c r="P50" s="691">
        <f t="shared" si="13"/>
        <v>1.7549041920261082E-4</v>
      </c>
      <c r="Q50" s="336">
        <f t="shared" si="29"/>
        <v>6.3078557441177123</v>
      </c>
      <c r="R50" s="692">
        <f t="shared" si="14"/>
        <v>1.9444328436106143E-4</v>
      </c>
      <c r="S50" s="329">
        <f t="shared" si="15"/>
        <v>1.0000000149835497</v>
      </c>
      <c r="T50" s="330">
        <f t="shared" si="16"/>
        <v>1.7782461473105695E-4</v>
      </c>
      <c r="U50" s="331">
        <f t="shared" si="17"/>
        <v>70.258525250797391</v>
      </c>
      <c r="V50" s="332">
        <f t="shared" si="18"/>
        <v>-89.223189991422458</v>
      </c>
      <c r="W50" s="334">
        <f t="shared" si="19"/>
        <v>90.776810008577542</v>
      </c>
      <c r="Y50" s="307">
        <f t="shared" si="20"/>
        <v>1000000000</v>
      </c>
      <c r="Z50" s="307">
        <f t="shared" si="21"/>
        <v>912.04</v>
      </c>
      <c r="AB50" s="333">
        <f t="shared" si="22"/>
        <v>65.645514937892983</v>
      </c>
      <c r="AC50" s="334">
        <f t="shared" si="23"/>
        <v>-88.140953459264082</v>
      </c>
      <c r="AE50" s="333">
        <f t="shared" si="24"/>
        <v>47.35548860121645</v>
      </c>
      <c r="AF50" s="334">
        <f t="shared" si="25"/>
        <v>-1.0811506129738648</v>
      </c>
      <c r="AH50">
        <f t="shared" si="26"/>
        <v>0</v>
      </c>
      <c r="AI50">
        <f t="shared" si="30"/>
        <v>0</v>
      </c>
    </row>
    <row r="51" spans="1:35" x14ac:dyDescent="0.2">
      <c r="A51" s="335">
        <v>33.113</v>
      </c>
      <c r="B51" s="352">
        <f t="shared" si="28"/>
        <v>3.3112999999999997E-2</v>
      </c>
      <c r="C51" s="325">
        <f t="shared" si="0"/>
        <v>1.0002108985318321</v>
      </c>
      <c r="D51" s="326">
        <f t="shared" si="1"/>
        <v>2.0535894104830262E-2</v>
      </c>
      <c r="E51" s="326">
        <f t="shared" si="2"/>
        <v>1.0000000008657386</v>
      </c>
      <c r="F51" s="327">
        <f t="shared" si="3"/>
        <v>4.1611022943763817E-5</v>
      </c>
      <c r="G51" s="326">
        <f t="shared" si="4"/>
        <v>1</v>
      </c>
      <c r="H51" s="327">
        <f t="shared" si="5"/>
        <v>0</v>
      </c>
      <c r="I51" s="325">
        <f t="shared" si="6"/>
        <v>43.960923103928501</v>
      </c>
      <c r="J51" s="328">
        <f t="shared" si="7"/>
        <v>1.5480468895505237</v>
      </c>
      <c r="K51" s="336">
        <f t="shared" si="8"/>
        <v>1.0000345078518993</v>
      </c>
      <c r="L51" s="337">
        <f t="shared" si="9"/>
        <v>8.3074496209096516E-3</v>
      </c>
      <c r="M51" s="325">
        <f t="shared" si="10"/>
        <v>1.0000000032106857</v>
      </c>
      <c r="N51" s="337">
        <f t="shared" si="11"/>
        <v>8.0133459828477744E-5</v>
      </c>
      <c r="O51" s="343">
        <f t="shared" si="12"/>
        <v>1.0000000185122839</v>
      </c>
      <c r="P51" s="691">
        <f t="shared" si="13"/>
        <v>1.92417690032881E-4</v>
      </c>
      <c r="Q51" s="336">
        <f t="shared" si="29"/>
        <v>6.3078557679371032</v>
      </c>
      <c r="R51" s="692">
        <f t="shared" si="14"/>
        <v>2.131986906933477E-4</v>
      </c>
      <c r="S51" s="329">
        <f t="shared" si="15"/>
        <v>1.0000000180134909</v>
      </c>
      <c r="T51" s="330">
        <f t="shared" si="16"/>
        <v>1.9497703496767157E-4</v>
      </c>
      <c r="U51" s="331">
        <f t="shared" si="17"/>
        <v>69.458890278822565</v>
      </c>
      <c r="V51" s="332">
        <f t="shared" si="18"/>
        <v>-89.411760818593791</v>
      </c>
      <c r="W51" s="334">
        <f t="shared" si="19"/>
        <v>90.588239181406209</v>
      </c>
      <c r="Y51" s="307">
        <f t="shared" si="20"/>
        <v>1000000000</v>
      </c>
      <c r="Z51" s="307">
        <f t="shared" si="21"/>
        <v>1096.470769</v>
      </c>
      <c r="AB51" s="333">
        <f t="shared" si="22"/>
        <v>64.846188033246875</v>
      </c>
      <c r="AC51" s="334">
        <f t="shared" si="23"/>
        <v>-88.225162867661922</v>
      </c>
      <c r="AE51" s="333">
        <f t="shared" si="24"/>
        <v>47.355180539640443</v>
      </c>
      <c r="AF51" s="334">
        <f t="shared" si="25"/>
        <v>-1.1854072872986094</v>
      </c>
      <c r="AH51">
        <f t="shared" si="26"/>
        <v>0</v>
      </c>
      <c r="AI51">
        <f t="shared" si="30"/>
        <v>0</v>
      </c>
    </row>
    <row r="52" spans="1:35" x14ac:dyDescent="0.2">
      <c r="A52" s="335">
        <v>36.308</v>
      </c>
      <c r="B52" s="352">
        <f t="shared" si="28"/>
        <v>3.6308E-2</v>
      </c>
      <c r="C52" s="325">
        <f t="shared" si="0"/>
        <v>1.0002535548312865</v>
      </c>
      <c r="D52" s="326">
        <f t="shared" si="1"/>
        <v>2.2516716804726257E-2</v>
      </c>
      <c r="E52" s="326">
        <f t="shared" si="2"/>
        <v>1.0000000010408649</v>
      </c>
      <c r="F52" s="327">
        <f t="shared" si="3"/>
        <v>4.5625978342819678E-5</v>
      </c>
      <c r="G52" s="326">
        <f t="shared" si="4"/>
        <v>1</v>
      </c>
      <c r="H52" s="327">
        <f t="shared" si="5"/>
        <v>0</v>
      </c>
      <c r="I52" s="325">
        <f t="shared" si="6"/>
        <v>48.200516839258995</v>
      </c>
      <c r="J52" s="328">
        <f t="shared" si="7"/>
        <v>1.5500481726913122</v>
      </c>
      <c r="K52" s="336">
        <f t="shared" si="8"/>
        <v>1.0000414881438322</v>
      </c>
      <c r="L52" s="337">
        <f t="shared" si="9"/>
        <v>9.1089746398466623E-3</v>
      </c>
      <c r="M52" s="325">
        <f t="shared" si="10"/>
        <v>1.0000000038601606</v>
      </c>
      <c r="N52" s="337">
        <f t="shared" si="11"/>
        <v>8.7865359773883699E-5</v>
      </c>
      <c r="O52" s="343">
        <f t="shared" si="12"/>
        <v>1.0000000222570498</v>
      </c>
      <c r="P52" s="691">
        <f t="shared" si="13"/>
        <v>2.1098364606868806E-4</v>
      </c>
      <c r="Q52" s="336">
        <f t="shared" si="29"/>
        <v>6.3078557965827757</v>
      </c>
      <c r="R52" s="692">
        <f t="shared" si="14"/>
        <v>2.3376975926081117E-4</v>
      </c>
      <c r="S52" s="329">
        <f t="shared" si="15"/>
        <v>1.0000000216573584</v>
      </c>
      <c r="T52" s="330">
        <f t="shared" si="16"/>
        <v>2.1378993654708956E-4</v>
      </c>
      <c r="U52" s="331">
        <f t="shared" si="17"/>
        <v>68.658882606316425</v>
      </c>
      <c r="V52" s="332">
        <f t="shared" si="18"/>
        <v>-89.595400425871603</v>
      </c>
      <c r="W52" s="334">
        <f t="shared" si="19"/>
        <v>90.404599574128397</v>
      </c>
      <c r="Y52" s="307">
        <f t="shared" si="20"/>
        <v>1000000000</v>
      </c>
      <c r="Z52" s="307">
        <f t="shared" si="21"/>
        <v>1318.2708640000001</v>
      </c>
      <c r="AB52" s="333">
        <f t="shared" si="22"/>
        <v>64.046550819675829</v>
      </c>
      <c r="AC52" s="334">
        <f t="shared" si="23"/>
        <v>-88.29434694979409</v>
      </c>
      <c r="AE52" s="333">
        <f t="shared" si="24"/>
        <v>47.354810087623704</v>
      </c>
      <c r="AF52" s="334">
        <f t="shared" si="25"/>
        <v>-1.2997479279586086</v>
      </c>
      <c r="AH52">
        <f t="shared" si="26"/>
        <v>0</v>
      </c>
      <c r="AI52">
        <f t="shared" si="30"/>
        <v>0</v>
      </c>
    </row>
    <row r="53" spans="1:35" x14ac:dyDescent="0.2">
      <c r="A53" s="335">
        <v>39.811</v>
      </c>
      <c r="B53" s="352">
        <f t="shared" si="28"/>
        <v>3.9810999999999999E-2</v>
      </c>
      <c r="C53" s="325">
        <f t="shared" si="0"/>
        <v>1.0003048332079116</v>
      </c>
      <c r="D53" s="326">
        <f t="shared" si="1"/>
        <v>2.4688288396678831E-2</v>
      </c>
      <c r="E53" s="326">
        <f t="shared" si="2"/>
        <v>1.0000000012513992</v>
      </c>
      <c r="F53" s="327">
        <f t="shared" si="3"/>
        <v>5.0027977953923348E-5</v>
      </c>
      <c r="G53" s="326">
        <f t="shared" si="4"/>
        <v>1</v>
      </c>
      <c r="H53" s="327">
        <f t="shared" si="5"/>
        <v>0</v>
      </c>
      <c r="I53" s="325">
        <f t="shared" si="6"/>
        <v>52.848994614128678</v>
      </c>
      <c r="J53" s="328">
        <f t="shared" si="7"/>
        <v>1.5518733616644658</v>
      </c>
      <c r="K53" s="336">
        <f t="shared" si="8"/>
        <v>1.0000498796850508</v>
      </c>
      <c r="L53" s="337">
        <f t="shared" si="9"/>
        <v>9.9877536833803127E-3</v>
      </c>
      <c r="M53" s="325">
        <f t="shared" si="10"/>
        <v>1.0000000046409501</v>
      </c>
      <c r="N53" s="337">
        <f t="shared" si="11"/>
        <v>9.63426197019191E-5</v>
      </c>
      <c r="O53" s="343">
        <f t="shared" si="12"/>
        <v>1.0000000267589531</v>
      </c>
      <c r="P53" s="691">
        <f t="shared" si="13"/>
        <v>2.3133937172059804E-4</v>
      </c>
      <c r="Q53" s="336">
        <f t="shared" si="29"/>
        <v>6.3078558310201869</v>
      </c>
      <c r="R53" s="692">
        <f t="shared" si="14"/>
        <v>2.5632389149136611E-4</v>
      </c>
      <c r="S53" s="329">
        <f t="shared" si="15"/>
        <v>1.0000000260379627</v>
      </c>
      <c r="T53" s="330">
        <f t="shared" si="16"/>
        <v>2.3441641345450678E-4</v>
      </c>
      <c r="U53" s="331">
        <f t="shared" si="17"/>
        <v>67.858809470775611</v>
      </c>
      <c r="V53" s="332">
        <f t="shared" si="18"/>
        <v>-89.775588872571603</v>
      </c>
      <c r="W53" s="334">
        <f t="shared" si="19"/>
        <v>90.224411127428397</v>
      </c>
      <c r="Y53" s="307">
        <f t="shared" si="20"/>
        <v>1000000000</v>
      </c>
      <c r="Z53" s="307">
        <f t="shared" si="21"/>
        <v>1584.9157210000001</v>
      </c>
      <c r="AB53" s="333">
        <f t="shared" si="22"/>
        <v>63.246923002675352</v>
      </c>
      <c r="AC53" s="334">
        <f t="shared" si="23"/>
        <v>-88.34905795572881</v>
      </c>
      <c r="AE53" s="333">
        <f t="shared" si="24"/>
        <v>47.354364777400491</v>
      </c>
      <c r="AF53" s="334">
        <f t="shared" si="25"/>
        <v>-1.4250994093051161</v>
      </c>
      <c r="AH53">
        <f t="shared" si="26"/>
        <v>0</v>
      </c>
      <c r="AI53">
        <f t="shared" si="30"/>
        <v>0</v>
      </c>
    </row>
    <row r="54" spans="1:35" x14ac:dyDescent="0.2">
      <c r="A54" s="335">
        <v>43.652000000000001</v>
      </c>
      <c r="B54" s="352">
        <f t="shared" si="28"/>
        <v>4.3652000000000003E-2</v>
      </c>
      <c r="C54" s="325">
        <f t="shared" si="0"/>
        <v>1.000366480618649</v>
      </c>
      <c r="D54" s="326">
        <f t="shared" si="1"/>
        <v>2.70691237490145E-2</v>
      </c>
      <c r="E54" s="326">
        <f t="shared" si="2"/>
        <v>1.0000000015045201</v>
      </c>
      <c r="F54" s="327">
        <f t="shared" si="3"/>
        <v>5.4854720888099988E-5</v>
      </c>
      <c r="G54" s="326">
        <f t="shared" si="4"/>
        <v>1</v>
      </c>
      <c r="H54" s="327">
        <f t="shared" si="5"/>
        <v>0</v>
      </c>
      <c r="I54" s="325">
        <f t="shared" si="6"/>
        <v>57.946166402026904</v>
      </c>
      <c r="J54" s="328">
        <f t="shared" si="7"/>
        <v>1.5535380730562955</v>
      </c>
      <c r="K54" s="336">
        <f t="shared" si="8"/>
        <v>1.0000599685615559</v>
      </c>
      <c r="L54" s="337">
        <f t="shared" si="9"/>
        <v>1.0951307214408523E-2</v>
      </c>
      <c r="M54" s="325">
        <f t="shared" si="10"/>
        <v>1.0000000055796765</v>
      </c>
      <c r="N54" s="337">
        <f t="shared" si="11"/>
        <v>1.0563783960704999E-4</v>
      </c>
      <c r="O54" s="343">
        <f t="shared" si="12"/>
        <v>1.0000000321714946</v>
      </c>
      <c r="P54" s="691">
        <f t="shared" si="13"/>
        <v>2.5365919514477858E-4</v>
      </c>
      <c r="Q54" s="336">
        <f t="shared" si="29"/>
        <v>6.3078558724235476</v>
      </c>
      <c r="R54" s="692">
        <f t="shared" si="14"/>
        <v>2.8105424286557957E-4</v>
      </c>
      <c r="S54" s="329">
        <f t="shared" si="15"/>
        <v>1.0000000313046693</v>
      </c>
      <c r="T54" s="330">
        <f t="shared" si="16"/>
        <v>2.5703311258645523E-4</v>
      </c>
      <c r="U54" s="331">
        <f t="shared" si="17"/>
        <v>67.058602163885638</v>
      </c>
      <c r="V54" s="332">
        <f t="shared" si="18"/>
        <v>-89.953864055732041</v>
      </c>
      <c r="W54" s="334">
        <f t="shared" si="19"/>
        <v>90.046135944267959</v>
      </c>
      <c r="Y54" s="307">
        <f t="shared" si="20"/>
        <v>1000000000</v>
      </c>
      <c r="Z54" s="307">
        <f t="shared" si="21"/>
        <v>1905.497104</v>
      </c>
      <c r="AB54" s="333">
        <f t="shared" si="22"/>
        <v>62.447251032267239</v>
      </c>
      <c r="AC54" s="334">
        <f t="shared" si="23"/>
        <v>-88.389763918841908</v>
      </c>
      <c r="AE54" s="333">
        <f t="shared" si="24"/>
        <v>47.353829450918148</v>
      </c>
      <c r="AF54" s="334">
        <f t="shared" si="25"/>
        <v>-1.562530516274385</v>
      </c>
      <c r="AH54">
        <f t="shared" si="26"/>
        <v>0</v>
      </c>
      <c r="AI54">
        <f t="shared" si="30"/>
        <v>0</v>
      </c>
    </row>
    <row r="55" spans="1:35" x14ac:dyDescent="0.2">
      <c r="A55" s="335">
        <v>47.863</v>
      </c>
      <c r="B55" s="352">
        <f t="shared" si="28"/>
        <v>4.7863000000000003E-2</v>
      </c>
      <c r="C55" s="325">
        <f t="shared" si="0"/>
        <v>1.0004405817094879</v>
      </c>
      <c r="D55" s="326">
        <f t="shared" si="1"/>
        <v>2.9678949108016803E-2</v>
      </c>
      <c r="E55" s="326">
        <f t="shared" si="2"/>
        <v>1.0000000018087958</v>
      </c>
      <c r="F55" s="327">
        <f t="shared" si="3"/>
        <v>6.0146419530251606E-5</v>
      </c>
      <c r="G55" s="326">
        <f t="shared" si="4"/>
        <v>1</v>
      </c>
      <c r="H55" s="327">
        <f t="shared" si="5"/>
        <v>0</v>
      </c>
      <c r="I55" s="325">
        <f t="shared" si="6"/>
        <v>63.534497561029525</v>
      </c>
      <c r="J55" s="328">
        <f t="shared" si="7"/>
        <v>1.555056196133044</v>
      </c>
      <c r="K55" s="336">
        <f t="shared" si="8"/>
        <v>1.0000720962270397</v>
      </c>
      <c r="L55" s="337">
        <f t="shared" si="9"/>
        <v>1.2007655537308712E-2</v>
      </c>
      <c r="M55" s="325">
        <f t="shared" si="10"/>
        <v>1.0000000067081161</v>
      </c>
      <c r="N55" s="337">
        <f t="shared" si="11"/>
        <v>1.1582845948200613E-4</v>
      </c>
      <c r="O55" s="343">
        <f t="shared" si="12"/>
        <v>1.00000003867789</v>
      </c>
      <c r="P55" s="691">
        <f t="shared" si="13"/>
        <v>2.7812906635554503E-4</v>
      </c>
      <c r="Q55" s="336">
        <f t="shared" si="29"/>
        <v>6.307855922194368</v>
      </c>
      <c r="R55" s="692">
        <f t="shared" si="14"/>
        <v>3.0816684587077752E-4</v>
      </c>
      <c r="S55" s="329">
        <f t="shared" si="15"/>
        <v>1.0000000376357572</v>
      </c>
      <c r="T55" s="330">
        <f t="shared" si="16"/>
        <v>2.8182845728108575E-4</v>
      </c>
      <c r="U55" s="331">
        <f t="shared" si="17"/>
        <v>66.258366236335902</v>
      </c>
      <c r="V55" s="332">
        <f t="shared" si="18"/>
        <v>-90.131706552245078</v>
      </c>
      <c r="W55" s="334">
        <f t="shared" si="19"/>
        <v>89.868293447754922</v>
      </c>
      <c r="Y55" s="307">
        <f t="shared" si="20"/>
        <v>1000000000</v>
      </c>
      <c r="Z55" s="307">
        <f t="shared" si="21"/>
        <v>2290.8667689999997</v>
      </c>
      <c r="AB55" s="333">
        <f t="shared" si="22"/>
        <v>61.647658543361892</v>
      </c>
      <c r="AC55" s="334">
        <f t="shared" si="23"/>
        <v>-88.416805542863443</v>
      </c>
      <c r="AE55" s="333">
        <f t="shared" si="24"/>
        <v>47.353186024294118</v>
      </c>
      <c r="AF55" s="334">
        <f t="shared" si="25"/>
        <v>-1.713179971387498</v>
      </c>
      <c r="AH55">
        <f t="shared" si="26"/>
        <v>0</v>
      </c>
      <c r="AI55">
        <f t="shared" si="30"/>
        <v>0</v>
      </c>
    </row>
    <row r="56" spans="1:35" x14ac:dyDescent="0.2">
      <c r="A56" s="335">
        <v>52.481000000000002</v>
      </c>
      <c r="B56" s="352">
        <f t="shared" si="28"/>
        <v>5.2481E-2</v>
      </c>
      <c r="C56" s="325">
        <f t="shared" si="0"/>
        <v>1.0005296774602241</v>
      </c>
      <c r="D56" s="326">
        <f t="shared" si="1"/>
        <v>3.2540552156978375E-2</v>
      </c>
      <c r="E56" s="326">
        <f t="shared" si="2"/>
        <v>1.0000000021746729</v>
      </c>
      <c r="F56" s="327">
        <f t="shared" si="3"/>
        <v>6.594956945024751E-5</v>
      </c>
      <c r="G56" s="326">
        <f t="shared" si="4"/>
        <v>1</v>
      </c>
      <c r="H56" s="327">
        <f t="shared" si="5"/>
        <v>0</v>
      </c>
      <c r="I56" s="325">
        <f t="shared" si="6"/>
        <v>69.663090043744759</v>
      </c>
      <c r="J56" s="328">
        <f t="shared" si="7"/>
        <v>1.5564410298082658</v>
      </c>
      <c r="K56" s="336">
        <f t="shared" si="8"/>
        <v>1.0000866789700404</v>
      </c>
      <c r="L56" s="337">
        <f t="shared" si="9"/>
        <v>1.3166070747727765E-2</v>
      </c>
      <c r="M56" s="325">
        <f t="shared" si="10"/>
        <v>1.0000000080650104</v>
      </c>
      <c r="N56" s="337">
        <f t="shared" si="11"/>
        <v>1.270040193171408E-4</v>
      </c>
      <c r="O56" s="343">
        <f t="shared" si="12"/>
        <v>1.0000000465015195</v>
      </c>
      <c r="P56" s="691">
        <f t="shared" si="13"/>
        <v>3.0496399003977325E-4</v>
      </c>
      <c r="Q56" s="336">
        <f t="shared" si="29"/>
        <v>6.3078559820413993</v>
      </c>
      <c r="R56" s="692">
        <f t="shared" si="14"/>
        <v>3.3789992554749375E-4</v>
      </c>
      <c r="S56" s="329">
        <f t="shared" si="15"/>
        <v>1.0000000452485875</v>
      </c>
      <c r="T56" s="330">
        <f t="shared" si="16"/>
        <v>3.0902031200666727E-4</v>
      </c>
      <c r="U56" s="331">
        <f t="shared" si="17"/>
        <v>65.457856606127422</v>
      </c>
      <c r="V56" s="332">
        <f t="shared" si="18"/>
        <v>-90.310668999267477</v>
      </c>
      <c r="W56" s="334">
        <f t="shared" si="19"/>
        <v>89.689331000732523</v>
      </c>
      <c r="Y56" s="307">
        <f t="shared" si="20"/>
        <v>1000000000</v>
      </c>
      <c r="Z56" s="307">
        <f t="shared" si="21"/>
        <v>2754.255361</v>
      </c>
      <c r="AB56" s="333">
        <f t="shared" si="22"/>
        <v>60.847922491164177</v>
      </c>
      <c r="AC56" s="334">
        <f t="shared" si="23"/>
        <v>-88.430418677728284</v>
      </c>
      <c r="AE56" s="333">
        <f t="shared" si="24"/>
        <v>47.352412460737284</v>
      </c>
      <c r="AF56" s="334">
        <f t="shared" si="25"/>
        <v>-1.8783632314381251</v>
      </c>
      <c r="AH56">
        <f t="shared" si="26"/>
        <v>0</v>
      </c>
      <c r="AI56">
        <f t="shared" si="30"/>
        <v>0</v>
      </c>
    </row>
    <row r="57" spans="1:35" x14ac:dyDescent="0.2">
      <c r="A57" s="335">
        <v>57.544000000000004</v>
      </c>
      <c r="B57" s="352">
        <f t="shared" si="28"/>
        <v>5.7544000000000005E-2</v>
      </c>
      <c r="C57" s="325">
        <f t="shared" si="0"/>
        <v>1.0006367722589387</v>
      </c>
      <c r="D57" s="326">
        <f t="shared" si="1"/>
        <v>3.5677290910402545E-2</v>
      </c>
      <c r="E57" s="326">
        <f t="shared" si="2"/>
        <v>1.0000000026145071</v>
      </c>
      <c r="F57" s="327">
        <f t="shared" si="3"/>
        <v>7.2311922854599996E-5</v>
      </c>
      <c r="G57" s="326">
        <f t="shared" si="4"/>
        <v>1</v>
      </c>
      <c r="H57" s="327">
        <f t="shared" si="5"/>
        <v>0</v>
      </c>
      <c r="I57" s="325">
        <f t="shared" si="6"/>
        <v>76.382374036325899</v>
      </c>
      <c r="J57" s="328">
        <f t="shared" si="7"/>
        <v>1.5577039271192341</v>
      </c>
      <c r="K57" s="336">
        <f t="shared" si="8"/>
        <v>1.0001042091436132</v>
      </c>
      <c r="L57" s="337">
        <f t="shared" si="9"/>
        <v>1.4436072512732471E-2</v>
      </c>
      <c r="M57" s="325">
        <f t="shared" si="10"/>
        <v>1.0000000096961836</v>
      </c>
      <c r="N57" s="337">
        <f t="shared" si="11"/>
        <v>1.3925647909982905E-4</v>
      </c>
      <c r="O57" s="343">
        <f t="shared" si="12"/>
        <v>1.0000000559065938</v>
      </c>
      <c r="P57" s="691">
        <f t="shared" si="13"/>
        <v>3.3438478178419946E-4</v>
      </c>
      <c r="Q57" s="336">
        <f t="shared" si="29"/>
        <v>6.3078560539857298</v>
      </c>
      <c r="R57" s="692">
        <f t="shared" si="14"/>
        <v>3.7049814540063053E-4</v>
      </c>
      <c r="S57" s="329">
        <f t="shared" si="15"/>
        <v>1.0000000544002525</v>
      </c>
      <c r="T57" s="330">
        <f t="shared" si="16"/>
        <v>3.3883242942426862E-4</v>
      </c>
      <c r="U57" s="331">
        <f t="shared" si="17"/>
        <v>64.657270718298662</v>
      </c>
      <c r="V57" s="332">
        <f t="shared" si="18"/>
        <v>-90.49221147621229</v>
      </c>
      <c r="W57" s="334">
        <f t="shared" si="19"/>
        <v>89.50778852378771</v>
      </c>
      <c r="Y57" s="307">
        <f t="shared" si="20"/>
        <v>1000000000</v>
      </c>
      <c r="Z57" s="307">
        <f t="shared" si="21"/>
        <v>3311.3119360000005</v>
      </c>
      <c r="AB57" s="333">
        <f t="shared" si="22"/>
        <v>60.048266367776861</v>
      </c>
      <c r="AC57" s="334">
        <f t="shared" si="23"/>
        <v>-88.4307136367308</v>
      </c>
      <c r="AE57" s="333">
        <f t="shared" si="24"/>
        <v>47.35148271367143</v>
      </c>
      <c r="AF57" s="334">
        <f t="shared" si="25"/>
        <v>-2.0594286961598915</v>
      </c>
      <c r="AH57">
        <f t="shared" si="26"/>
        <v>0</v>
      </c>
      <c r="AI57">
        <f t="shared" si="30"/>
        <v>0</v>
      </c>
    </row>
    <row r="58" spans="1:35" x14ac:dyDescent="0.2">
      <c r="A58" s="335">
        <v>63.095999999999997</v>
      </c>
      <c r="B58" s="352">
        <f t="shared" si="28"/>
        <v>6.3095999999999999E-2</v>
      </c>
      <c r="C58" s="325">
        <f t="shared" si="0"/>
        <v>1.0007655256509456</v>
      </c>
      <c r="D58" s="326">
        <f t="shared" si="1"/>
        <v>3.9116175984290534E-2</v>
      </c>
      <c r="E58" s="326">
        <f t="shared" si="2"/>
        <v>1.0000000031433547</v>
      </c>
      <c r="F58" s="327">
        <f t="shared" si="3"/>
        <v>7.9288771771604853E-5</v>
      </c>
      <c r="G58" s="326">
        <f t="shared" si="4"/>
        <v>1</v>
      </c>
      <c r="H58" s="327">
        <f t="shared" si="5"/>
        <v>0</v>
      </c>
      <c r="I58" s="325">
        <f t="shared" si="6"/>
        <v>83.750743478648644</v>
      </c>
      <c r="J58" s="328">
        <f t="shared" si="7"/>
        <v>1.5588558505512953</v>
      </c>
      <c r="K58" s="336">
        <f t="shared" si="8"/>
        <v>1.0001252866541412</v>
      </c>
      <c r="L58" s="337">
        <f t="shared" si="9"/>
        <v>1.5828681241219777E-2</v>
      </c>
      <c r="M58" s="325">
        <f t="shared" si="10"/>
        <v>1.0000000116574723</v>
      </c>
      <c r="N58" s="337">
        <f t="shared" si="11"/>
        <v>1.5269231881332896E-4</v>
      </c>
      <c r="O58" s="343">
        <f t="shared" si="12"/>
        <v>1.00000006721506</v>
      </c>
      <c r="P58" s="691">
        <f t="shared" si="13"/>
        <v>3.6664712276511757E-4</v>
      </c>
      <c r="Q58" s="336">
        <f t="shared" si="29"/>
        <v>6.3078561404901015</v>
      </c>
      <c r="R58" s="692">
        <f t="shared" si="14"/>
        <v>4.0624479997555042E-4</v>
      </c>
      <c r="S58" s="329">
        <f t="shared" si="15"/>
        <v>1.0000000654040249</v>
      </c>
      <c r="T58" s="330">
        <f t="shared" si="16"/>
        <v>3.7152389153430717E-4</v>
      </c>
      <c r="U58" s="331">
        <f t="shared" si="17"/>
        <v>63.856425720145367</v>
      </c>
      <c r="V58" s="332">
        <f t="shared" si="18"/>
        <v>-90.67789761789372</v>
      </c>
      <c r="W58" s="334">
        <f t="shared" si="19"/>
        <v>89.32210238210628</v>
      </c>
      <c r="Y58" s="307">
        <f t="shared" si="20"/>
        <v>1000000000</v>
      </c>
      <c r="Z58" s="307">
        <f t="shared" si="21"/>
        <v>3981.1052159999995</v>
      </c>
      <c r="AB58" s="333">
        <f t="shared" si="22"/>
        <v>59.248539035682739</v>
      </c>
      <c r="AC58" s="334">
        <f t="shared" si="23"/>
        <v>-88.417693201949632</v>
      </c>
      <c r="AE58" s="333">
        <f t="shared" si="24"/>
        <v>47.350365068504303</v>
      </c>
      <c r="AF58" s="334">
        <f t="shared" si="25"/>
        <v>-2.2579356361588072</v>
      </c>
      <c r="AH58">
        <f t="shared" si="26"/>
        <v>0</v>
      </c>
      <c r="AI58">
        <f t="shared" si="30"/>
        <v>0</v>
      </c>
    </row>
    <row r="59" spans="1:35" x14ac:dyDescent="0.2">
      <c r="A59" s="335">
        <v>69.183000000000007</v>
      </c>
      <c r="B59" s="352">
        <f t="shared" si="28"/>
        <v>6.9183000000000008E-2</v>
      </c>
      <c r="C59" s="325">
        <f t="shared" si="0"/>
        <v>1.0009202827507035</v>
      </c>
      <c r="D59" s="326">
        <f t="shared" si="1"/>
        <v>4.2885371341593578E-2</v>
      </c>
      <c r="E59" s="326">
        <f t="shared" si="2"/>
        <v>1.000000003779101</v>
      </c>
      <c r="F59" s="327">
        <f t="shared" si="3"/>
        <v>8.6937921502948558E-5</v>
      </c>
      <c r="G59" s="326">
        <f t="shared" si="4"/>
        <v>1</v>
      </c>
      <c r="H59" s="327">
        <f t="shared" si="5"/>
        <v>0</v>
      </c>
      <c r="I59" s="325">
        <f t="shared" si="6"/>
        <v>91.829247544264291</v>
      </c>
      <c r="J59" s="328">
        <f t="shared" si="7"/>
        <v>1.5599063348551045</v>
      </c>
      <c r="K59" s="336">
        <f t="shared" si="8"/>
        <v>1.0001506240896421</v>
      </c>
      <c r="L59" s="337">
        <f t="shared" si="9"/>
        <v>1.7355413318321418E-2</v>
      </c>
      <c r="M59" s="325">
        <f t="shared" si="10"/>
        <v>1.000000014015207</v>
      </c>
      <c r="N59" s="337">
        <f t="shared" si="11"/>
        <v>1.6742285843568931E-4</v>
      </c>
      <c r="O59" s="343">
        <f t="shared" si="12"/>
        <v>1.0000000808093685</v>
      </c>
      <c r="P59" s="691">
        <f t="shared" si="13"/>
        <v>4.0201831596888249E-4</v>
      </c>
      <c r="Q59" s="336">
        <f t="shared" si="29"/>
        <v>6.3078562444800745</v>
      </c>
      <c r="R59" s="692">
        <f t="shared" si="14"/>
        <v>4.4543606076016107E-4</v>
      </c>
      <c r="S59" s="329">
        <f t="shared" si="15"/>
        <v>1.00000007863205</v>
      </c>
      <c r="T59" s="330">
        <f t="shared" si="16"/>
        <v>4.0736555673271475E-4</v>
      </c>
      <c r="U59" s="331">
        <f t="shared" si="17"/>
        <v>63.055455449753772</v>
      </c>
      <c r="V59" s="332">
        <f t="shared" si="18"/>
        <v>-90.869247800484246</v>
      </c>
      <c r="W59" s="334">
        <f t="shared" si="19"/>
        <v>89.130752199515754</v>
      </c>
      <c r="Y59" s="307">
        <f t="shared" si="20"/>
        <v>1000000000</v>
      </c>
      <c r="Z59" s="307">
        <f t="shared" si="21"/>
        <v>4786.2874890000012</v>
      </c>
      <c r="AB59" s="333">
        <f t="shared" si="22"/>
        <v>58.448911970793034</v>
      </c>
      <c r="AC59" s="334">
        <f t="shared" si="23"/>
        <v>-88.391250212257575</v>
      </c>
      <c r="AE59" s="333">
        <f t="shared" si="24"/>
        <v>47.349021888117477</v>
      </c>
      <c r="AF59" s="334">
        <f t="shared" si="25"/>
        <v>-2.4755099346913108</v>
      </c>
      <c r="AH59">
        <f t="shared" si="26"/>
        <v>0</v>
      </c>
      <c r="AI59">
        <f t="shared" si="30"/>
        <v>0</v>
      </c>
    </row>
    <row r="60" spans="1:35" x14ac:dyDescent="0.2">
      <c r="A60" s="335">
        <v>75.858000000000004</v>
      </c>
      <c r="B60" s="352">
        <f t="shared" si="28"/>
        <v>7.5858000000000009E-2</v>
      </c>
      <c r="C60" s="325">
        <f t="shared" si="0"/>
        <v>1.0011063305325645</v>
      </c>
      <c r="D60" s="326">
        <f t="shared" si="1"/>
        <v>4.7017263252049399E-2</v>
      </c>
      <c r="E60" s="326">
        <f t="shared" si="2"/>
        <v>1.0000000045435207</v>
      </c>
      <c r="F60" s="327">
        <f t="shared" si="3"/>
        <v>9.5325973808736326E-5</v>
      </c>
      <c r="G60" s="326">
        <f t="shared" si="4"/>
        <v>1</v>
      </c>
      <c r="H60" s="327">
        <f t="shared" si="5"/>
        <v>0</v>
      </c>
      <c r="I60" s="325">
        <f t="shared" si="6"/>
        <v>100.68822642401561</v>
      </c>
      <c r="J60" s="328">
        <f t="shared" si="7"/>
        <v>1.560864515739619</v>
      </c>
      <c r="K60" s="336">
        <f t="shared" si="8"/>
        <v>1.0001810888938467</v>
      </c>
      <c r="L60" s="337">
        <f t="shared" si="9"/>
        <v>1.9029533384326853E-2</v>
      </c>
      <c r="M60" s="325">
        <f t="shared" si="10"/>
        <v>1.0000000168501397</v>
      </c>
      <c r="N60" s="337">
        <f t="shared" si="11"/>
        <v>1.8357635793780843E-4</v>
      </c>
      <c r="O60" s="343">
        <f t="shared" si="12"/>
        <v>1.0000000971551228</v>
      </c>
      <c r="P60" s="691">
        <f t="shared" si="13"/>
        <v>4.4080634087050432E-4</v>
      </c>
      <c r="Q60" s="336">
        <f t="shared" si="29"/>
        <v>6.3078563695172942</v>
      </c>
      <c r="R60" s="692">
        <f t="shared" si="14"/>
        <v>4.8841316874618027E-4</v>
      </c>
      <c r="S60" s="329">
        <f t="shared" si="15"/>
        <v>1.0000000945373861</v>
      </c>
      <c r="T60" s="330">
        <f t="shared" si="16"/>
        <v>4.4666950094684007E-4</v>
      </c>
      <c r="U60" s="331">
        <f t="shared" si="17"/>
        <v>62.254152171995386</v>
      </c>
      <c r="V60" s="332">
        <f t="shared" si="18"/>
        <v>-91.067904369349961</v>
      </c>
      <c r="W60" s="334">
        <f t="shared" si="19"/>
        <v>88.932095630650039</v>
      </c>
      <c r="Y60" s="307">
        <f t="shared" si="20"/>
        <v>1000000000</v>
      </c>
      <c r="Z60" s="307">
        <f t="shared" si="21"/>
        <v>5754.4361640000006</v>
      </c>
      <c r="AB60" s="333">
        <f t="shared" si="22"/>
        <v>57.649223209414238</v>
      </c>
      <c r="AC60" s="334">
        <f t="shared" si="23"/>
        <v>-88.351155446070123</v>
      </c>
      <c r="AE60" s="333">
        <f t="shared" si="24"/>
        <v>47.347407401936159</v>
      </c>
      <c r="AF60" s="334">
        <f t="shared" si="25"/>
        <v>-2.7140212529634451</v>
      </c>
      <c r="AH60">
        <f t="shared" si="26"/>
        <v>0</v>
      </c>
      <c r="AI60">
        <f t="shared" si="30"/>
        <v>0</v>
      </c>
    </row>
    <row r="61" spans="1:35" x14ac:dyDescent="0.2">
      <c r="A61" s="335">
        <v>83.176000000000002</v>
      </c>
      <c r="B61" s="352">
        <f t="shared" si="28"/>
        <v>8.3176E-2</v>
      </c>
      <c r="C61" s="325">
        <f t="shared" si="0"/>
        <v>1.0013299326817173</v>
      </c>
      <c r="D61" s="326">
        <f t="shared" si="1"/>
        <v>5.1545327982279503E-2</v>
      </c>
      <c r="E61" s="326">
        <f t="shared" si="2"/>
        <v>1.0000000054624287</v>
      </c>
      <c r="F61" s="327">
        <f t="shared" si="3"/>
        <v>1.0452204372193052E-4</v>
      </c>
      <c r="G61" s="326">
        <f t="shared" si="4"/>
        <v>1</v>
      </c>
      <c r="H61" s="327">
        <f t="shared" si="5"/>
        <v>0</v>
      </c>
      <c r="I61" s="325">
        <f t="shared" si="6"/>
        <v>110.40067544910599</v>
      </c>
      <c r="J61" s="328">
        <f t="shared" si="7"/>
        <v>1.5617382873332475</v>
      </c>
      <c r="K61" s="336">
        <f t="shared" si="8"/>
        <v>1.0002177093844877</v>
      </c>
      <c r="L61" s="337">
        <f t="shared" si="9"/>
        <v>2.0864797818855099E-2</v>
      </c>
      <c r="M61" s="325">
        <f t="shared" si="10"/>
        <v>1.0000000202580106</v>
      </c>
      <c r="N61" s="337">
        <f t="shared" si="11"/>
        <v>2.0128591728156513E-4</v>
      </c>
      <c r="O61" s="343">
        <f t="shared" si="12"/>
        <v>1.0000001168043418</v>
      </c>
      <c r="P61" s="691">
        <f t="shared" si="13"/>
        <v>4.8333079870230088E-4</v>
      </c>
      <c r="Q61" s="336">
        <f t="shared" si="29"/>
        <v>6.3078565198244414</v>
      </c>
      <c r="R61" s="692">
        <f t="shared" si="14"/>
        <v>5.3553024179742517E-4</v>
      </c>
      <c r="S61" s="329">
        <f t="shared" si="15"/>
        <v>1.0000001136571786</v>
      </c>
      <c r="T61" s="330">
        <f t="shared" si="16"/>
        <v>4.8975957644896786E-4</v>
      </c>
      <c r="U61" s="331">
        <f t="shared" si="17"/>
        <v>61.452669356393926</v>
      </c>
      <c r="V61" s="332">
        <f t="shared" si="18"/>
        <v>-91.275473690123263</v>
      </c>
      <c r="W61" s="334">
        <f t="shared" si="19"/>
        <v>88.724526309876737</v>
      </c>
      <c r="Y61" s="307">
        <f t="shared" si="20"/>
        <v>1000000000</v>
      </c>
      <c r="Z61" s="307">
        <f t="shared" si="21"/>
        <v>6918.2469760000004</v>
      </c>
      <c r="AB61" s="333">
        <f t="shared" si="22"/>
        <v>56.849680408846581</v>
      </c>
      <c r="AC61" s="334">
        <f t="shared" si="23"/>
        <v>-88.297080647200161</v>
      </c>
      <c r="AE61" s="333">
        <f t="shared" si="24"/>
        <v>47.345467423203694</v>
      </c>
      <c r="AF61" s="334">
        <f t="shared" si="25"/>
        <v>-2.9754022351373837</v>
      </c>
      <c r="AH61">
        <f t="shared" si="26"/>
        <v>0</v>
      </c>
      <c r="AI61">
        <f t="shared" si="30"/>
        <v>0</v>
      </c>
    </row>
    <row r="62" spans="1:35" x14ac:dyDescent="0.2">
      <c r="A62" s="335">
        <v>91.201000000000008</v>
      </c>
      <c r="B62" s="352">
        <f t="shared" si="28"/>
        <v>9.1201000000000004E-2</v>
      </c>
      <c r="C62" s="325">
        <f t="shared" si="0"/>
        <v>1.0015987275971554</v>
      </c>
      <c r="D62" s="326">
        <f t="shared" si="1"/>
        <v>5.6508416316089299E-2</v>
      </c>
      <c r="E62" s="326">
        <f t="shared" si="2"/>
        <v>1.0000000065673313</v>
      </c>
      <c r="F62" s="327">
        <f t="shared" si="3"/>
        <v>1.146065560072872E-4</v>
      </c>
      <c r="G62" s="326">
        <f t="shared" si="4"/>
        <v>1</v>
      </c>
      <c r="H62" s="327">
        <f t="shared" si="5"/>
        <v>0</v>
      </c>
      <c r="I62" s="325">
        <f t="shared" si="6"/>
        <v>121.05153541523113</v>
      </c>
      <c r="J62" s="328">
        <f t="shared" si="7"/>
        <v>1.5625352884628669</v>
      </c>
      <c r="K62" s="336">
        <f t="shared" si="8"/>
        <v>1.0002617403799865</v>
      </c>
      <c r="L62" s="337">
        <f t="shared" si="9"/>
        <v>2.2877207115932798E-2</v>
      </c>
      <c r="M62" s="325">
        <f t="shared" si="10"/>
        <v>1.0000000243556617</v>
      </c>
      <c r="N62" s="337">
        <f t="shared" si="11"/>
        <v>2.2070641641636611E-4</v>
      </c>
      <c r="O62" s="343">
        <f t="shared" si="12"/>
        <v>1.0000001404307193</v>
      </c>
      <c r="P62" s="691">
        <f t="shared" si="13"/>
        <v>5.299635889937502E-4</v>
      </c>
      <c r="Q62" s="336">
        <f t="shared" si="29"/>
        <v>6.3078567005549511</v>
      </c>
      <c r="R62" s="692">
        <f t="shared" si="14"/>
        <v>5.8719934422199038E-4</v>
      </c>
      <c r="S62" s="329">
        <f t="shared" si="15"/>
        <v>1.0000001366469695</v>
      </c>
      <c r="T62" s="330">
        <f t="shared" si="16"/>
        <v>5.3701262943682234E-4</v>
      </c>
      <c r="U62" s="331">
        <f t="shared" si="17"/>
        <v>60.650748696386984</v>
      </c>
      <c r="V62" s="332">
        <f t="shared" si="18"/>
        <v>-91.493730819448388</v>
      </c>
      <c r="W62" s="334">
        <f t="shared" si="19"/>
        <v>88.506269180551612</v>
      </c>
      <c r="Y62" s="307">
        <f t="shared" si="20"/>
        <v>1000000000</v>
      </c>
      <c r="Z62" s="307">
        <f t="shared" si="21"/>
        <v>8317.6224010000005</v>
      </c>
      <c r="AB62" s="333">
        <f t="shared" si="22"/>
        <v>56.050091291756829</v>
      </c>
      <c r="AC62" s="334">
        <f t="shared" si="23"/>
        <v>-88.228555601377238</v>
      </c>
      <c r="AE62" s="333">
        <f t="shared" si="24"/>
        <v>47.343135923935506</v>
      </c>
      <c r="AF62" s="334">
        <f t="shared" si="25"/>
        <v>-3.2618958508555811</v>
      </c>
      <c r="AH62">
        <f t="shared" si="26"/>
        <v>0</v>
      </c>
      <c r="AI62">
        <f t="shared" si="30"/>
        <v>0</v>
      </c>
    </row>
    <row r="63" spans="1:35" x14ac:dyDescent="0.2">
      <c r="A63" s="335">
        <v>100</v>
      </c>
      <c r="B63" s="352">
        <f t="shared" si="28"/>
        <v>0.1</v>
      </c>
      <c r="C63" s="325">
        <f t="shared" si="0"/>
        <v>1.0019217866912582</v>
      </c>
      <c r="D63" s="326">
        <f t="shared" si="1"/>
        <v>6.1946977488578636E-2</v>
      </c>
      <c r="E63" s="326">
        <f t="shared" si="2"/>
        <v>1.0000000078956834</v>
      </c>
      <c r="F63" s="327">
        <f t="shared" si="3"/>
        <v>1.2566370533853279E-4</v>
      </c>
      <c r="G63" s="326">
        <f t="shared" si="4"/>
        <v>1</v>
      </c>
      <c r="H63" s="327">
        <f t="shared" si="5"/>
        <v>0</v>
      </c>
      <c r="I63" s="325">
        <f t="shared" si="6"/>
        <v>132.72972940192409</v>
      </c>
      <c r="J63" s="328">
        <f t="shared" si="7"/>
        <v>1.5632621483918412</v>
      </c>
      <c r="K63" s="336">
        <f t="shared" si="8"/>
        <v>1.000314673401969</v>
      </c>
      <c r="L63" s="337">
        <f t="shared" si="9"/>
        <v>2.5083496885215821E-2</v>
      </c>
      <c r="M63" s="325">
        <f t="shared" si="10"/>
        <v>1.0000000292819997</v>
      </c>
      <c r="N63" s="337">
        <f t="shared" si="11"/>
        <v>2.4199999527583745E-4</v>
      </c>
      <c r="O63" s="343">
        <f t="shared" si="12"/>
        <v>1.0000001688351676</v>
      </c>
      <c r="P63" s="691">
        <f t="shared" si="13"/>
        <v>5.8109404387912688E-4</v>
      </c>
      <c r="Q63" s="336">
        <f t="shared" si="29"/>
        <v>6.3078569178354229</v>
      </c>
      <c r="R63" s="692">
        <f t="shared" si="14"/>
        <v>6.4385185559450223E-4</v>
      </c>
      <c r="S63" s="329">
        <f t="shared" si="15"/>
        <v>1.0000001642860918</v>
      </c>
      <c r="T63" s="330">
        <f t="shared" si="16"/>
        <v>5.8882317059565049E-4</v>
      </c>
      <c r="U63" s="331">
        <f t="shared" si="17"/>
        <v>59.848448753605112</v>
      </c>
      <c r="V63" s="332">
        <f t="shared" si="18"/>
        <v>-91.724443755666854</v>
      </c>
      <c r="W63" s="334">
        <f t="shared" si="19"/>
        <v>88.275556244333146</v>
      </c>
      <c r="Y63" s="307">
        <f t="shared" si="20"/>
        <v>1000000000</v>
      </c>
      <c r="Z63" s="307">
        <f t="shared" si="21"/>
        <v>10000</v>
      </c>
      <c r="AB63" s="333">
        <f t="shared" si="22"/>
        <v>55.250592754945743</v>
      </c>
      <c r="AC63" s="334">
        <f t="shared" si="23"/>
        <v>-88.145010547545738</v>
      </c>
      <c r="AE63" s="333">
        <f t="shared" si="24"/>
        <v>47.340334570441051</v>
      </c>
      <c r="AF63" s="334">
        <f t="shared" si="25"/>
        <v>-3.5758374503742343</v>
      </c>
      <c r="AH63">
        <f t="shared" si="26"/>
        <v>0</v>
      </c>
      <c r="AI63">
        <f t="shared" si="30"/>
        <v>0</v>
      </c>
    </row>
    <row r="64" spans="1:35" x14ac:dyDescent="0.2">
      <c r="A64" s="335">
        <v>109.65</v>
      </c>
      <c r="B64" s="352">
        <f t="shared" si="28"/>
        <v>0.10965000000000001</v>
      </c>
      <c r="C64" s="325">
        <f t="shared" si="0"/>
        <v>1.0023101395367737</v>
      </c>
      <c r="D64" s="326">
        <f t="shared" si="1"/>
        <v>6.7907304451997677E-2</v>
      </c>
      <c r="E64" s="326">
        <f t="shared" si="2"/>
        <v>1.000000009493077</v>
      </c>
      <c r="F64" s="327">
        <f t="shared" si="3"/>
        <v>1.3779025275696436E-4</v>
      </c>
      <c r="G64" s="326">
        <f t="shared" si="4"/>
        <v>1</v>
      </c>
      <c r="H64" s="327">
        <f t="shared" si="5"/>
        <v>0</v>
      </c>
      <c r="I64" s="325">
        <f t="shared" si="6"/>
        <v>145.53745323868361</v>
      </c>
      <c r="J64" s="328">
        <f t="shared" si="7"/>
        <v>1.5639251891836135</v>
      </c>
      <c r="K64" s="336">
        <f t="shared" si="8"/>
        <v>1.000378323647634</v>
      </c>
      <c r="L64" s="337">
        <f t="shared" si="9"/>
        <v>2.7502887562652643E-2</v>
      </c>
      <c r="M64" s="325">
        <f t="shared" si="10"/>
        <v>1.0000000352061067</v>
      </c>
      <c r="N64" s="337">
        <f t="shared" si="11"/>
        <v>2.6535299377196945E-4</v>
      </c>
      <c r="O64" s="343">
        <f t="shared" si="12"/>
        <v>1.000000202992587</v>
      </c>
      <c r="P64" s="691">
        <f t="shared" si="13"/>
        <v>6.3716960460408483E-4</v>
      </c>
      <c r="Q64" s="336">
        <f t="shared" si="29"/>
        <v>6.3078571791233724</v>
      </c>
      <c r="R64" s="692">
        <f t="shared" si="14"/>
        <v>7.0598354028387014E-4</v>
      </c>
      <c r="S64" s="329">
        <f t="shared" si="15"/>
        <v>1.0000001975231774</v>
      </c>
      <c r="T64" s="330">
        <f t="shared" si="16"/>
        <v>6.4564459264682909E-4</v>
      </c>
      <c r="U64" s="331">
        <f t="shared" si="17"/>
        <v>59.04550372548168</v>
      </c>
      <c r="V64" s="332">
        <f t="shared" si="18"/>
        <v>-91.969559745950519</v>
      </c>
      <c r="W64" s="334">
        <f t="shared" si="19"/>
        <v>88.030440254049481</v>
      </c>
      <c r="Y64" s="307">
        <f t="shared" si="20"/>
        <v>1000000000</v>
      </c>
      <c r="Z64" s="307">
        <f t="shared" si="21"/>
        <v>12023.122500000001</v>
      </c>
      <c r="AB64" s="333">
        <f t="shared" si="22"/>
        <v>54.451014132270174</v>
      </c>
      <c r="AC64" s="334">
        <f t="shared" si="23"/>
        <v>-88.045717139888225</v>
      </c>
      <c r="AE64" s="333">
        <f t="shared" si="24"/>
        <v>47.336968228097966</v>
      </c>
      <c r="AF64" s="334">
        <f t="shared" si="25"/>
        <v>-3.9198998579716426</v>
      </c>
      <c r="AH64">
        <f t="shared" si="26"/>
        <v>0</v>
      </c>
      <c r="AI64">
        <f t="shared" si="30"/>
        <v>0</v>
      </c>
    </row>
    <row r="65" spans="1:35" x14ac:dyDescent="0.2">
      <c r="A65" s="335">
        <v>120.23</v>
      </c>
      <c r="B65" s="352">
        <f t="shared" si="28"/>
        <v>0.12023</v>
      </c>
      <c r="C65" s="325">
        <f t="shared" si="0"/>
        <v>1.0027768052936994</v>
      </c>
      <c r="D65" s="326">
        <f t="shared" si="1"/>
        <v>7.4436482222927924E-2</v>
      </c>
      <c r="E65" s="326">
        <f t="shared" si="2"/>
        <v>1.0000000114134102</v>
      </c>
      <c r="F65" s="327">
        <f t="shared" si="3"/>
        <v>1.5108547257419971E-4</v>
      </c>
      <c r="G65" s="326">
        <f t="shared" si="4"/>
        <v>1</v>
      </c>
      <c r="H65" s="327">
        <f t="shared" si="5"/>
        <v>0</v>
      </c>
      <c r="I65" s="325">
        <f t="shared" si="6"/>
        <v>159.57955773132034</v>
      </c>
      <c r="J65" s="328">
        <f t="shared" si="7"/>
        <v>1.5645298189846228</v>
      </c>
      <c r="K65" s="336">
        <f t="shared" si="8"/>
        <v>1.0004548364900074</v>
      </c>
      <c r="L65" s="337">
        <f t="shared" si="9"/>
        <v>3.0155071216373723E-2</v>
      </c>
      <c r="M65" s="325">
        <f t="shared" si="10"/>
        <v>1.0000000423278705</v>
      </c>
      <c r="N65" s="337">
        <f t="shared" si="11"/>
        <v>2.9095659178961794E-4</v>
      </c>
      <c r="O65" s="343">
        <f t="shared" si="12"/>
        <v>1.0000002440554956</v>
      </c>
      <c r="P65" s="691">
        <f t="shared" si="13"/>
        <v>6.9864933392079062E-4</v>
      </c>
      <c r="Q65" s="336">
        <f t="shared" si="29"/>
        <v>6.3078574932350184</v>
      </c>
      <c r="R65" s="692">
        <f t="shared" si="14"/>
        <v>7.7410303919619615E-4</v>
      </c>
      <c r="S65" s="329">
        <f t="shared" si="15"/>
        <v>1.0000002374796919</v>
      </c>
      <c r="T65" s="330">
        <f t="shared" si="16"/>
        <v>7.0794206441621133E-4</v>
      </c>
      <c r="U65" s="331">
        <f t="shared" si="17"/>
        <v>58.242074715398374</v>
      </c>
      <c r="V65" s="332">
        <f t="shared" si="18"/>
        <v>-92.230992913233081</v>
      </c>
      <c r="W65" s="334">
        <f t="shared" si="19"/>
        <v>87.769007086766919</v>
      </c>
      <c r="Y65" s="307">
        <f t="shared" si="20"/>
        <v>1000000000</v>
      </c>
      <c r="Z65" s="307">
        <f t="shared" si="21"/>
        <v>14455.252900000001</v>
      </c>
      <c r="AB65" s="333">
        <f t="shared" si="22"/>
        <v>53.65162865218926</v>
      </c>
      <c r="AC65" s="334">
        <f t="shared" si="23"/>
        <v>-87.929867923776484</v>
      </c>
      <c r="AE65" s="333">
        <f t="shared" si="24"/>
        <v>47.332924773958013</v>
      </c>
      <c r="AF65" s="334">
        <f t="shared" si="25"/>
        <v>-4.2968018105907486</v>
      </c>
      <c r="AH65">
        <f t="shared" si="26"/>
        <v>0</v>
      </c>
      <c r="AI65">
        <f t="shared" si="30"/>
        <v>0</v>
      </c>
    </row>
    <row r="66" spans="1:35" x14ac:dyDescent="0.2">
      <c r="A66" s="335">
        <v>131.83000000000001</v>
      </c>
      <c r="B66" s="352">
        <f t="shared" si="28"/>
        <v>0.13183</v>
      </c>
      <c r="C66" s="325">
        <f t="shared" si="0"/>
        <v>1.0033375414041534</v>
      </c>
      <c r="D66" s="326">
        <f t="shared" si="1"/>
        <v>8.1587806842711982E-2</v>
      </c>
      <c r="E66" s="326">
        <f t="shared" si="2"/>
        <v>1.000000013722026</v>
      </c>
      <c r="F66" s="327">
        <f t="shared" si="3"/>
        <v>1.6566246210431698E-4</v>
      </c>
      <c r="G66" s="326">
        <f t="shared" si="4"/>
        <v>1</v>
      </c>
      <c r="H66" s="327">
        <f t="shared" si="5"/>
        <v>0</v>
      </c>
      <c r="I66" s="325">
        <f t="shared" si="6"/>
        <v>174.97549365972105</v>
      </c>
      <c r="J66" s="328">
        <f t="shared" si="7"/>
        <v>1.5650812096498286</v>
      </c>
      <c r="K66" s="336">
        <f t="shared" si="8"/>
        <v>1.000546812132616</v>
      </c>
      <c r="L66" s="337">
        <f t="shared" si="9"/>
        <v>3.3062458445677699E-2</v>
      </c>
      <c r="M66" s="325">
        <f t="shared" si="10"/>
        <v>1.0000000508896225</v>
      </c>
      <c r="N66" s="337">
        <f t="shared" si="11"/>
        <v>3.1902858917650366E-4</v>
      </c>
      <c r="O66" s="343">
        <f t="shared" si="12"/>
        <v>1.0000002934211336</v>
      </c>
      <c r="P66" s="691">
        <f t="shared" si="13"/>
        <v>7.660562144192922E-4</v>
      </c>
      <c r="Q66" s="336">
        <f t="shared" si="29"/>
        <v>6.3078578708585749</v>
      </c>
      <c r="R66" s="692">
        <f t="shared" si="14"/>
        <v>8.487898162647347E-4</v>
      </c>
      <c r="S66" s="329">
        <f t="shared" si="15"/>
        <v>1.0000002855152279</v>
      </c>
      <c r="T66" s="330">
        <f t="shared" si="16"/>
        <v>7.7624552479236869E-4</v>
      </c>
      <c r="U66" s="331">
        <f t="shared" si="17"/>
        <v>57.438017588337836</v>
      </c>
      <c r="V66" s="332">
        <f t="shared" si="18"/>
        <v>-92.510848786873481</v>
      </c>
      <c r="W66" s="334">
        <f t="shared" si="19"/>
        <v>87.489151213126519</v>
      </c>
      <c r="Y66" s="307">
        <f t="shared" si="20"/>
        <v>1000000000</v>
      </c>
      <c r="Z66" s="307">
        <f t="shared" si="21"/>
        <v>17379.148900000004</v>
      </c>
      <c r="AB66" s="333">
        <f t="shared" si="22"/>
        <v>52.852427661051102</v>
      </c>
      <c r="AC66" s="334">
        <f t="shared" si="23"/>
        <v>-87.79648767092668</v>
      </c>
      <c r="AE66" s="333">
        <f t="shared" si="24"/>
        <v>47.328068729237074</v>
      </c>
      <c r="AF66" s="334">
        <f t="shared" si="25"/>
        <v>-4.7096208297316986</v>
      </c>
      <c r="AH66">
        <f t="shared" si="26"/>
        <v>0</v>
      </c>
      <c r="AI66">
        <f t="shared" si="30"/>
        <v>0</v>
      </c>
    </row>
    <row r="67" spans="1:35" x14ac:dyDescent="0.2">
      <c r="A67" s="335">
        <v>144.54</v>
      </c>
      <c r="B67" s="352">
        <f t="shared" si="28"/>
        <v>0.14454</v>
      </c>
      <c r="C67" s="325">
        <f t="shared" si="0"/>
        <v>1.004010775338382</v>
      </c>
      <c r="D67" s="326">
        <f t="shared" si="1"/>
        <v>8.9413822119176006E-2</v>
      </c>
      <c r="E67" s="326">
        <f t="shared" si="2"/>
        <v>1.000000016495513</v>
      </c>
      <c r="F67" s="327">
        <f t="shared" si="3"/>
        <v>1.8163431865496582E-4</v>
      </c>
      <c r="G67" s="326">
        <f t="shared" si="4"/>
        <v>1</v>
      </c>
      <c r="H67" s="327">
        <f t="shared" si="5"/>
        <v>0</v>
      </c>
      <c r="I67" s="325">
        <f t="shared" si="6"/>
        <v>191.8447121933537</v>
      </c>
      <c r="J67" s="328">
        <f t="shared" si="7"/>
        <v>1.5655837539954318</v>
      </c>
      <c r="K67" s="336">
        <f t="shared" si="8"/>
        <v>1.00065729715785</v>
      </c>
      <c r="L67" s="337">
        <f t="shared" si="9"/>
        <v>3.6247408920176027E-2</v>
      </c>
      <c r="M67" s="325">
        <f t="shared" si="10"/>
        <v>1.000000061175401</v>
      </c>
      <c r="N67" s="337">
        <f t="shared" si="11"/>
        <v>3.4978678573443535E-4</v>
      </c>
      <c r="O67" s="343">
        <f t="shared" si="12"/>
        <v>1.000000352727219</v>
      </c>
      <c r="P67" s="691">
        <f t="shared" si="13"/>
        <v>8.3991322805399232E-4</v>
      </c>
      <c r="Q67" s="336">
        <f t="shared" si="29"/>
        <v>6.3078583245218036</v>
      </c>
      <c r="R67" s="692">
        <f t="shared" si="14"/>
        <v>9.3062333457391414E-4</v>
      </c>
      <c r="S67" s="329">
        <f t="shared" si="15"/>
        <v>1.0000003432233773</v>
      </c>
      <c r="T67" s="330">
        <f t="shared" si="16"/>
        <v>8.5108491205442764E-4</v>
      </c>
      <c r="U67" s="331">
        <f t="shared" si="17"/>
        <v>56.633697650294614</v>
      </c>
      <c r="V67" s="332">
        <f t="shared" si="18"/>
        <v>-92.811148078798624</v>
      </c>
      <c r="W67" s="334">
        <f t="shared" si="19"/>
        <v>87.188851921201376</v>
      </c>
      <c r="Y67" s="307">
        <f t="shared" si="20"/>
        <v>1000000000</v>
      </c>
      <c r="Z67" s="307">
        <f t="shared" si="21"/>
        <v>20891.811599999997</v>
      </c>
      <c r="AB67" s="333">
        <f t="shared" si="22"/>
        <v>52.053934539113335</v>
      </c>
      <c r="AC67" s="334">
        <f t="shared" si="23"/>
        <v>-87.644559435475571</v>
      </c>
      <c r="AE67" s="333">
        <f t="shared" si="24"/>
        <v>47.322242022697708</v>
      </c>
      <c r="AF67" s="334">
        <f t="shared" si="25"/>
        <v>-5.1613913370543392</v>
      </c>
      <c r="AH67">
        <f t="shared" si="26"/>
        <v>0</v>
      </c>
      <c r="AI67">
        <f t="shared" si="30"/>
        <v>0</v>
      </c>
    </row>
    <row r="68" spans="1:35" x14ac:dyDescent="0.2">
      <c r="A68" s="335">
        <v>158.49</v>
      </c>
      <c r="B68" s="352">
        <f t="shared" si="28"/>
        <v>0.15849000000000002</v>
      </c>
      <c r="C68" s="325">
        <f t="shared" si="0"/>
        <v>1.0048203719601865</v>
      </c>
      <c r="D68" s="326">
        <f t="shared" si="1"/>
        <v>9.7990692972601739E-2</v>
      </c>
      <c r="E68" s="326">
        <f t="shared" si="2"/>
        <v>1.0000000198332304</v>
      </c>
      <c r="F68" s="327">
        <f t="shared" si="3"/>
        <v>1.9916440500601767E-4</v>
      </c>
      <c r="G68" s="326">
        <f t="shared" si="4"/>
        <v>1</v>
      </c>
      <c r="H68" s="327">
        <f t="shared" si="5"/>
        <v>0</v>
      </c>
      <c r="I68" s="325">
        <f t="shared" si="6"/>
        <v>210.35975453512711</v>
      </c>
      <c r="J68" s="328">
        <f t="shared" si="7"/>
        <v>1.5660425478763855</v>
      </c>
      <c r="K68" s="336">
        <f t="shared" si="8"/>
        <v>1.0007902427608784</v>
      </c>
      <c r="L68" s="337">
        <f t="shared" si="9"/>
        <v>3.9742237192898634E-2</v>
      </c>
      <c r="M68" s="325">
        <f t="shared" si="10"/>
        <v>1.0000000735536876</v>
      </c>
      <c r="N68" s="337">
        <f t="shared" si="11"/>
        <v>3.8354578119252896E-4</v>
      </c>
      <c r="O68" s="343">
        <f t="shared" si="12"/>
        <v>1.0000004240983558</v>
      </c>
      <c r="P68" s="691">
        <f t="shared" si="13"/>
        <v>9.2097579341657071E-4</v>
      </c>
      <c r="Q68" s="336">
        <f t="shared" si="29"/>
        <v>6.3078588704769052</v>
      </c>
      <c r="R68" s="692">
        <f t="shared" si="14"/>
        <v>1.020440596641364E-3</v>
      </c>
      <c r="S68" s="329">
        <f t="shared" si="15"/>
        <v>1.000000412671499</v>
      </c>
      <c r="T68" s="330">
        <f t="shared" si="16"/>
        <v>9.3322569280988551E-4</v>
      </c>
      <c r="U68" s="331">
        <f t="shared" si="17"/>
        <v>55.827593156974046</v>
      </c>
      <c r="V68" s="332">
        <f t="shared" si="18"/>
        <v>-93.134752398626773</v>
      </c>
      <c r="W68" s="334">
        <f t="shared" si="19"/>
        <v>86.865247601373227</v>
      </c>
      <c r="Y68" s="307">
        <f t="shared" si="20"/>
        <v>1000000000</v>
      </c>
      <c r="Z68" s="307">
        <f t="shared" si="21"/>
        <v>25119.080100000003</v>
      </c>
      <c r="AB68" s="333">
        <f t="shared" si="22"/>
        <v>51.254831905057628</v>
      </c>
      <c r="AC68" s="334">
        <f t="shared" si="23"/>
        <v>-87.472541726134438</v>
      </c>
      <c r="AE68" s="333">
        <f t="shared" si="24"/>
        <v>47.315240295288703</v>
      </c>
      <c r="AF68" s="334">
        <f t="shared" si="25"/>
        <v>-5.6565117590509413</v>
      </c>
      <c r="AH68">
        <f t="shared" si="26"/>
        <v>0</v>
      </c>
      <c r="AI68">
        <f t="shared" si="30"/>
        <v>0</v>
      </c>
    </row>
    <row r="69" spans="1:35" x14ac:dyDescent="0.2">
      <c r="A69" s="335">
        <v>173.78</v>
      </c>
      <c r="B69" s="352">
        <f t="shared" si="28"/>
        <v>0.17377999999999999</v>
      </c>
      <c r="C69" s="325">
        <f t="shared" si="0"/>
        <v>1.0057924977084383</v>
      </c>
      <c r="D69" s="326">
        <f t="shared" si="1"/>
        <v>0.10737480491794411</v>
      </c>
      <c r="E69" s="326">
        <f t="shared" si="2"/>
        <v>1.0000000238445599</v>
      </c>
      <c r="F69" s="327">
        <f t="shared" si="3"/>
        <v>2.1837838481537569E-4</v>
      </c>
      <c r="G69" s="326">
        <f t="shared" si="4"/>
        <v>1</v>
      </c>
      <c r="H69" s="327">
        <f t="shared" si="5"/>
        <v>0</v>
      </c>
      <c r="I69" s="325">
        <f t="shared" si="6"/>
        <v>230.65334504152062</v>
      </c>
      <c r="J69" s="328">
        <f t="shared" si="7"/>
        <v>1.5664608027095135</v>
      </c>
      <c r="K69" s="336">
        <f t="shared" si="8"/>
        <v>1.000949995845887</v>
      </c>
      <c r="L69" s="337">
        <f t="shared" si="9"/>
        <v>4.3571650836478237E-2</v>
      </c>
      <c r="M69" s="325">
        <f t="shared" si="10"/>
        <v>1.0000000884301381</v>
      </c>
      <c r="N69" s="337">
        <f t="shared" si="11"/>
        <v>4.2054757520727988E-4</v>
      </c>
      <c r="O69" s="343">
        <f t="shared" si="12"/>
        <v>1.0000005098734819</v>
      </c>
      <c r="P69" s="691">
        <f t="shared" si="13"/>
        <v>1.0098249998605005E-3</v>
      </c>
      <c r="Q69" s="336">
        <f t="shared" si="29"/>
        <v>6.3078595266156308</v>
      </c>
      <c r="R69" s="692">
        <f t="shared" si="14"/>
        <v>1.1188854480592174E-3</v>
      </c>
      <c r="S69" s="329">
        <f t="shared" si="15"/>
        <v>1.0000004961355102</v>
      </c>
      <c r="T69" s="330">
        <f t="shared" si="16"/>
        <v>1.02325668573227E-3</v>
      </c>
      <c r="U69" s="331">
        <f t="shared" si="17"/>
        <v>55.020637323587735</v>
      </c>
      <c r="V69" s="332">
        <f t="shared" si="18"/>
        <v>-93.483704757443448</v>
      </c>
      <c r="W69" s="334">
        <f t="shared" si="19"/>
        <v>86.516295242556552</v>
      </c>
      <c r="Y69" s="307">
        <f t="shared" si="20"/>
        <v>1000000000</v>
      </c>
      <c r="Z69" s="307">
        <f t="shared" si="21"/>
        <v>30199.488400000002</v>
      </c>
      <c r="AB69" s="333">
        <f t="shared" si="22"/>
        <v>50.456276128027824</v>
      </c>
      <c r="AC69" s="334">
        <f t="shared" si="23"/>
        <v>-87.279216769457236</v>
      </c>
      <c r="AE69" s="333">
        <f t="shared" si="24"/>
        <v>47.306840397398908</v>
      </c>
      <c r="AF69" s="334">
        <f t="shared" si="25"/>
        <v>-6.1982392845854726</v>
      </c>
      <c r="AH69">
        <f t="shared" si="26"/>
        <v>0</v>
      </c>
      <c r="AI69">
        <f t="shared" si="30"/>
        <v>0</v>
      </c>
    </row>
    <row r="70" spans="1:35" x14ac:dyDescent="0.2">
      <c r="A70" s="335">
        <v>190.55</v>
      </c>
      <c r="B70" s="352">
        <f t="shared" si="28"/>
        <v>0.19055000000000002</v>
      </c>
      <c r="C70" s="325">
        <f t="shared" si="0"/>
        <v>1.0069603551515653</v>
      </c>
      <c r="D70" s="326">
        <f t="shared" si="1"/>
        <v>0.11764541111306208</v>
      </c>
      <c r="E70" s="326">
        <f t="shared" si="2"/>
        <v>1.0000000286686757</v>
      </c>
      <c r="F70" s="327">
        <f t="shared" si="3"/>
        <v>2.3945218720648198E-4</v>
      </c>
      <c r="G70" s="326">
        <f t="shared" si="4"/>
        <v>1</v>
      </c>
      <c r="H70" s="327">
        <f t="shared" si="5"/>
        <v>0</v>
      </c>
      <c r="I70" s="325">
        <f t="shared" si="6"/>
        <v>252.91129813837838</v>
      </c>
      <c r="J70" s="328">
        <f t="shared" si="7"/>
        <v>1.5668423610645936</v>
      </c>
      <c r="K70" s="336">
        <f t="shared" si="8"/>
        <v>1.0011420847614549</v>
      </c>
      <c r="L70" s="337">
        <f t="shared" si="9"/>
        <v>4.7770259682505006E-2</v>
      </c>
      <c r="M70" s="325">
        <f t="shared" si="10"/>
        <v>1.0000001063208939</v>
      </c>
      <c r="N70" s="337">
        <f t="shared" si="11"/>
        <v>4.6113096731476228E-4</v>
      </c>
      <c r="O70" s="343">
        <f t="shared" si="12"/>
        <v>1.0000006130285815</v>
      </c>
      <c r="P70" s="691">
        <f t="shared" si="13"/>
        <v>1.1072743727157327E-3</v>
      </c>
      <c r="Q70" s="336">
        <f t="shared" si="29"/>
        <v>6.3078603157028335</v>
      </c>
      <c r="R70" s="692">
        <f t="shared" si="14"/>
        <v>1.2268592729703918E-3</v>
      </c>
      <c r="S70" s="329">
        <f t="shared" si="15"/>
        <v>1.0000005965112118</v>
      </c>
      <c r="T70" s="330">
        <f t="shared" si="16"/>
        <v>1.1220022371899174E-3</v>
      </c>
      <c r="U70" s="331">
        <f t="shared" si="17"/>
        <v>54.212053789282777</v>
      </c>
      <c r="V70" s="332">
        <f t="shared" si="18"/>
        <v>-93.860844789755461</v>
      </c>
      <c r="W70" s="334">
        <f t="shared" si="19"/>
        <v>86.139155210244539</v>
      </c>
      <c r="Y70" s="307">
        <f t="shared" si="20"/>
        <v>1000000000</v>
      </c>
      <c r="Z70" s="307">
        <f t="shared" si="21"/>
        <v>36309.302500000005</v>
      </c>
      <c r="AB70" s="333">
        <f t="shared" si="22"/>
        <v>49.657773224358557</v>
      </c>
      <c r="AC70" s="334">
        <f t="shared" si="23"/>
        <v>-87.062841142976509</v>
      </c>
      <c r="AE70" s="333">
        <f t="shared" si="24"/>
        <v>47.296759957338807</v>
      </c>
      <c r="AF70" s="334">
        <f t="shared" si="25"/>
        <v>-6.7911519366930619</v>
      </c>
      <c r="AH70">
        <f t="shared" si="26"/>
        <v>0</v>
      </c>
      <c r="AI70">
        <f t="shared" si="30"/>
        <v>0</v>
      </c>
    </row>
    <row r="71" spans="1:35" x14ac:dyDescent="0.2">
      <c r="A71" s="335">
        <v>208.93</v>
      </c>
      <c r="B71" s="352">
        <f t="shared" si="28"/>
        <v>0.20893</v>
      </c>
      <c r="C71" s="325">
        <f t="shared" si="0"/>
        <v>1.0083620333104468</v>
      </c>
      <c r="D71" s="326">
        <f t="shared" si="1"/>
        <v>0.12887339855484486</v>
      </c>
      <c r="E71" s="326">
        <f t="shared" si="2"/>
        <v>1.0000000344660356</v>
      </c>
      <c r="F71" s="327">
        <f t="shared" si="3"/>
        <v>2.6254917491311388E-4</v>
      </c>
      <c r="G71" s="326">
        <f t="shared" si="4"/>
        <v>1</v>
      </c>
      <c r="H71" s="327">
        <f t="shared" si="5"/>
        <v>0</v>
      </c>
      <c r="I71" s="325">
        <f t="shared" si="6"/>
        <v>277.30615608990871</v>
      </c>
      <c r="J71" s="328">
        <f t="shared" si="7"/>
        <v>1.5671901963668298</v>
      </c>
      <c r="K71" s="336">
        <f t="shared" si="8"/>
        <v>1.0013728780282862</v>
      </c>
      <c r="L71" s="337">
        <f t="shared" si="9"/>
        <v>5.2370014405606798E-2</v>
      </c>
      <c r="M71" s="325">
        <f t="shared" si="10"/>
        <v>1.0000001278210313</v>
      </c>
      <c r="N71" s="337">
        <f t="shared" si="11"/>
        <v>5.0561055691489146E-4</v>
      </c>
      <c r="O71" s="343">
        <f t="shared" si="12"/>
        <v>1.0000007369947574</v>
      </c>
      <c r="P71" s="691">
        <f t="shared" si="13"/>
        <v>1.214079326016184E-3</v>
      </c>
      <c r="Q71" s="336">
        <f t="shared" si="29"/>
        <v>6.307861263984802</v>
      </c>
      <c r="R71" s="692">
        <f t="shared" si="14"/>
        <v>1.3451990678061867E-3</v>
      </c>
      <c r="S71" s="329">
        <f t="shared" si="15"/>
        <v>1.0000007171372594</v>
      </c>
      <c r="T71" s="330">
        <f t="shared" si="16"/>
        <v>1.2302278094204332E-3</v>
      </c>
      <c r="U71" s="331">
        <f t="shared" si="17"/>
        <v>53.402146641542686</v>
      </c>
      <c r="V71" s="332">
        <f t="shared" si="18"/>
        <v>-94.268630944521206</v>
      </c>
      <c r="W71" s="334">
        <f t="shared" si="19"/>
        <v>85.731369055478794</v>
      </c>
      <c r="Y71" s="307">
        <f t="shared" si="20"/>
        <v>1000000000</v>
      </c>
      <c r="Z71" s="307">
        <f t="shared" si="21"/>
        <v>43651.744900000005</v>
      </c>
      <c r="AB71" s="333">
        <f t="shared" si="22"/>
        <v>48.859949562254947</v>
      </c>
      <c r="AC71" s="334">
        <f t="shared" si="23"/>
        <v>-86.821772597814288</v>
      </c>
      <c r="AE71" s="333">
        <f t="shared" si="24"/>
        <v>47.284676700725598</v>
      </c>
      <c r="AF71" s="334">
        <f t="shared" si="25"/>
        <v>-7.4393457388829161</v>
      </c>
      <c r="AH71">
        <f t="shared" si="26"/>
        <v>0</v>
      </c>
      <c r="AI71">
        <f t="shared" si="30"/>
        <v>0</v>
      </c>
    </row>
    <row r="72" spans="1:35" x14ac:dyDescent="0.2">
      <c r="A72" s="335">
        <v>229.09</v>
      </c>
      <c r="B72" s="352">
        <f t="shared" si="28"/>
        <v>0.22909000000000002</v>
      </c>
      <c r="C72" s="325">
        <f t="shared" si="0"/>
        <v>1.0100452032314462</v>
      </c>
      <c r="D72" s="326">
        <f t="shared" si="1"/>
        <v>0.14115119098783846</v>
      </c>
      <c r="E72" s="326">
        <f t="shared" si="2"/>
        <v>1.0000000414383055</v>
      </c>
      <c r="F72" s="327">
        <f t="shared" si="3"/>
        <v>2.8788297612247825E-4</v>
      </c>
      <c r="G72" s="326">
        <f t="shared" si="4"/>
        <v>1</v>
      </c>
      <c r="H72" s="327">
        <f t="shared" si="5"/>
        <v>0</v>
      </c>
      <c r="I72" s="325">
        <f t="shared" si="6"/>
        <v>304.06355141892021</v>
      </c>
      <c r="J72" s="328">
        <f t="shared" si="7"/>
        <v>1.5675075347051246</v>
      </c>
      <c r="K72" s="336">
        <f t="shared" si="8"/>
        <v>1.0016503740963902</v>
      </c>
      <c r="L72" s="337">
        <f t="shared" si="9"/>
        <v>5.7412672982468389E-2</v>
      </c>
      <c r="M72" s="325">
        <f t="shared" si="10"/>
        <v>1.0000001536784484</v>
      </c>
      <c r="N72" s="337">
        <f t="shared" si="11"/>
        <v>5.5439774320067677E-4</v>
      </c>
      <c r="O72" s="343">
        <f t="shared" si="12"/>
        <v>1.0000008860842604</v>
      </c>
      <c r="P72" s="691">
        <f t="shared" si="13"/>
        <v>1.3312277085748749E-3</v>
      </c>
      <c r="Q72" s="336">
        <f t="shared" si="29"/>
        <v>6.307862404448171</v>
      </c>
      <c r="R72" s="692">
        <f t="shared" si="14"/>
        <v>1.4749993659497426E-3</v>
      </c>
      <c r="S72" s="329">
        <f t="shared" si="15"/>
        <v>1.0000008622097143</v>
      </c>
      <c r="T72" s="330">
        <f t="shared" si="16"/>
        <v>1.3489343912082119E-3</v>
      </c>
      <c r="U72" s="331">
        <f t="shared" si="17"/>
        <v>52.589968044149408</v>
      </c>
      <c r="V72" s="332">
        <f t="shared" si="18"/>
        <v>-94.710225794139191</v>
      </c>
      <c r="W72" s="334">
        <f t="shared" si="19"/>
        <v>85.289774205860809</v>
      </c>
      <c r="Y72" s="307">
        <f t="shared" si="20"/>
        <v>1000000000</v>
      </c>
      <c r="Z72" s="307">
        <f t="shared" si="21"/>
        <v>52482.2281</v>
      </c>
      <c r="AB72" s="333">
        <f t="shared" si="22"/>
        <v>48.062258943139454</v>
      </c>
      <c r="AC72" s="334">
        <f t="shared" si="23"/>
        <v>-86.553826990858994</v>
      </c>
      <c r="AE72" s="333">
        <f t="shared" si="24"/>
        <v>47.270188997885427</v>
      </c>
      <c r="AF72" s="334">
        <f t="shared" si="25"/>
        <v>-8.1481612940895918</v>
      </c>
      <c r="AH72">
        <f t="shared" si="26"/>
        <v>0</v>
      </c>
      <c r="AI72">
        <f t="shared" si="30"/>
        <v>0</v>
      </c>
    </row>
    <row r="73" spans="1:35" x14ac:dyDescent="0.2">
      <c r="A73" s="335">
        <v>251.19</v>
      </c>
      <c r="B73" s="352">
        <f t="shared" si="28"/>
        <v>0.25119000000000002</v>
      </c>
      <c r="C73" s="325">
        <f t="shared" si="0"/>
        <v>1.0120646588623528</v>
      </c>
      <c r="D73" s="326">
        <f t="shared" si="1"/>
        <v>0.15456130171960944</v>
      </c>
      <c r="E73" s="326">
        <f t="shared" si="2"/>
        <v>1.0000000498189319</v>
      </c>
      <c r="F73" s="327">
        <f t="shared" si="3"/>
        <v>3.1565465261768159E-4</v>
      </c>
      <c r="G73" s="326">
        <f t="shared" si="4"/>
        <v>1</v>
      </c>
      <c r="H73" s="327">
        <f t="shared" si="5"/>
        <v>0</v>
      </c>
      <c r="I73" s="325">
        <f t="shared" si="6"/>
        <v>333.39584441069269</v>
      </c>
      <c r="J73" s="328">
        <f t="shared" si="7"/>
        <v>1.567796884791619</v>
      </c>
      <c r="K73" s="336">
        <f t="shared" si="8"/>
        <v>1.0019838210060368</v>
      </c>
      <c r="L73" s="337">
        <f t="shared" si="9"/>
        <v>6.2937221529407103E-2</v>
      </c>
      <c r="M73" s="325">
        <f t="shared" si="10"/>
        <v>1.0000001847589086</v>
      </c>
      <c r="N73" s="337">
        <f t="shared" si="11"/>
        <v>6.0787972512587056E-4</v>
      </c>
      <c r="O73" s="343">
        <f t="shared" si="12"/>
        <v>1.0000010652889217</v>
      </c>
      <c r="P73" s="691">
        <f t="shared" si="13"/>
        <v>1.459649256481409E-3</v>
      </c>
      <c r="Q73" s="336">
        <f t="shared" si="29"/>
        <v>6.3078637752780482</v>
      </c>
      <c r="R73" s="692">
        <f t="shared" si="14"/>
        <v>1.6172903111664886E-3</v>
      </c>
      <c r="S73" s="329">
        <f t="shared" si="15"/>
        <v>1.00000103658591</v>
      </c>
      <c r="T73" s="330">
        <f t="shared" si="16"/>
        <v>1.4790640858383696E-3</v>
      </c>
      <c r="U73" s="331">
        <f t="shared" si="17"/>
        <v>51.775591676376315</v>
      </c>
      <c r="V73" s="332">
        <f t="shared" si="18"/>
        <v>-95.188337397935257</v>
      </c>
      <c r="W73" s="334">
        <f t="shared" si="19"/>
        <v>84.811662602064743</v>
      </c>
      <c r="Y73" s="307">
        <f t="shared" si="20"/>
        <v>1000000000</v>
      </c>
      <c r="Z73" s="307">
        <f t="shared" si="21"/>
        <v>63096.416100000002</v>
      </c>
      <c r="AB73" s="333">
        <f t="shared" si="22"/>
        <v>47.265233331020688</v>
      </c>
      <c r="AC73" s="334">
        <f t="shared" si="23"/>
        <v>-86.256936505667213</v>
      </c>
      <c r="AE73" s="333">
        <f t="shared" si="24"/>
        <v>47.252838573305226</v>
      </c>
      <c r="AF73" s="334">
        <f t="shared" si="25"/>
        <v>-8.9223687251462778</v>
      </c>
      <c r="AH73">
        <f t="shared" si="26"/>
        <v>0</v>
      </c>
      <c r="AI73">
        <f t="shared" si="30"/>
        <v>0</v>
      </c>
    </row>
    <row r="74" spans="1:35" x14ac:dyDescent="0.2">
      <c r="A74" s="335">
        <v>275.42</v>
      </c>
      <c r="B74" s="352">
        <f t="shared" si="28"/>
        <v>0.27542</v>
      </c>
      <c r="C74" s="325">
        <f t="shared" si="0"/>
        <v>1.0144870101387471</v>
      </c>
      <c r="D74" s="326">
        <f t="shared" si="1"/>
        <v>0.16919959074676161</v>
      </c>
      <c r="E74" s="326">
        <f t="shared" si="2"/>
        <v>1.0000000598936343</v>
      </c>
      <c r="F74" s="327">
        <f t="shared" si="3"/>
        <v>3.4610296524562381E-4</v>
      </c>
      <c r="G74" s="326">
        <f t="shared" si="4"/>
        <v>1</v>
      </c>
      <c r="H74" s="327">
        <f t="shared" si="5"/>
        <v>0</v>
      </c>
      <c r="I74" s="325">
        <f t="shared" si="6"/>
        <v>365.55521313761682</v>
      </c>
      <c r="J74" s="328">
        <f t="shared" si="7"/>
        <v>1.5680607585105868</v>
      </c>
      <c r="K74" s="336">
        <f t="shared" si="8"/>
        <v>1.0023845246912766</v>
      </c>
      <c r="L74" s="337">
        <f t="shared" si="9"/>
        <v>6.8989796556182967E-2</v>
      </c>
      <c r="M74" s="325">
        <f t="shared" si="10"/>
        <v>1.000000222122031</v>
      </c>
      <c r="N74" s="337">
        <f t="shared" si="11"/>
        <v>6.665163013013642E-4</v>
      </c>
      <c r="O74" s="343">
        <f t="shared" si="12"/>
        <v>1.0000012807183143</v>
      </c>
      <c r="P74" s="691">
        <f t="shared" si="13"/>
        <v>1.6004480293112884E-3</v>
      </c>
      <c r="Q74" s="336">
        <f t="shared" si="29"/>
        <v>6.3078654232097096</v>
      </c>
      <c r="R74" s="692">
        <f t="shared" si="14"/>
        <v>1.7732951964658577E-3</v>
      </c>
      <c r="S74" s="329">
        <f t="shared" si="15"/>
        <v>1.0000012462108039</v>
      </c>
      <c r="T74" s="330">
        <f t="shared" si="16"/>
        <v>1.6217356390147923E-3</v>
      </c>
      <c r="U74" s="331">
        <f t="shared" si="17"/>
        <v>50.958441496758752</v>
      </c>
      <c r="V74" s="332">
        <f t="shared" si="18"/>
        <v>-95.706042217730001</v>
      </c>
      <c r="W74" s="334">
        <f t="shared" si="19"/>
        <v>84.293957782269999</v>
      </c>
      <c r="Y74" s="307">
        <f t="shared" si="20"/>
        <v>1000000000</v>
      </c>
      <c r="Z74" s="307">
        <f t="shared" si="21"/>
        <v>75856.176400000011</v>
      </c>
      <c r="AB74" s="333">
        <f t="shared" si="22"/>
        <v>46.46884990090642</v>
      </c>
      <c r="AC74" s="334">
        <f t="shared" si="23"/>
        <v>-85.92862797983274</v>
      </c>
      <c r="AE74" s="333">
        <f t="shared" si="24"/>
        <v>47.232072221799648</v>
      </c>
      <c r="AF74" s="334">
        <f t="shared" si="25"/>
        <v>-9.7675108247071876</v>
      </c>
      <c r="AH74">
        <f t="shared" si="26"/>
        <v>0</v>
      </c>
      <c r="AI74">
        <f t="shared" si="30"/>
        <v>0</v>
      </c>
    </row>
    <row r="75" spans="1:35" x14ac:dyDescent="0.2">
      <c r="A75" s="335">
        <v>302</v>
      </c>
      <c r="B75" s="352">
        <f t="shared" si="28"/>
        <v>0.30199999999999999</v>
      </c>
      <c r="C75" s="325">
        <f t="shared" si="0"/>
        <v>1.0173930463314935</v>
      </c>
      <c r="D75" s="326">
        <f t="shared" si="1"/>
        <v>0.18517361482555442</v>
      </c>
      <c r="E75" s="326">
        <f t="shared" si="2"/>
        <v>1.0000000720117892</v>
      </c>
      <c r="F75" s="327">
        <f t="shared" si="3"/>
        <v>3.7950437390080741E-4</v>
      </c>
      <c r="G75" s="326">
        <f t="shared" si="4"/>
        <v>1</v>
      </c>
      <c r="H75" s="327">
        <f t="shared" si="5"/>
        <v>0</v>
      </c>
      <c r="I75" s="325">
        <f t="shared" si="6"/>
        <v>400.83365353279873</v>
      </c>
      <c r="J75" s="328">
        <f t="shared" si="7"/>
        <v>1.5683015237050675</v>
      </c>
      <c r="K75" s="336">
        <f t="shared" si="8"/>
        <v>1.0028662910312194</v>
      </c>
      <c r="L75" s="337">
        <f t="shared" si="9"/>
        <v>7.56235595761829E-2</v>
      </c>
      <c r="M75" s="325">
        <f t="shared" si="10"/>
        <v>1.0000002670635171</v>
      </c>
      <c r="N75" s="337">
        <f t="shared" si="11"/>
        <v>7.308398698795569E-4</v>
      </c>
      <c r="O75" s="343">
        <f t="shared" si="12"/>
        <v>1.0000015398432076</v>
      </c>
      <c r="P75" s="691">
        <f t="shared" si="13"/>
        <v>1.7549024085250272E-3</v>
      </c>
      <c r="Q75" s="336">
        <f t="shared" si="29"/>
        <v>6.3078674053909243</v>
      </c>
      <c r="R75" s="692">
        <f t="shared" si="14"/>
        <v>1.9444304619635059E-3</v>
      </c>
      <c r="S75" s="329">
        <f t="shared" si="15"/>
        <v>1.0000014983538754</v>
      </c>
      <c r="T75" s="330">
        <f t="shared" si="16"/>
        <v>1.7782444373252383E-3</v>
      </c>
      <c r="U75" s="331">
        <f t="shared" si="17"/>
        <v>50.137542754669731</v>
      </c>
      <c r="V75" s="332">
        <f t="shared" si="18"/>
        <v>-96.266689333326738</v>
      </c>
      <c r="W75" s="334">
        <f t="shared" si="19"/>
        <v>83.733310666673262</v>
      </c>
      <c r="Y75" s="307">
        <f t="shared" si="20"/>
        <v>1000000000</v>
      </c>
      <c r="Z75" s="307">
        <f t="shared" si="21"/>
        <v>91204</v>
      </c>
      <c r="AB75" s="333">
        <f t="shared" si="22"/>
        <v>45.672799211435439</v>
      </c>
      <c r="AC75" s="334">
        <f t="shared" si="23"/>
        <v>-85.566021654582585</v>
      </c>
      <c r="AE75" s="333">
        <f t="shared" si="24"/>
        <v>47.207224647904773</v>
      </c>
      <c r="AF75" s="334">
        <f t="shared" si="25"/>
        <v>-10.689808521170367</v>
      </c>
      <c r="AH75">
        <f t="shared" si="26"/>
        <v>0</v>
      </c>
      <c r="AI75">
        <f t="shared" si="30"/>
        <v>0</v>
      </c>
    </row>
    <row r="76" spans="1:35" x14ac:dyDescent="0.2">
      <c r="A76" s="335">
        <v>331.13</v>
      </c>
      <c r="B76" s="352">
        <f t="shared" si="28"/>
        <v>0.33112999999999998</v>
      </c>
      <c r="C76" s="325">
        <f t="shared" si="0"/>
        <v>1.0208742107554127</v>
      </c>
      <c r="D76" s="326">
        <f t="shared" si="1"/>
        <v>0.20257074199197542</v>
      </c>
      <c r="E76" s="326">
        <f t="shared" si="2"/>
        <v>1.0000000865738579</v>
      </c>
      <c r="F76" s="327">
        <f t="shared" si="3"/>
        <v>4.161102056616229E-4</v>
      </c>
      <c r="G76" s="326">
        <f t="shared" si="4"/>
        <v>1</v>
      </c>
      <c r="H76" s="327">
        <f t="shared" si="5"/>
        <v>0</v>
      </c>
      <c r="I76" s="325">
        <f t="shared" si="6"/>
        <v>439.49661661377036</v>
      </c>
      <c r="J76" s="328">
        <f t="shared" si="7"/>
        <v>1.5685209944600051</v>
      </c>
      <c r="K76" s="336">
        <f t="shared" si="8"/>
        <v>1.0034449110235413</v>
      </c>
      <c r="L76" s="337">
        <f t="shared" si="9"/>
        <v>8.2886072393700327E-2</v>
      </c>
      <c r="M76" s="325">
        <f t="shared" si="10"/>
        <v>1.0000003210685191</v>
      </c>
      <c r="N76" s="337">
        <f t="shared" si="11"/>
        <v>8.0133442847782951E-4</v>
      </c>
      <c r="O76" s="343">
        <f t="shared" si="12"/>
        <v>1.0000018512267039</v>
      </c>
      <c r="P76" s="691">
        <f t="shared" si="13"/>
        <v>1.9241745493540233E-3</v>
      </c>
      <c r="Q76" s="336">
        <f t="shared" si="29"/>
        <v>6.3078697873252541</v>
      </c>
      <c r="R76" s="692">
        <f t="shared" si="14"/>
        <v>2.1319837674950363E-3</v>
      </c>
      <c r="S76" s="329">
        <f t="shared" si="15"/>
        <v>1.0000018013475043</v>
      </c>
      <c r="T76" s="330">
        <f t="shared" si="16"/>
        <v>1.9497680956088686E-3</v>
      </c>
      <c r="U76" s="331">
        <f t="shared" si="17"/>
        <v>49.313052691433953</v>
      </c>
      <c r="V76" s="332">
        <f t="shared" si="18"/>
        <v>-96.872751407497816</v>
      </c>
      <c r="W76" s="334">
        <f t="shared" si="19"/>
        <v>83.127248592502184</v>
      </c>
      <c r="Y76" s="307">
        <f t="shared" si="20"/>
        <v>1000000000</v>
      </c>
      <c r="Z76" s="307">
        <f t="shared" si="21"/>
        <v>109647.0769</v>
      </c>
      <c r="AB76" s="333">
        <f t="shared" si="22"/>
        <v>44.877981585691451</v>
      </c>
      <c r="AC76" s="334">
        <f t="shared" si="23"/>
        <v>-85.166524109693484</v>
      </c>
      <c r="AE76" s="333">
        <f t="shared" si="24"/>
        <v>47.1775527856813</v>
      </c>
      <c r="AF76" s="334">
        <f t="shared" si="25"/>
        <v>-11.694320706647336</v>
      </c>
      <c r="AH76">
        <f t="shared" si="26"/>
        <v>0</v>
      </c>
      <c r="AI76">
        <f t="shared" si="30"/>
        <v>0</v>
      </c>
    </row>
    <row r="77" spans="1:35" x14ac:dyDescent="0.2">
      <c r="A77" s="335">
        <v>363.08</v>
      </c>
      <c r="B77" s="352">
        <f t="shared" si="28"/>
        <v>0.36307999999999996</v>
      </c>
      <c r="C77" s="325">
        <f t="shared" ref="C77:C140" si="31">SQRT(1+(A77/pole1)^2)</f>
        <v>1.0250450698689084</v>
      </c>
      <c r="D77" s="326">
        <f t="shared" ref="D77:D140" si="32">ATAN(A77/pole1)</f>
        <v>0.22150977387472892</v>
      </c>
      <c r="E77" s="326">
        <f t="shared" ref="E77:E140" si="33">SQRT(1+(A77/Zero1)^2)</f>
        <v>1.0000001040864896</v>
      </c>
      <c r="F77" s="327">
        <f t="shared" ref="F77:F140" si="34">ATAN(A77/Zero1)</f>
        <v>4.5625975208448278E-4</v>
      </c>
      <c r="G77" s="326">
        <f t="shared" ref="G77:G140" si="35">IF(VIN_nom&gt;Vout, 1, SQRT(1+(A77/z_RHP)^2))</f>
        <v>1</v>
      </c>
      <c r="H77" s="327">
        <f t="shared" ref="H77:H140" si="36">IF(VIN_nom&gt;Vout, 0, -ATAN(A77/z_RHP))</f>
        <v>0</v>
      </c>
      <c r="I77" s="325">
        <f t="shared" ref="I77:I140" si="37">SQRT(1+(A77/Pole2)^2)</f>
        <v>481.90246145581057</v>
      </c>
      <c r="J77" s="328">
        <f t="shared" ref="J77:J140" si="38">ATAN(A77/Pole2)</f>
        <v>1.5687212165855406</v>
      </c>
      <c r="K77" s="336">
        <f t="shared" ref="K77:K140" si="39">SQRT(1+(A77/Zero2)^2)</f>
        <v>1.0041403292832474</v>
      </c>
      <c r="L77" s="337">
        <f t="shared" ref="L77:L140" si="40">ATAN(A77/Zero2)</f>
        <v>9.0841557680142751E-2</v>
      </c>
      <c r="M77" s="325">
        <f t="shared" ref="M77:M140" si="41">SQRT(1+(A77/pole4)^2)</f>
        <v>1.0000003860159998</v>
      </c>
      <c r="N77" s="337">
        <f t="shared" ref="N77:N140" si="42">ATAN(A77/pole4)</f>
        <v>8.7865337388382881E-4</v>
      </c>
      <c r="O77" s="343">
        <f t="shared" ref="O77:O140" si="43">IF(VOUT_setting=1,1,SQRT(1+(A77*zterm1)^2))</f>
        <v>1.0000022257025347</v>
      </c>
      <c r="P77" s="691">
        <f t="shared" ref="P77:P140" si="44">IF(VOUT_setting=1,0,ATAN(((A77*zterm1))))</f>
        <v>2.10983336141863E-3</v>
      </c>
      <c r="Q77" s="336">
        <f t="shared" si="29"/>
        <v>6.3078726518854564</v>
      </c>
      <c r="R77" s="692">
        <f t="shared" ref="R77:R140" si="45">IF(VOUT_setting=1,0,ATAN(A77*$Q$4/(1+Afbr-$Q$5*(A77)^2)))</f>
        <v>2.3376934539159401E-3</v>
      </c>
      <c r="S77" s="329">
        <f t="shared" ref="S77:S140" si="46">SQRT((1-(Z77/pterm2))^2+(A77/pterm1)^2)</f>
        <v>1.0000021657335212</v>
      </c>
      <c r="T77" s="330">
        <f t="shared" ref="T77:T140" si="47">IF((ATAN((A77/pterm1)/(1-A77^2/pterm2))&gt;0),ATAN((A77/pterm1)/(1-A77^2/pterm2)),PI()+ATAN((A77/pterm1)/(1-A77^2/pterm2)))</f>
        <v>2.1378963939541269E-3</v>
      </c>
      <c r="U77" s="331">
        <f t="shared" ref="U77:U140" si="48">20*LOG10(((E77*K77*G77*O77)/(C77*I77*S77*M77*Q77))*Adc)</f>
        <v>48.483579190393975</v>
      </c>
      <c r="V77" s="332">
        <f t="shared" ref="V77:V140" si="49">((F77+L77+H77+P77)-(D77+J77+T77+N77+R77))*radconv</f>
        <v>-97.5275915927254</v>
      </c>
      <c r="W77" s="334">
        <f t="shared" ref="W77:W140" si="50">IF(V77&gt;0,V77,V77+180)</f>
        <v>82.4724084072746</v>
      </c>
      <c r="Y77" s="307">
        <f t="shared" ref="Y77:Y140" si="51">IF(U77&lt;0,A77,1000000000)</f>
        <v>1000000000</v>
      </c>
      <c r="Z77" s="307">
        <f t="shared" ref="Z77:Z140" si="52">A77^2</f>
        <v>131827.0864</v>
      </c>
      <c r="AB77" s="333">
        <f t="shared" ref="AB77:AB140" si="53">20*LOG10((K77/(I77*M77))*AEA)</f>
        <v>44.083926355813034</v>
      </c>
      <c r="AC77" s="334">
        <f t="shared" ref="AC77:AC140" si="54">(L77-(J77+N77))*radconv</f>
        <v>-84.72661031030573</v>
      </c>
      <c r="AE77" s="333">
        <f t="shared" ref="AE77:AE140" si="55">20*LOG10((E77*G77/(C77*S77))*Acs*Am)</f>
        <v>47.142135206347774</v>
      </c>
      <c r="AF77" s="334">
        <f t="shared" ref="AF77:AF140" si="56">(F77+H77-(D77+T77))*radconv</f>
        <v>-12.787925860785208</v>
      </c>
      <c r="AH77">
        <f t="shared" ref="AH77:AH140" si="57">SUM((U78&lt;0)*(U77&gt;0))*A77</f>
        <v>0</v>
      </c>
      <c r="AI77">
        <f t="shared" ref="AI77:AI89" si="58">IF(AH77&gt;0,W75,0)</f>
        <v>0</v>
      </c>
    </row>
    <row r="78" spans="1:35" x14ac:dyDescent="0.2">
      <c r="A78" s="335">
        <v>398.11</v>
      </c>
      <c r="B78" s="352">
        <f t="shared" ref="B78:B141" si="59">A78/1000</f>
        <v>0.39811000000000002</v>
      </c>
      <c r="C78" s="325">
        <f t="shared" si="31"/>
        <v>1.0300368604621868</v>
      </c>
      <c r="D78" s="326">
        <f t="shared" si="32"/>
        <v>0.2420900506577239</v>
      </c>
      <c r="E78" s="326">
        <f t="shared" si="33"/>
        <v>1.0000001251399213</v>
      </c>
      <c r="F78" s="327">
        <f t="shared" si="34"/>
        <v>5.002797382199555E-4</v>
      </c>
      <c r="G78" s="326">
        <f t="shared" si="35"/>
        <v>1</v>
      </c>
      <c r="H78" s="327">
        <f t="shared" si="36"/>
        <v>0</v>
      </c>
      <c r="I78" s="325">
        <f t="shared" si="37"/>
        <v>528.39627475259533</v>
      </c>
      <c r="J78" s="328">
        <f t="shared" si="38"/>
        <v>1.5689038066453038</v>
      </c>
      <c r="K78" s="336">
        <f t="shared" si="39"/>
        <v>1.0049757140391338</v>
      </c>
      <c r="L78" s="337">
        <f t="shared" si="40"/>
        <v>9.955068879160317E-2</v>
      </c>
      <c r="M78" s="325">
        <f t="shared" si="41"/>
        <v>1.0000004640949136</v>
      </c>
      <c r="N78" s="337">
        <f t="shared" si="42"/>
        <v>9.6342590191929724E-4</v>
      </c>
      <c r="O78" s="343">
        <f t="shared" si="43"/>
        <v>1.0000026758917606</v>
      </c>
      <c r="P78" s="691">
        <f t="shared" si="44"/>
        <v>2.3133896315555083E-3</v>
      </c>
      <c r="Q78" s="336">
        <f t="shared" si="29"/>
        <v>6.307876095616459</v>
      </c>
      <c r="R78" s="692">
        <f t="shared" si="45"/>
        <v>2.5632334590297897E-3</v>
      </c>
      <c r="S78" s="329">
        <f t="shared" si="46"/>
        <v>1.0000026037929299</v>
      </c>
      <c r="T78" s="330">
        <f t="shared" si="47"/>
        <v>2.3441602173045811E-3</v>
      </c>
      <c r="U78" s="331">
        <f t="shared" si="48"/>
        <v>47.648589038630639</v>
      </c>
      <c r="V78" s="332">
        <f t="shared" si="49"/>
        <v>-98.233632348733209</v>
      </c>
      <c r="W78" s="334">
        <f t="shared" si="50"/>
        <v>81.766367651266791</v>
      </c>
      <c r="Y78" s="307">
        <f t="shared" si="51"/>
        <v>1000000000</v>
      </c>
      <c r="Z78" s="307">
        <f t="shared" si="52"/>
        <v>158491.57210000002</v>
      </c>
      <c r="AB78" s="333">
        <f t="shared" si="53"/>
        <v>43.291136763789154</v>
      </c>
      <c r="AC78" s="334">
        <f t="shared" si="54"/>
        <v>-84.242932601720838</v>
      </c>
      <c r="AE78" s="333">
        <f t="shared" si="55"/>
        <v>47.099935478312418</v>
      </c>
      <c r="AF78" s="334">
        <f t="shared" si="56"/>
        <v>-13.976384750144335</v>
      </c>
      <c r="AH78">
        <f t="shared" si="57"/>
        <v>0</v>
      </c>
      <c r="AI78">
        <f t="shared" si="58"/>
        <v>0</v>
      </c>
    </row>
    <row r="79" spans="1:35" x14ac:dyDescent="0.2">
      <c r="A79" s="335">
        <v>436.52</v>
      </c>
      <c r="B79" s="352">
        <f t="shared" si="59"/>
        <v>0.43651999999999996</v>
      </c>
      <c r="C79" s="325">
        <f t="shared" si="31"/>
        <v>1.0360065417429445</v>
      </c>
      <c r="D79" s="326">
        <f t="shared" si="32"/>
        <v>0.26441761098097699</v>
      </c>
      <c r="E79" s="326">
        <f t="shared" si="33"/>
        <v>1.0000001504520093</v>
      </c>
      <c r="F79" s="327">
        <f t="shared" si="34"/>
        <v>5.4854715441118602E-4</v>
      </c>
      <c r="G79" s="326">
        <f t="shared" si="35"/>
        <v>1</v>
      </c>
      <c r="H79" s="327">
        <f t="shared" si="36"/>
        <v>0</v>
      </c>
      <c r="I79" s="325">
        <f t="shared" si="37"/>
        <v>579.37623360743669</v>
      </c>
      <c r="J79" s="328">
        <f t="shared" si="38"/>
        <v>1.569070331770414</v>
      </c>
      <c r="K79" s="336">
        <f t="shared" si="39"/>
        <v>1.005979160785152</v>
      </c>
      <c r="L79" s="337">
        <f t="shared" si="40"/>
        <v>0.10908272121169621</v>
      </c>
      <c r="M79" s="325">
        <f t="shared" si="41"/>
        <v>1.0000005579675062</v>
      </c>
      <c r="N79" s="337">
        <f t="shared" si="42"/>
        <v>1.056378007050272E-3</v>
      </c>
      <c r="O79" s="343">
        <f t="shared" si="43"/>
        <v>1.0000032171443269</v>
      </c>
      <c r="P79" s="691">
        <f t="shared" si="44"/>
        <v>2.536586565475619E-3</v>
      </c>
      <c r="Q79" s="336">
        <f t="shared" ref="Q79:Q142" si="60">IF(VOUT_setting=1,1,SQRT((1+Afbr-$Q$5*(A79)^2)^2+(A79*$Q$4)^2))</f>
        <v>6.3078802359377715</v>
      </c>
      <c r="R79" s="692">
        <f t="shared" si="45"/>
        <v>2.8105352363531799E-3</v>
      </c>
      <c r="S79" s="329">
        <f t="shared" si="46"/>
        <v>1.0000031304620929</v>
      </c>
      <c r="T79" s="330">
        <f t="shared" si="47"/>
        <v>2.5703259619013694E-3</v>
      </c>
      <c r="U79" s="331">
        <f t="shared" si="48"/>
        <v>46.807038010399907</v>
      </c>
      <c r="V79" s="332">
        <f t="shared" si="49"/>
        <v>-98.993202974459564</v>
      </c>
      <c r="W79" s="334">
        <f t="shared" si="50"/>
        <v>81.006797025540436</v>
      </c>
      <c r="Y79" s="307">
        <f t="shared" si="51"/>
        <v>1000000000</v>
      </c>
      <c r="Z79" s="307">
        <f t="shared" si="52"/>
        <v>190549.71039999998</v>
      </c>
      <c r="AB79" s="333">
        <f t="shared" si="53"/>
        <v>42.499785715386224</v>
      </c>
      <c r="AC79" s="334">
        <f t="shared" si="54"/>
        <v>-83.711654323433123</v>
      </c>
      <c r="AE79" s="333">
        <f t="shared" si="55"/>
        <v>47.049736498422391</v>
      </c>
      <c r="AF79" s="334">
        <f t="shared" si="56"/>
        <v>-15.265852548363993</v>
      </c>
      <c r="AH79">
        <f t="shared" si="57"/>
        <v>0</v>
      </c>
      <c r="AI79">
        <f t="shared" si="58"/>
        <v>0</v>
      </c>
    </row>
    <row r="80" spans="1:35" x14ac:dyDescent="0.2">
      <c r="A80" s="335">
        <v>478.63</v>
      </c>
      <c r="B80" s="352">
        <f t="shared" si="59"/>
        <v>0.47863</v>
      </c>
      <c r="C80" s="325">
        <f t="shared" si="31"/>
        <v>1.0431374564849283</v>
      </c>
      <c r="D80" s="326">
        <f t="shared" si="32"/>
        <v>0.28858889033266927</v>
      </c>
      <c r="E80" s="326">
        <f t="shared" si="33"/>
        <v>1.0000001808795731</v>
      </c>
      <c r="F80" s="327">
        <f t="shared" si="34"/>
        <v>6.0146412349941785E-4</v>
      </c>
      <c r="G80" s="326">
        <f t="shared" si="35"/>
        <v>1</v>
      </c>
      <c r="H80" s="327">
        <f t="shared" si="36"/>
        <v>0</v>
      </c>
      <c r="I80" s="325">
        <f t="shared" si="37"/>
        <v>635.26706040313991</v>
      </c>
      <c r="J80" s="328">
        <f t="shared" si="38"/>
        <v>1.5692221850278851</v>
      </c>
      <c r="K80" s="336">
        <f t="shared" si="39"/>
        <v>1.0071840771152807</v>
      </c>
      <c r="L80" s="337">
        <f t="shared" si="40"/>
        <v>0.11951008328864599</v>
      </c>
      <c r="M80" s="325">
        <f t="shared" si="41"/>
        <v>1.0000006708113822</v>
      </c>
      <c r="N80" s="337">
        <f t="shared" si="42"/>
        <v>1.1582840820065804E-3</v>
      </c>
      <c r="O80" s="343">
        <f t="shared" si="43"/>
        <v>1.0000038677815972</v>
      </c>
      <c r="P80" s="691">
        <f t="shared" si="44"/>
        <v>2.7812835636744212E-3</v>
      </c>
      <c r="Q80" s="336">
        <f t="shared" si="60"/>
        <v>6.3078852129987251</v>
      </c>
      <c r="R80" s="692">
        <f t="shared" si="45"/>
        <v>3.0816589776925104E-3</v>
      </c>
      <c r="S80" s="329">
        <f t="shared" si="46"/>
        <v>1.0000037635687307</v>
      </c>
      <c r="T80" s="330">
        <f t="shared" si="47"/>
        <v>2.8182777655857368E-3</v>
      </c>
      <c r="U80" s="331">
        <f t="shared" si="48"/>
        <v>45.957933868015701</v>
      </c>
      <c r="V80" s="332">
        <f t="shared" si="49"/>
        <v>-99.807899581698919</v>
      </c>
      <c r="W80" s="334">
        <f t="shared" si="50"/>
        <v>80.192100418301081</v>
      </c>
      <c r="Y80" s="307">
        <f t="shared" si="51"/>
        <v>1000000000</v>
      </c>
      <c r="Z80" s="307">
        <f t="shared" si="52"/>
        <v>229086.67689999999</v>
      </c>
      <c r="AB80" s="333">
        <f t="shared" si="53"/>
        <v>41.710268857869544</v>
      </c>
      <c r="AC80" s="334">
        <f t="shared" si="54"/>
        <v>-83.128749823063217</v>
      </c>
      <c r="AE80" s="333">
        <f t="shared" si="55"/>
        <v>46.990150415573105</v>
      </c>
      <c r="AF80" s="334">
        <f t="shared" si="56"/>
        <v>-16.661939515123326</v>
      </c>
      <c r="AH80">
        <f t="shared" si="57"/>
        <v>0</v>
      </c>
      <c r="AI80">
        <f t="shared" si="58"/>
        <v>0</v>
      </c>
    </row>
    <row r="81" spans="1:35" x14ac:dyDescent="0.2">
      <c r="A81" s="335">
        <v>524.80999999999995</v>
      </c>
      <c r="B81" s="352">
        <f t="shared" si="59"/>
        <v>0.52481</v>
      </c>
      <c r="C81" s="325">
        <f t="shared" si="31"/>
        <v>1.0516480151961607</v>
      </c>
      <c r="D81" s="326">
        <f t="shared" si="32"/>
        <v>0.31470253474071974</v>
      </c>
      <c r="E81" s="326">
        <f t="shared" si="33"/>
        <v>1.0000002174672626</v>
      </c>
      <c r="F81" s="327">
        <f t="shared" si="34"/>
        <v>6.5949559984613214E-4</v>
      </c>
      <c r="G81" s="326">
        <f t="shared" si="35"/>
        <v>1</v>
      </c>
      <c r="H81" s="327">
        <f t="shared" si="36"/>
        <v>0</v>
      </c>
      <c r="I81" s="325">
        <f t="shared" si="37"/>
        <v>696.55984053366797</v>
      </c>
      <c r="J81" s="328">
        <f t="shared" si="38"/>
        <v>1.5693606994656808</v>
      </c>
      <c r="K81" s="336">
        <f t="shared" si="39"/>
        <v>1.0086310253668067</v>
      </c>
      <c r="L81" s="337">
        <f t="shared" si="40"/>
        <v>0.13091524238583352</v>
      </c>
      <c r="M81" s="325">
        <f t="shared" si="41"/>
        <v>1.0000008065007295</v>
      </c>
      <c r="N81" s="337">
        <f t="shared" si="42"/>
        <v>1.2700395171414865E-3</v>
      </c>
      <c r="O81" s="343">
        <f t="shared" si="43"/>
        <v>1.0000046501412374</v>
      </c>
      <c r="P81" s="691">
        <f t="shared" si="44"/>
        <v>3.0496305407992988E-3</v>
      </c>
      <c r="Q81" s="336">
        <f t="shared" si="60"/>
        <v>6.3078911976712968</v>
      </c>
      <c r="R81" s="692">
        <f t="shared" si="45"/>
        <v>3.3789867568883602E-3</v>
      </c>
      <c r="S81" s="329">
        <f t="shared" si="46"/>
        <v>1.0000045248486555</v>
      </c>
      <c r="T81" s="330">
        <f t="shared" si="47"/>
        <v>3.0901941462690842E-3</v>
      </c>
      <c r="U81" s="331">
        <f t="shared" si="48"/>
        <v>45.099775154820072</v>
      </c>
      <c r="V81" s="332">
        <f t="shared" si="49"/>
        <v>-100.6788883014606</v>
      </c>
      <c r="W81" s="334">
        <f t="shared" si="50"/>
        <v>79.321111698539397</v>
      </c>
      <c r="Y81" s="307">
        <f t="shared" si="51"/>
        <v>1000000000</v>
      </c>
      <c r="Z81" s="307">
        <f t="shared" si="52"/>
        <v>275425.53609999997</v>
      </c>
      <c r="AB81" s="333">
        <f t="shared" si="53"/>
        <v>40.922695212397151</v>
      </c>
      <c r="AC81" s="334">
        <f t="shared" si="54"/>
        <v>-82.489621748847014</v>
      </c>
      <c r="AE81" s="333">
        <f t="shared" si="55"/>
        <v>46.919566793214742</v>
      </c>
      <c r="AF81" s="334">
        <f t="shared" si="56"/>
        <v>-18.170395831453732</v>
      </c>
      <c r="AH81">
        <f t="shared" si="57"/>
        <v>0</v>
      </c>
      <c r="AI81">
        <f t="shared" si="58"/>
        <v>0</v>
      </c>
    </row>
    <row r="82" spans="1:35" x14ac:dyDescent="0.2">
      <c r="A82" s="335">
        <v>575.44000000000005</v>
      </c>
      <c r="B82" s="352">
        <f t="shared" si="59"/>
        <v>0.57544000000000006</v>
      </c>
      <c r="C82" s="325">
        <f t="shared" si="31"/>
        <v>1.0617885852083302</v>
      </c>
      <c r="D82" s="326">
        <f t="shared" si="32"/>
        <v>0.34283014787950905</v>
      </c>
      <c r="E82" s="326">
        <f t="shared" si="33"/>
        <v>1.0000002614506762</v>
      </c>
      <c r="F82" s="327">
        <f t="shared" si="34"/>
        <v>7.2311910376641542E-4</v>
      </c>
      <c r="G82" s="326">
        <f t="shared" si="35"/>
        <v>1</v>
      </c>
      <c r="H82" s="327">
        <f t="shared" si="36"/>
        <v>0</v>
      </c>
      <c r="I82" s="325">
        <f t="shared" si="37"/>
        <v>763.7589320868982</v>
      </c>
      <c r="J82" s="328">
        <f t="shared" si="38"/>
        <v>1.5694870127643754</v>
      </c>
      <c r="K82" s="336">
        <f t="shared" si="39"/>
        <v>1.0103677126062489</v>
      </c>
      <c r="L82" s="337">
        <f t="shared" si="40"/>
        <v>0.14338007840189293</v>
      </c>
      <c r="M82" s="325">
        <f t="shared" si="41"/>
        <v>1.0000009696178909</v>
      </c>
      <c r="N82" s="337">
        <f t="shared" si="42"/>
        <v>1.3925638998301146E-3</v>
      </c>
      <c r="O82" s="343">
        <f t="shared" si="43"/>
        <v>1.0000055906439036</v>
      </c>
      <c r="P82" s="691">
        <f t="shared" si="44"/>
        <v>3.3438354796774517E-3</v>
      </c>
      <c r="Q82" s="336">
        <f t="shared" si="60"/>
        <v>6.3078983920601557</v>
      </c>
      <c r="R82" s="692">
        <f t="shared" si="45"/>
        <v>3.704964977916923E-3</v>
      </c>
      <c r="S82" s="329">
        <f t="shared" si="46"/>
        <v>1.0000054400106608</v>
      </c>
      <c r="T82" s="330">
        <f t="shared" si="47"/>
        <v>3.3883124646545367E-3</v>
      </c>
      <c r="U82" s="331">
        <f t="shared" si="48"/>
        <v>44.231396846329496</v>
      </c>
      <c r="V82" s="332">
        <f t="shared" si="49"/>
        <v>-101.6058127141884</v>
      </c>
      <c r="W82" s="334">
        <f t="shared" si="50"/>
        <v>78.394187285811597</v>
      </c>
      <c r="Y82" s="307">
        <f t="shared" si="51"/>
        <v>1000000000</v>
      </c>
      <c r="Z82" s="307">
        <f t="shared" si="52"/>
        <v>331131.19360000006</v>
      </c>
      <c r="AB82" s="333">
        <f t="shared" si="53"/>
        <v>40.13767912077072</v>
      </c>
      <c r="AC82" s="334">
        <f t="shared" si="54"/>
        <v>-81.789696600931464</v>
      </c>
      <c r="AE82" s="333">
        <f t="shared" si="55"/>
        <v>46.836206313870576</v>
      </c>
      <c r="AF82" s="334">
        <f t="shared" si="56"/>
        <v>-19.795424917126503</v>
      </c>
      <c r="AH82">
        <f t="shared" si="57"/>
        <v>0</v>
      </c>
      <c r="AI82">
        <f t="shared" si="58"/>
        <v>0</v>
      </c>
    </row>
    <row r="83" spans="1:35" x14ac:dyDescent="0.2">
      <c r="A83" s="335">
        <v>630.96</v>
      </c>
      <c r="B83" s="352">
        <f t="shared" si="59"/>
        <v>0.63096000000000008</v>
      </c>
      <c r="C83" s="325">
        <f t="shared" si="31"/>
        <v>1.0738546145271877</v>
      </c>
      <c r="D83" s="326">
        <f t="shared" si="32"/>
        <v>0.37303718364317784</v>
      </c>
      <c r="E83" s="326">
        <f t="shared" si="33"/>
        <v>1.0000003143354184</v>
      </c>
      <c r="F83" s="327">
        <f t="shared" si="34"/>
        <v>7.9288755322250799E-4</v>
      </c>
      <c r="G83" s="326">
        <f t="shared" si="35"/>
        <v>1</v>
      </c>
      <c r="H83" s="327">
        <f t="shared" si="36"/>
        <v>0</v>
      </c>
      <c r="I83" s="325">
        <f t="shared" si="37"/>
        <v>837.44832874789415</v>
      </c>
      <c r="J83" s="328">
        <f t="shared" si="38"/>
        <v>1.5696022229877489</v>
      </c>
      <c r="K83" s="336">
        <f t="shared" si="39"/>
        <v>1.0124519250328909</v>
      </c>
      <c r="L83" s="337">
        <f t="shared" si="40"/>
        <v>0.15699729004500068</v>
      </c>
      <c r="M83" s="325">
        <f t="shared" si="41"/>
        <v>1.0000011657465497</v>
      </c>
      <c r="N83" s="337">
        <f t="shared" si="42"/>
        <v>1.5269220133306667E-3</v>
      </c>
      <c r="O83" s="343">
        <f t="shared" si="43"/>
        <v>1.0000067214836448</v>
      </c>
      <c r="P83" s="691">
        <f t="shared" si="44"/>
        <v>3.6664549626048686E-3</v>
      </c>
      <c r="Q83" s="336">
        <f t="shared" si="60"/>
        <v>6.3079070424333414</v>
      </c>
      <c r="R83" s="692">
        <f t="shared" si="45"/>
        <v>4.0624262798086095E-3</v>
      </c>
      <c r="S83" s="329">
        <f t="shared" si="46"/>
        <v>1.0000065403813825</v>
      </c>
      <c r="T83" s="330">
        <f t="shared" si="47"/>
        <v>3.7152233207377572E-3</v>
      </c>
      <c r="U83" s="331">
        <f t="shared" si="48"/>
        <v>43.351099906815264</v>
      </c>
      <c r="V83" s="332">
        <f t="shared" si="49"/>
        <v>-102.58736829649624</v>
      </c>
      <c r="W83" s="334">
        <f t="shared" si="50"/>
        <v>77.412631703503763</v>
      </c>
      <c r="Y83" s="307">
        <f t="shared" si="51"/>
        <v>1000000000</v>
      </c>
      <c r="Z83" s="307">
        <f t="shared" si="52"/>
        <v>398110.52160000004</v>
      </c>
      <c r="AB83" s="333">
        <f t="shared" si="53"/>
        <v>39.355542080246138</v>
      </c>
      <c r="AC83" s="334">
        <f t="shared" si="54"/>
        <v>-81.023787056572772</v>
      </c>
      <c r="AE83" s="333">
        <f t="shared" si="55"/>
        <v>46.738048504029365</v>
      </c>
      <c r="AF83" s="334">
        <f t="shared" si="56"/>
        <v>-21.540893754613524</v>
      </c>
      <c r="AH83">
        <f t="shared" si="57"/>
        <v>0</v>
      </c>
      <c r="AI83">
        <f t="shared" si="58"/>
        <v>0</v>
      </c>
    </row>
    <row r="84" spans="1:35" x14ac:dyDescent="0.2">
      <c r="A84" s="335">
        <v>691.83</v>
      </c>
      <c r="B84" s="352">
        <f t="shared" si="59"/>
        <v>0.69183000000000006</v>
      </c>
      <c r="C84" s="325">
        <f t="shared" si="31"/>
        <v>1.0881825408334866</v>
      </c>
      <c r="D84" s="326">
        <f t="shared" si="32"/>
        <v>0.40535245402474973</v>
      </c>
      <c r="E84" s="326">
        <f t="shared" si="33"/>
        <v>1.0000003779100402</v>
      </c>
      <c r="F84" s="327">
        <f t="shared" si="34"/>
        <v>8.6937899818843466E-4</v>
      </c>
      <c r="G84" s="326">
        <f t="shared" si="35"/>
        <v>1</v>
      </c>
      <c r="H84" s="327">
        <f t="shared" si="36"/>
        <v>0</v>
      </c>
      <c r="I84" s="325">
        <f t="shared" si="37"/>
        <v>918.23856946578803</v>
      </c>
      <c r="J84" s="328">
        <f t="shared" si="38"/>
        <v>1.5697072849805775</v>
      </c>
      <c r="K84" s="336">
        <f t="shared" si="39"/>
        <v>1.014951765696311</v>
      </c>
      <c r="L84" s="337">
        <f t="shared" si="40"/>
        <v>0.17185933784880034</v>
      </c>
      <c r="M84" s="325">
        <f t="shared" si="41"/>
        <v>1.0000014015197203</v>
      </c>
      <c r="N84" s="337">
        <f t="shared" si="42"/>
        <v>1.6742270356919348E-3</v>
      </c>
      <c r="O84" s="343">
        <f t="shared" si="43"/>
        <v>1.0000080809045389</v>
      </c>
      <c r="P84" s="691">
        <f t="shared" si="44"/>
        <v>4.0201617185782468E-3</v>
      </c>
      <c r="Q84" s="336">
        <f t="shared" si="60"/>
        <v>6.3079174413382537</v>
      </c>
      <c r="R84" s="692">
        <f t="shared" si="45"/>
        <v>4.4543319756745227E-3</v>
      </c>
      <c r="S84" s="329">
        <f t="shared" si="46"/>
        <v>1.0000078631744815</v>
      </c>
      <c r="T84" s="330">
        <f t="shared" si="47"/>
        <v>4.0736350100126512E-3</v>
      </c>
      <c r="U84" s="331">
        <f t="shared" si="48"/>
        <v>42.457428738639479</v>
      </c>
      <c r="V84" s="332">
        <f t="shared" si="49"/>
        <v>-103.62016533333977</v>
      </c>
      <c r="W84" s="334">
        <f t="shared" si="50"/>
        <v>76.37983466666023</v>
      </c>
      <c r="Y84" s="307">
        <f t="shared" si="51"/>
        <v>1000000000</v>
      </c>
      <c r="Z84" s="307">
        <f t="shared" si="52"/>
        <v>478628.74890000006</v>
      </c>
      <c r="AB84" s="333">
        <f t="shared" si="53"/>
        <v>38.577009679803503</v>
      </c>
      <c r="AC84" s="334">
        <f t="shared" si="54"/>
        <v>-80.18671400639559</v>
      </c>
      <c r="AE84" s="333">
        <f t="shared" si="55"/>
        <v>46.622912247721864</v>
      </c>
      <c r="AF84" s="334">
        <f t="shared" si="56"/>
        <v>-23.408575203594044</v>
      </c>
      <c r="AH84">
        <f t="shared" si="57"/>
        <v>0</v>
      </c>
      <c r="AI84">
        <f t="shared" si="58"/>
        <v>0</v>
      </c>
    </row>
    <row r="85" spans="1:35" x14ac:dyDescent="0.2">
      <c r="A85" s="335">
        <v>758.58</v>
      </c>
      <c r="B85" s="352">
        <f t="shared" si="59"/>
        <v>0.75858000000000003</v>
      </c>
      <c r="C85" s="325">
        <f t="shared" si="31"/>
        <v>1.1051644688631759</v>
      </c>
      <c r="D85" s="326">
        <f t="shared" si="32"/>
        <v>0.43978622387161792</v>
      </c>
      <c r="E85" s="326">
        <f t="shared" si="33"/>
        <v>1.0000004543519636</v>
      </c>
      <c r="F85" s="327">
        <f t="shared" si="34"/>
        <v>9.5325945223126852E-4</v>
      </c>
      <c r="G85" s="326">
        <f t="shared" si="35"/>
        <v>1</v>
      </c>
      <c r="H85" s="327">
        <f t="shared" si="36"/>
        <v>0</v>
      </c>
      <c r="I85" s="325">
        <f t="shared" si="37"/>
        <v>1006.8331013834337</v>
      </c>
      <c r="J85" s="328">
        <f t="shared" si="38"/>
        <v>1.5698031133585901</v>
      </c>
      <c r="K85" s="336">
        <f t="shared" si="39"/>
        <v>1.0179494378838585</v>
      </c>
      <c r="L85" s="337">
        <f t="shared" si="40"/>
        <v>0.1880691453329329</v>
      </c>
      <c r="M85" s="325">
        <f t="shared" si="41"/>
        <v>1.0000016850125779</v>
      </c>
      <c r="N85" s="337">
        <f t="shared" si="42"/>
        <v>1.8357615378125946E-3</v>
      </c>
      <c r="O85" s="343">
        <f t="shared" si="43"/>
        <v>1.0000097154655712</v>
      </c>
      <c r="P85" s="691">
        <f t="shared" si="44"/>
        <v>4.4080351434824683E-3</v>
      </c>
      <c r="Q85" s="336">
        <f t="shared" si="60"/>
        <v>6.3079299449266646</v>
      </c>
      <c r="R85" s="692">
        <f t="shared" si="45"/>
        <v>4.8840939428007671E-3</v>
      </c>
      <c r="S85" s="329">
        <f t="shared" si="46"/>
        <v>1.0000094536945032</v>
      </c>
      <c r="T85" s="330">
        <f t="shared" si="47"/>
        <v>4.4666679093282487E-3</v>
      </c>
      <c r="U85" s="331">
        <f t="shared" si="48"/>
        <v>41.548483880723346</v>
      </c>
      <c r="V85" s="332">
        <f t="shared" si="49"/>
        <v>-104.69918043781728</v>
      </c>
      <c r="W85" s="334">
        <f t="shared" si="50"/>
        <v>75.300819562182724</v>
      </c>
      <c r="Y85" s="307">
        <f t="shared" si="51"/>
        <v>1000000000</v>
      </c>
      <c r="Z85" s="307">
        <f t="shared" si="52"/>
        <v>575443.61640000006</v>
      </c>
      <c r="AB85" s="333">
        <f t="shared" si="53"/>
        <v>37.802584196658692</v>
      </c>
      <c r="AC85" s="334">
        <f t="shared" si="54"/>
        <v>-79.272706256625781</v>
      </c>
      <c r="AE85" s="333">
        <f t="shared" si="55"/>
        <v>46.488395892660954</v>
      </c>
      <c r="AF85" s="334">
        <f t="shared" si="56"/>
        <v>-25.399198021159322</v>
      </c>
      <c r="AH85">
        <f t="shared" si="57"/>
        <v>0</v>
      </c>
      <c r="AI85">
        <f t="shared" si="58"/>
        <v>0</v>
      </c>
    </row>
    <row r="86" spans="1:35" x14ac:dyDescent="0.2">
      <c r="A86" s="335">
        <v>831.76</v>
      </c>
      <c r="B86" s="352">
        <f t="shared" si="59"/>
        <v>0.83175999999999994</v>
      </c>
      <c r="C86" s="325">
        <f t="shared" si="31"/>
        <v>1.125239267194875</v>
      </c>
      <c r="D86" s="326">
        <f t="shared" si="32"/>
        <v>0.47629466051955832</v>
      </c>
      <c r="E86" s="326">
        <f t="shared" si="33"/>
        <v>1.0000005462427359</v>
      </c>
      <c r="F86" s="327">
        <f t="shared" si="34"/>
        <v>1.0452200603963634E-3</v>
      </c>
      <c r="G86" s="326">
        <f t="shared" si="35"/>
        <v>1</v>
      </c>
      <c r="H86" s="327">
        <f t="shared" si="36"/>
        <v>0</v>
      </c>
      <c r="I86" s="325">
        <f t="shared" si="37"/>
        <v>1103.961916898352</v>
      </c>
      <c r="J86" s="328">
        <f t="shared" si="38"/>
        <v>1.5698904983225126</v>
      </c>
      <c r="K86" s="336">
        <f t="shared" si="39"/>
        <v>1.0215412946304079</v>
      </c>
      <c r="L86" s="337">
        <f t="shared" si="40"/>
        <v>0.20572594605468422</v>
      </c>
      <c r="M86" s="325">
        <f t="shared" si="41"/>
        <v>1.0000020257990276</v>
      </c>
      <c r="N86" s="337">
        <f t="shared" si="42"/>
        <v>2.0128564815717143E-3</v>
      </c>
      <c r="O86" s="343">
        <f t="shared" si="43"/>
        <v>1.0000116803666523</v>
      </c>
      <c r="P86" s="691">
        <f t="shared" si="44"/>
        <v>4.8332707271557512E-3</v>
      </c>
      <c r="Q86" s="336">
        <f t="shared" si="60"/>
        <v>6.3079449754483239</v>
      </c>
      <c r="R86" s="692">
        <f t="shared" si="45"/>
        <v>5.3552526621181299E-3</v>
      </c>
      <c r="S86" s="329">
        <f t="shared" si="46"/>
        <v>1.0000113656541167</v>
      </c>
      <c r="T86" s="330">
        <f t="shared" si="47"/>
        <v>4.8975600404585424E-3</v>
      </c>
      <c r="U86" s="331">
        <f t="shared" si="48"/>
        <v>40.622764448413385</v>
      </c>
      <c r="V86" s="332">
        <f t="shared" si="49"/>
        <v>-105.81650374472225</v>
      </c>
      <c r="W86" s="334">
        <f t="shared" si="50"/>
        <v>74.183496255277745</v>
      </c>
      <c r="Y86" s="307">
        <f t="shared" si="51"/>
        <v>1000000000</v>
      </c>
      <c r="Z86" s="307">
        <f t="shared" si="52"/>
        <v>691824.69759999996</v>
      </c>
      <c r="AB86" s="333">
        <f t="shared" si="53"/>
        <v>37.033243510291676</v>
      </c>
      <c r="AC86" s="334">
        <f t="shared" si="54"/>
        <v>-78.27619967690336</v>
      </c>
      <c r="AE86" s="333">
        <f t="shared" si="55"/>
        <v>46.3320207766808</v>
      </c>
      <c r="AF86" s="334">
        <f t="shared" si="56"/>
        <v>-27.510396705929292</v>
      </c>
      <c r="AH86">
        <f t="shared" si="57"/>
        <v>0</v>
      </c>
      <c r="AI86">
        <f t="shared" si="58"/>
        <v>0</v>
      </c>
    </row>
    <row r="87" spans="1:35" x14ac:dyDescent="0.2">
      <c r="A87" s="335">
        <v>912.01</v>
      </c>
      <c r="B87" s="352">
        <f t="shared" si="59"/>
        <v>0.91200999999999999</v>
      </c>
      <c r="C87" s="325">
        <f t="shared" si="31"/>
        <v>1.1489130134279275</v>
      </c>
      <c r="D87" s="326">
        <f t="shared" si="32"/>
        <v>0.51480670000765938</v>
      </c>
      <c r="E87" s="326">
        <f t="shared" si="33"/>
        <v>1.000000656732924</v>
      </c>
      <c r="F87" s="327">
        <f t="shared" si="34"/>
        <v>1.1460650633181709E-3</v>
      </c>
      <c r="G87" s="326">
        <f t="shared" si="35"/>
        <v>1</v>
      </c>
      <c r="H87" s="327">
        <f t="shared" si="36"/>
        <v>0</v>
      </c>
      <c r="I87" s="325">
        <f t="shared" si="37"/>
        <v>1210.4744617869869</v>
      </c>
      <c r="J87" s="328">
        <f t="shared" si="38"/>
        <v>1.5699702043566999</v>
      </c>
      <c r="K87" s="336">
        <f t="shared" si="39"/>
        <v>1.0258435196461244</v>
      </c>
      <c r="L87" s="337">
        <f t="shared" si="40"/>
        <v>0.22493977387065744</v>
      </c>
      <c r="M87" s="325">
        <f t="shared" si="41"/>
        <v>1.0000024355632255</v>
      </c>
      <c r="N87" s="337">
        <f t="shared" si="42"/>
        <v>2.2070606163765078E-3</v>
      </c>
      <c r="O87" s="343">
        <f t="shared" si="43"/>
        <v>1.0000140429743098</v>
      </c>
      <c r="P87" s="691">
        <f t="shared" si="44"/>
        <v>5.2995867714745876E-3</v>
      </c>
      <c r="Q87" s="336">
        <f t="shared" si="60"/>
        <v>6.3079630482203184</v>
      </c>
      <c r="R87" s="692">
        <f t="shared" si="45"/>
        <v>5.871927850743996E-3</v>
      </c>
      <c r="S87" s="329">
        <f t="shared" si="46"/>
        <v>1.0000136646048163</v>
      </c>
      <c r="T87" s="330">
        <f t="shared" si="47"/>
        <v>5.3700792005440387E-3</v>
      </c>
      <c r="U87" s="331">
        <f t="shared" si="48"/>
        <v>39.678365184079261</v>
      </c>
      <c r="V87" s="332">
        <f t="shared" si="49"/>
        <v>-106.96208445063151</v>
      </c>
      <c r="W87" s="334">
        <f t="shared" si="50"/>
        <v>73.037915549368492</v>
      </c>
      <c r="Y87" s="307">
        <f t="shared" si="51"/>
        <v>1000000000</v>
      </c>
      <c r="Z87" s="307">
        <f t="shared" si="52"/>
        <v>831762.24009999994</v>
      </c>
      <c r="AB87" s="333">
        <f t="shared" si="53"/>
        <v>36.269713006660503</v>
      </c>
      <c r="AC87" s="334">
        <f t="shared" si="54"/>
        <v>-77.191022330166007</v>
      </c>
      <c r="AE87" s="333">
        <f t="shared" si="55"/>
        <v>46.151156380632337</v>
      </c>
      <c r="AF87" s="334">
        <f t="shared" si="56"/>
        <v>-29.738269392143927</v>
      </c>
      <c r="AH87">
        <f t="shared" si="57"/>
        <v>0</v>
      </c>
      <c r="AI87">
        <f t="shared" si="58"/>
        <v>0</v>
      </c>
    </row>
    <row r="88" spans="1:35" x14ac:dyDescent="0.2">
      <c r="A88" s="335">
        <v>1000</v>
      </c>
      <c r="B88" s="352">
        <f t="shared" si="59"/>
        <v>1</v>
      </c>
      <c r="C88" s="325">
        <f t="shared" si="31"/>
        <v>1.176744094805785</v>
      </c>
      <c r="D88" s="326">
        <f t="shared" si="32"/>
        <v>0.55518595576315566</v>
      </c>
      <c r="E88" s="326">
        <f t="shared" si="33"/>
        <v>1.0000007895680385</v>
      </c>
      <c r="F88" s="327">
        <f t="shared" si="34"/>
        <v>1.2566363985333933E-3</v>
      </c>
      <c r="G88" s="326">
        <f t="shared" si="35"/>
        <v>1</v>
      </c>
      <c r="H88" s="327">
        <f t="shared" si="36"/>
        <v>0</v>
      </c>
      <c r="I88" s="325">
        <f t="shared" si="37"/>
        <v>1327.259999665024</v>
      </c>
      <c r="J88" s="328">
        <f t="shared" si="38"/>
        <v>1.5700428948412009</v>
      </c>
      <c r="K88" s="336">
        <f t="shared" si="39"/>
        <v>1.0309920379560573</v>
      </c>
      <c r="L88" s="337">
        <f t="shared" si="40"/>
        <v>0.24581386641467373</v>
      </c>
      <c r="M88" s="325">
        <f t="shared" si="41"/>
        <v>1.0000029281957128</v>
      </c>
      <c r="N88" s="337">
        <f t="shared" si="42"/>
        <v>2.4199952758539325E-3</v>
      </c>
      <c r="O88" s="343">
        <f t="shared" si="43"/>
        <v>1.0000168833756682</v>
      </c>
      <c r="P88" s="691">
        <f t="shared" si="44"/>
        <v>5.810875688090673E-3</v>
      </c>
      <c r="Q88" s="336">
        <f t="shared" si="60"/>
        <v>6.3079847758641723</v>
      </c>
      <c r="R88" s="692">
        <f t="shared" si="45"/>
        <v>6.4384320896621414E-3</v>
      </c>
      <c r="S88" s="329">
        <f t="shared" si="46"/>
        <v>1.0000164284759896</v>
      </c>
      <c r="T88" s="330">
        <f t="shared" si="47"/>
        <v>5.8881696242418209E-3</v>
      </c>
      <c r="U88" s="331">
        <f t="shared" si="48"/>
        <v>38.713911571433478</v>
      </c>
      <c r="V88" s="332">
        <f t="shared" si="49"/>
        <v>-108.12252582673536</v>
      </c>
      <c r="W88" s="334">
        <f t="shared" si="50"/>
        <v>71.877474173264645</v>
      </c>
      <c r="Y88" s="307">
        <f t="shared" si="51"/>
        <v>1000000000</v>
      </c>
      <c r="Z88" s="307">
        <f t="shared" si="52"/>
        <v>1000000</v>
      </c>
      <c r="AB88" s="333">
        <f t="shared" si="53"/>
        <v>35.513185073497475</v>
      </c>
      <c r="AC88" s="334">
        <f t="shared" si="54"/>
        <v>-76.011390040153231</v>
      </c>
      <c r="AE88" s="333">
        <f t="shared" si="55"/>
        <v>45.943235948427976</v>
      </c>
      <c r="AF88" s="334">
        <f t="shared" si="56"/>
        <v>-32.07517945332458</v>
      </c>
      <c r="AH88">
        <f t="shared" si="57"/>
        <v>0</v>
      </c>
      <c r="AI88">
        <f t="shared" si="58"/>
        <v>0</v>
      </c>
    </row>
    <row r="89" spans="1:35" x14ac:dyDescent="0.2">
      <c r="A89" s="335">
        <v>1096.5</v>
      </c>
      <c r="B89" s="352">
        <f t="shared" si="59"/>
        <v>1.0965</v>
      </c>
      <c r="C89" s="325">
        <f t="shared" si="31"/>
        <v>1.2093641229268812</v>
      </c>
      <c r="D89" s="326">
        <f t="shared" si="32"/>
        <v>0.59725788978290661</v>
      </c>
      <c r="E89" s="326">
        <f t="shared" si="33"/>
        <v>1.0000009493072493</v>
      </c>
      <c r="F89" s="327">
        <f t="shared" si="34"/>
        <v>1.3779016642553354E-3</v>
      </c>
      <c r="G89" s="326">
        <f t="shared" si="35"/>
        <v>1</v>
      </c>
      <c r="H89" s="327">
        <f t="shared" si="36"/>
        <v>0</v>
      </c>
      <c r="I89" s="325">
        <f t="shared" si="37"/>
        <v>1455.3405201258574</v>
      </c>
      <c r="J89" s="328">
        <f t="shared" si="38"/>
        <v>1.5701092023282437</v>
      </c>
      <c r="K89" s="336">
        <f t="shared" si="39"/>
        <v>1.0371494792965146</v>
      </c>
      <c r="L89" s="337">
        <f t="shared" si="40"/>
        <v>0.2684575428315944</v>
      </c>
      <c r="M89" s="325">
        <f t="shared" si="41"/>
        <v>1.0000035206045332</v>
      </c>
      <c r="N89" s="337">
        <f t="shared" si="42"/>
        <v>2.6535237719955166E-3</v>
      </c>
      <c r="O89" s="343">
        <f t="shared" si="43"/>
        <v>1.0000202990547198</v>
      </c>
      <c r="P89" s="691">
        <f t="shared" si="44"/>
        <v>6.3716106832546185E-3</v>
      </c>
      <c r="Q89" s="336">
        <f t="shared" si="60"/>
        <v>6.3080109040760908</v>
      </c>
      <c r="R89" s="692">
        <f t="shared" si="45"/>
        <v>7.0597214118508613E-3</v>
      </c>
      <c r="S89" s="329">
        <f t="shared" si="46"/>
        <v>1.0000197521252068</v>
      </c>
      <c r="T89" s="330">
        <f t="shared" si="47"/>
        <v>6.4563640822766638E-3</v>
      </c>
      <c r="U89" s="331">
        <f t="shared" si="48"/>
        <v>37.727920113789303</v>
      </c>
      <c r="V89" s="332">
        <f t="shared" si="49"/>
        <v>-109.28193899220845</v>
      </c>
      <c r="W89" s="334">
        <f t="shared" si="50"/>
        <v>70.718061007791547</v>
      </c>
      <c r="Y89" s="307">
        <f t="shared" si="51"/>
        <v>1000000000</v>
      </c>
      <c r="Z89" s="307">
        <f t="shared" si="52"/>
        <v>1202312.25</v>
      </c>
      <c r="AB89" s="333">
        <f t="shared" si="53"/>
        <v>34.764728468003334</v>
      </c>
      <c r="AC89" s="334">
        <f t="shared" si="54"/>
        <v>-74.731182283723527</v>
      </c>
      <c r="AE89" s="333">
        <f t="shared" si="55"/>
        <v>45.705707406240741</v>
      </c>
      <c r="AF89" s="334">
        <f t="shared" si="56"/>
        <v>-34.511330867853609</v>
      </c>
      <c r="AH89">
        <f t="shared" si="57"/>
        <v>0</v>
      </c>
      <c r="AI89">
        <f t="shared" si="58"/>
        <v>0</v>
      </c>
    </row>
    <row r="90" spans="1:35" x14ac:dyDescent="0.2">
      <c r="A90" s="335">
        <v>1202.3</v>
      </c>
      <c r="B90" s="352">
        <f t="shared" si="59"/>
        <v>1.2022999999999999</v>
      </c>
      <c r="C90" s="325">
        <f t="shared" si="31"/>
        <v>1.2474502489092676</v>
      </c>
      <c r="D90" s="326">
        <f t="shared" si="32"/>
        <v>0.64077084228120995</v>
      </c>
      <c r="E90" s="326">
        <f t="shared" si="33"/>
        <v>1.0000011413403671</v>
      </c>
      <c r="F90" s="327">
        <f t="shared" si="34"/>
        <v>1.5108535876392514E-3</v>
      </c>
      <c r="G90" s="326">
        <f t="shared" si="35"/>
        <v>1</v>
      </c>
      <c r="H90" s="327">
        <f t="shared" si="36"/>
        <v>0</v>
      </c>
      <c r="I90" s="325">
        <f t="shared" si="37"/>
        <v>1595.7645580010792</v>
      </c>
      <c r="J90" s="328">
        <f t="shared" si="38"/>
        <v>1.5701696678930954</v>
      </c>
      <c r="K90" s="336">
        <f t="shared" si="39"/>
        <v>1.0445037030210784</v>
      </c>
      <c r="L90" s="337">
        <f t="shared" si="40"/>
        <v>0.29296267079586774</v>
      </c>
      <c r="M90" s="325">
        <f t="shared" si="41"/>
        <v>1.0000042327781959</v>
      </c>
      <c r="N90" s="337">
        <f t="shared" si="42"/>
        <v>2.9095577896593098E-3</v>
      </c>
      <c r="O90" s="343">
        <f t="shared" si="43"/>
        <v>1.0000244052547229</v>
      </c>
      <c r="P90" s="691">
        <f t="shared" si="44"/>
        <v>6.9863808064263141E-3</v>
      </c>
      <c r="Q90" s="336">
        <f t="shared" si="60"/>
        <v>6.3080423143978699</v>
      </c>
      <c r="R90" s="692">
        <f t="shared" si="45"/>
        <v>7.7408801191097059E-3</v>
      </c>
      <c r="S90" s="329">
        <f t="shared" si="46"/>
        <v>1.0000237476908773</v>
      </c>
      <c r="T90" s="330">
        <f t="shared" si="47"/>
        <v>7.0793127498885383E-3</v>
      </c>
      <c r="U90" s="331">
        <f t="shared" si="48"/>
        <v>36.719838969166673</v>
      </c>
      <c r="V90" s="332">
        <f t="shared" si="49"/>
        <v>-110.42101973842639</v>
      </c>
      <c r="W90" s="334">
        <f t="shared" si="50"/>
        <v>69.578980261573605</v>
      </c>
      <c r="Y90" s="307">
        <f t="shared" si="51"/>
        <v>1000000000</v>
      </c>
      <c r="Z90" s="307">
        <f t="shared" si="52"/>
        <v>1445525.2899999998</v>
      </c>
      <c r="AB90" s="333">
        <f t="shared" si="53"/>
        <v>34.026011012343844</v>
      </c>
      <c r="AC90" s="334">
        <f t="shared" si="54"/>
        <v>-73.345275963654828</v>
      </c>
      <c r="AE90" s="333">
        <f t="shared" si="55"/>
        <v>45.436351302778235</v>
      </c>
      <c r="AF90" s="334">
        <f t="shared" si="56"/>
        <v>-37.032514148459903</v>
      </c>
      <c r="AH90">
        <f t="shared" si="57"/>
        <v>0</v>
      </c>
      <c r="AI90">
        <f t="shared" ref="AI90:AI153" si="61">IF(AH90&gt;0,W90,0)</f>
        <v>0</v>
      </c>
    </row>
    <row r="91" spans="1:35" x14ac:dyDescent="0.2">
      <c r="A91" s="335">
        <v>1318.3</v>
      </c>
      <c r="B91" s="352">
        <f t="shared" si="59"/>
        <v>1.3183</v>
      </c>
      <c r="C91" s="325">
        <f t="shared" si="31"/>
        <v>1.2917516011575711</v>
      </c>
      <c r="D91" s="326">
        <f t="shared" si="32"/>
        <v>0.68543676458724145</v>
      </c>
      <c r="E91" s="326">
        <f t="shared" si="33"/>
        <v>1.0000013722016512</v>
      </c>
      <c r="F91" s="327">
        <f t="shared" si="34"/>
        <v>1.6566231207174151E-3</v>
      </c>
      <c r="G91" s="326">
        <f t="shared" si="35"/>
        <v>1</v>
      </c>
      <c r="H91" s="327">
        <f t="shared" si="36"/>
        <v>0</v>
      </c>
      <c r="I91" s="325">
        <f t="shared" si="37"/>
        <v>1749.7266466926505</v>
      </c>
      <c r="J91" s="328">
        <f t="shared" si="38"/>
        <v>1.570224808920188</v>
      </c>
      <c r="K91" s="336">
        <f t="shared" si="39"/>
        <v>1.0532769469014431</v>
      </c>
      <c r="L91" s="337">
        <f t="shared" si="40"/>
        <v>0.31941934626446589</v>
      </c>
      <c r="M91" s="325">
        <f t="shared" si="41"/>
        <v>1.0000050889494323</v>
      </c>
      <c r="N91" s="337">
        <f t="shared" si="42"/>
        <v>3.1902751765691363E-3</v>
      </c>
      <c r="O91" s="343">
        <f t="shared" si="43"/>
        <v>1.0000293416871948</v>
      </c>
      <c r="P91" s="691">
        <f t="shared" si="44"/>
        <v>7.6604137965430794E-3</v>
      </c>
      <c r="Q91" s="336">
        <f t="shared" si="60"/>
        <v>6.3080800755354893</v>
      </c>
      <c r="R91" s="692">
        <f t="shared" si="45"/>
        <v>8.4877000639618696E-3</v>
      </c>
      <c r="S91" s="329">
        <f t="shared" si="46"/>
        <v>1.0000285511205136</v>
      </c>
      <c r="T91" s="330">
        <f t="shared" si="47"/>
        <v>7.762313015017481E-3</v>
      </c>
      <c r="U91" s="331">
        <f t="shared" si="48"/>
        <v>35.689291292314934</v>
      </c>
      <c r="V91" s="332">
        <f t="shared" si="49"/>
        <v>-111.51852744009484</v>
      </c>
      <c r="W91" s="334">
        <f t="shared" si="50"/>
        <v>68.481472559905157</v>
      </c>
      <c r="Y91" s="307">
        <f t="shared" si="51"/>
        <v>1000000000</v>
      </c>
      <c r="Z91" s="307">
        <f t="shared" si="52"/>
        <v>1737914.89</v>
      </c>
      <c r="AB91" s="333">
        <f t="shared" si="53"/>
        <v>33.298627660815022</v>
      </c>
      <c r="AC91" s="334">
        <f t="shared" si="54"/>
        <v>-71.848663387283011</v>
      </c>
      <c r="AE91" s="333">
        <f t="shared" si="55"/>
        <v>45.133196096526916</v>
      </c>
      <c r="AF91" s="334">
        <f t="shared" si="56"/>
        <v>-39.622464041185431</v>
      </c>
      <c r="AH91">
        <f t="shared" si="57"/>
        <v>0</v>
      </c>
      <c r="AI91">
        <f t="shared" si="61"/>
        <v>0</v>
      </c>
    </row>
    <row r="92" spans="1:35" x14ac:dyDescent="0.2">
      <c r="A92" s="335">
        <v>1445.4</v>
      </c>
      <c r="B92" s="352">
        <f t="shared" si="59"/>
        <v>1.4454</v>
      </c>
      <c r="C92" s="325">
        <f t="shared" si="31"/>
        <v>1.3430427020604774</v>
      </c>
      <c r="D92" s="326">
        <f t="shared" si="32"/>
        <v>0.73089393959997517</v>
      </c>
      <c r="E92" s="326">
        <f t="shared" si="33"/>
        <v>1.0000016495499615</v>
      </c>
      <c r="F92" s="327">
        <f t="shared" si="34"/>
        <v>1.8163412090937291E-3</v>
      </c>
      <c r="G92" s="326">
        <f t="shared" si="35"/>
        <v>1</v>
      </c>
      <c r="H92" s="327">
        <f t="shared" si="36"/>
        <v>0</v>
      </c>
      <c r="I92" s="325">
        <f t="shared" si="37"/>
        <v>1918.4213196415099</v>
      </c>
      <c r="J92" s="328">
        <f t="shared" si="38"/>
        <v>1.5702750648410977</v>
      </c>
      <c r="K92" s="336">
        <f t="shared" si="39"/>
        <v>1.0637211267646072</v>
      </c>
      <c r="L92" s="337">
        <f t="shared" si="40"/>
        <v>0.34788446601426082</v>
      </c>
      <c r="M92" s="325">
        <f t="shared" si="41"/>
        <v>1.0000061175215607</v>
      </c>
      <c r="N92" s="337">
        <f t="shared" si="42"/>
        <v>3.4978537345391504E-3</v>
      </c>
      <c r="O92" s="343">
        <f t="shared" si="43"/>
        <v>1.0000352721060612</v>
      </c>
      <c r="P92" s="691">
        <f t="shared" si="44"/>
        <v>8.398936757048418E-3</v>
      </c>
      <c r="Q92" s="336">
        <f t="shared" si="60"/>
        <v>6.3081254400990083</v>
      </c>
      <c r="R92" s="692">
        <f t="shared" si="45"/>
        <v>9.3059722503494174E-3</v>
      </c>
      <c r="S92" s="329">
        <f t="shared" si="46"/>
        <v>1.0000343217563989</v>
      </c>
      <c r="T92" s="330">
        <f t="shared" si="47"/>
        <v>8.5106616563006849E-3</v>
      </c>
      <c r="U92" s="331">
        <f t="shared" si="48"/>
        <v>34.637235829266217</v>
      </c>
      <c r="V92" s="332">
        <f t="shared" si="49"/>
        <v>-112.55089823893454</v>
      </c>
      <c r="W92" s="334">
        <f t="shared" si="50"/>
        <v>67.449101761065464</v>
      </c>
      <c r="Y92" s="307">
        <f t="shared" si="51"/>
        <v>1000000000</v>
      </c>
      <c r="Z92" s="307">
        <f t="shared" si="52"/>
        <v>2089181.1600000001</v>
      </c>
      <c r="AB92" s="333">
        <f t="shared" si="53"/>
        <v>32.584847120351071</v>
      </c>
      <c r="AC92" s="334">
        <f t="shared" si="54"/>
        <v>-70.238234565849154</v>
      </c>
      <c r="AE92" s="333">
        <f t="shared" si="55"/>
        <v>44.794932129000991</v>
      </c>
      <c r="AF92" s="334">
        <f t="shared" si="56"/>
        <v>-42.260694367391253</v>
      </c>
      <c r="AH92">
        <f t="shared" si="57"/>
        <v>0</v>
      </c>
      <c r="AI92">
        <f t="shared" si="61"/>
        <v>0</v>
      </c>
    </row>
    <row r="93" spans="1:35" x14ac:dyDescent="0.2">
      <c r="A93" s="335">
        <v>1584.9</v>
      </c>
      <c r="B93" s="352">
        <f t="shared" si="59"/>
        <v>1.5849000000000002</v>
      </c>
      <c r="C93" s="325">
        <f t="shared" si="31"/>
        <v>1.4022831349698097</v>
      </c>
      <c r="D93" s="326">
        <f t="shared" si="32"/>
        <v>0.77685369654223468</v>
      </c>
      <c r="E93" s="326">
        <f t="shared" si="33"/>
        <v>1.0000019833210967</v>
      </c>
      <c r="F93" s="327">
        <f t="shared" si="34"/>
        <v>1.991641443017847E-3</v>
      </c>
      <c r="G93" s="326">
        <f t="shared" si="35"/>
        <v>1</v>
      </c>
      <c r="H93" s="327">
        <f t="shared" si="36"/>
        <v>0</v>
      </c>
      <c r="I93" s="325">
        <f t="shared" si="37"/>
        <v>2103.5740141026399</v>
      </c>
      <c r="J93" s="328">
        <f t="shared" si="38"/>
        <v>1.5703209453578943</v>
      </c>
      <c r="K93" s="336">
        <f t="shared" si="39"/>
        <v>1.0761556581358378</v>
      </c>
      <c r="L93" s="337">
        <f t="shared" si="40"/>
        <v>0.37846310775934761</v>
      </c>
      <c r="M93" s="325">
        <f t="shared" si="41"/>
        <v>1.0000073553419844</v>
      </c>
      <c r="N93" s="337">
        <f t="shared" si="42"/>
        <v>3.8354391926933287E-3</v>
      </c>
      <c r="O93" s="343">
        <f t="shared" si="43"/>
        <v>1.000042408945325</v>
      </c>
      <c r="P93" s="691">
        <f t="shared" si="44"/>
        <v>9.2095001616366492E-3</v>
      </c>
      <c r="Q93" s="336">
        <f t="shared" si="60"/>
        <v>6.3081800330638389</v>
      </c>
      <c r="R93" s="692">
        <f t="shared" si="45"/>
        <v>1.0204061746419251E-2</v>
      </c>
      <c r="S93" s="329">
        <f t="shared" si="46"/>
        <v>1.0000412663095137</v>
      </c>
      <c r="T93" s="330">
        <f t="shared" si="47"/>
        <v>9.3320097805904608E-3</v>
      </c>
      <c r="U93" s="331">
        <f t="shared" si="48"/>
        <v>33.562906752457437</v>
      </c>
      <c r="V93" s="332">
        <f t="shared" si="49"/>
        <v>-113.49617290008919</v>
      </c>
      <c r="W93" s="334">
        <f t="shared" si="50"/>
        <v>66.503827099910808</v>
      </c>
      <c r="Y93" s="307">
        <f t="shared" si="51"/>
        <v>1000000000</v>
      </c>
      <c r="Z93" s="307">
        <f t="shared" si="52"/>
        <v>2511908.0100000002</v>
      </c>
      <c r="AB93" s="333">
        <f t="shared" si="53"/>
        <v>31.885506436946454</v>
      </c>
      <c r="AC93" s="334">
        <f t="shared" si="54"/>
        <v>-68.508178430587805</v>
      </c>
      <c r="AE93" s="333">
        <f t="shared" si="55"/>
        <v>44.419956918939633</v>
      </c>
      <c r="AF93" s="334">
        <f t="shared" si="56"/>
        <v>-44.931010288162369</v>
      </c>
      <c r="AH93">
        <f t="shared" si="57"/>
        <v>0</v>
      </c>
      <c r="AI93">
        <f t="shared" si="61"/>
        <v>0</v>
      </c>
    </row>
    <row r="94" spans="1:35" x14ac:dyDescent="0.2">
      <c r="A94" s="335">
        <v>1737.8</v>
      </c>
      <c r="B94" s="352">
        <f t="shared" si="59"/>
        <v>1.7378</v>
      </c>
      <c r="C94" s="325">
        <f t="shared" si="31"/>
        <v>1.470324741224843</v>
      </c>
      <c r="D94" s="326">
        <f t="shared" si="32"/>
        <v>0.82286747708708685</v>
      </c>
      <c r="E94" s="326">
        <f t="shared" si="33"/>
        <v>1.0000023844531807</v>
      </c>
      <c r="F94" s="327">
        <f t="shared" si="34"/>
        <v>2.1837804114535103E-3</v>
      </c>
      <c r="G94" s="326">
        <f t="shared" si="35"/>
        <v>1</v>
      </c>
      <c r="H94" s="327">
        <f t="shared" si="36"/>
        <v>0</v>
      </c>
      <c r="I94" s="325">
        <f t="shared" si="37"/>
        <v>2306.5119895383755</v>
      </c>
      <c r="J94" s="328">
        <f t="shared" si="38"/>
        <v>1.5703627716970414</v>
      </c>
      <c r="K94" s="336">
        <f t="shared" si="39"/>
        <v>1.0909121955446721</v>
      </c>
      <c r="L94" s="337">
        <f t="shared" si="40"/>
        <v>0.4111443898143699</v>
      </c>
      <c r="M94" s="325">
        <f t="shared" si="41"/>
        <v>1.0000088429750942</v>
      </c>
      <c r="N94" s="337">
        <f t="shared" si="42"/>
        <v>4.2054512075404482E-3</v>
      </c>
      <c r="O94" s="343">
        <f t="shared" si="43"/>
        <v>1.0000509860613906</v>
      </c>
      <c r="P94" s="691">
        <f t="shared" si="44"/>
        <v>1.0097910196628722E-2</v>
      </c>
      <c r="Q94" s="336">
        <f t="shared" si="60"/>
        <v>6.3082456432585916</v>
      </c>
      <c r="R94" s="692">
        <f t="shared" si="45"/>
        <v>1.1188400722481241E-2</v>
      </c>
      <c r="S94" s="329">
        <f t="shared" si="46"/>
        <v>1.0000496123363591</v>
      </c>
      <c r="T94" s="330">
        <f t="shared" si="47"/>
        <v>1.0232241061411552E-2</v>
      </c>
      <c r="U94" s="331">
        <f t="shared" si="48"/>
        <v>32.469593580267428</v>
      </c>
      <c r="V94" s="332">
        <f t="shared" si="49"/>
        <v>-114.32973241886074</v>
      </c>
      <c r="W94" s="334">
        <f t="shared" si="50"/>
        <v>65.670267581139257</v>
      </c>
      <c r="Y94" s="307">
        <f t="shared" si="51"/>
        <v>1000000000</v>
      </c>
      <c r="Z94" s="307">
        <f t="shared" si="52"/>
        <v>3019948.84</v>
      </c>
      <c r="AB94" s="333">
        <f t="shared" si="53"/>
        <v>31.203829199582863</v>
      </c>
      <c r="AC94" s="334">
        <f t="shared" si="54"/>
        <v>-66.659275497171194</v>
      </c>
      <c r="AE94" s="333">
        <f t="shared" si="55"/>
        <v>44.008336827544042</v>
      </c>
      <c r="AF94" s="334">
        <f t="shared" si="56"/>
        <v>-47.607976416887801</v>
      </c>
      <c r="AH94">
        <f t="shared" si="57"/>
        <v>0</v>
      </c>
      <c r="AI94">
        <f t="shared" si="61"/>
        <v>0</v>
      </c>
    </row>
    <row r="95" spans="1:35" x14ac:dyDescent="0.2">
      <c r="A95" s="335">
        <v>1905.5</v>
      </c>
      <c r="B95" s="352">
        <f t="shared" si="59"/>
        <v>1.9055</v>
      </c>
      <c r="C95" s="325">
        <f t="shared" si="31"/>
        <v>1.5481975599698641</v>
      </c>
      <c r="D95" s="326">
        <f t="shared" si="32"/>
        <v>0.86857848693425121</v>
      </c>
      <c r="E95" s="326">
        <f t="shared" si="33"/>
        <v>1.0000028668634982</v>
      </c>
      <c r="F95" s="327">
        <f t="shared" si="34"/>
        <v>2.3945173413275301E-3</v>
      </c>
      <c r="G95" s="326">
        <f t="shared" si="35"/>
        <v>1</v>
      </c>
      <c r="H95" s="327">
        <f t="shared" si="36"/>
        <v>0</v>
      </c>
      <c r="I95" s="325">
        <f t="shared" si="37"/>
        <v>2529.0934092286843</v>
      </c>
      <c r="J95" s="328">
        <f t="shared" si="38"/>
        <v>1.570400928181936</v>
      </c>
      <c r="K95" s="336">
        <f t="shared" si="39"/>
        <v>1.1083985691307974</v>
      </c>
      <c r="L95" s="337">
        <f t="shared" si="40"/>
        <v>0.44594718798760646</v>
      </c>
      <c r="M95" s="325">
        <f t="shared" si="41"/>
        <v>1.0000106320334379</v>
      </c>
      <c r="N95" s="337">
        <f t="shared" si="42"/>
        <v>4.6112773151751781E-3</v>
      </c>
      <c r="O95" s="343">
        <f t="shared" si="43"/>
        <v>1.0000613009980246</v>
      </c>
      <c r="P95" s="691">
        <f t="shared" si="44"/>
        <v>1.1072295758167122E-2</v>
      </c>
      <c r="Q95" s="336">
        <f t="shared" si="60"/>
        <v>6.3083245466613107</v>
      </c>
      <c r="R95" s="692">
        <f t="shared" si="45"/>
        <v>1.2267994531233554E-2</v>
      </c>
      <c r="S95" s="329">
        <f t="shared" si="46"/>
        <v>1.0000596493653224</v>
      </c>
      <c r="T95" s="330">
        <f t="shared" si="47"/>
        <v>1.1219592867287487E-2</v>
      </c>
      <c r="U95" s="331">
        <f t="shared" si="48"/>
        <v>31.359153858241505</v>
      </c>
      <c r="V95" s="332">
        <f t="shared" si="49"/>
        <v>-115.0306899825796</v>
      </c>
      <c r="W95" s="334">
        <f t="shared" si="50"/>
        <v>64.969310017420398</v>
      </c>
      <c r="Y95" s="307">
        <f t="shared" si="51"/>
        <v>1000000000</v>
      </c>
      <c r="Z95" s="307">
        <f t="shared" si="52"/>
        <v>3630930.25</v>
      </c>
      <c r="AB95" s="333">
        <f t="shared" si="53"/>
        <v>30.54175378534946</v>
      </c>
      <c r="AC95" s="334">
        <f t="shared" si="54"/>
        <v>-64.69066037307887</v>
      </c>
      <c r="AE95" s="333">
        <f t="shared" si="55"/>
        <v>43.559991572624099</v>
      </c>
      <c r="AF95" s="334">
        <f t="shared" si="56"/>
        <v>-50.271521116156798</v>
      </c>
      <c r="AH95">
        <f t="shared" si="57"/>
        <v>0</v>
      </c>
      <c r="AI95">
        <f t="shared" si="61"/>
        <v>0</v>
      </c>
    </row>
    <row r="96" spans="1:35" x14ac:dyDescent="0.2">
      <c r="A96" s="335">
        <v>2089.3000000000002</v>
      </c>
      <c r="B96" s="352">
        <f t="shared" si="59"/>
        <v>2.0893000000000002</v>
      </c>
      <c r="C96" s="325">
        <f t="shared" si="31"/>
        <v>1.6368869912727231</v>
      </c>
      <c r="D96" s="326">
        <f t="shared" si="32"/>
        <v>0.91357959072615036</v>
      </c>
      <c r="E96" s="326">
        <f t="shared" si="33"/>
        <v>1.0000034465976813</v>
      </c>
      <c r="F96" s="327">
        <f t="shared" si="34"/>
        <v>2.6254857767965666E-3</v>
      </c>
      <c r="G96" s="326">
        <f t="shared" si="35"/>
        <v>1</v>
      </c>
      <c r="H96" s="327">
        <f t="shared" si="36"/>
        <v>0</v>
      </c>
      <c r="I96" s="325">
        <f t="shared" si="37"/>
        <v>2773.0437105347046</v>
      </c>
      <c r="J96" s="328">
        <f t="shared" si="38"/>
        <v>1.5704357122045549</v>
      </c>
      <c r="K96" s="336">
        <f t="shared" si="39"/>
        <v>1.129054509341916</v>
      </c>
      <c r="L96" s="337">
        <f t="shared" si="40"/>
        <v>0.48280352300944213</v>
      </c>
      <c r="M96" s="325">
        <f t="shared" si="41"/>
        <v>1.0000127820222515</v>
      </c>
      <c r="N96" s="337">
        <f t="shared" si="42"/>
        <v>5.0560629155458952E-3</v>
      </c>
      <c r="O96" s="343">
        <f t="shared" si="43"/>
        <v>1.0000736967873063</v>
      </c>
      <c r="P96" s="691">
        <f t="shared" si="44"/>
        <v>1.214020276413354E-2</v>
      </c>
      <c r="Q96" s="336">
        <f t="shared" si="60"/>
        <v>6.3084193671753566</v>
      </c>
      <c r="R96" s="692">
        <f t="shared" si="45"/>
        <v>1.3451202157650194E-2</v>
      </c>
      <c r="S96" s="329">
        <f t="shared" si="46"/>
        <v>1.0000717111881632</v>
      </c>
      <c r="T96" s="330">
        <f t="shared" si="47"/>
        <v>1.2301711936996047E-2</v>
      </c>
      <c r="U96" s="331">
        <f t="shared" si="48"/>
        <v>30.235708344947767</v>
      </c>
      <c r="V96" s="332">
        <f t="shared" si="49"/>
        <v>-115.58020175222094</v>
      </c>
      <c r="W96" s="334">
        <f t="shared" si="50"/>
        <v>64.419798247779056</v>
      </c>
      <c r="Y96" s="307">
        <f t="shared" si="51"/>
        <v>1000000000</v>
      </c>
      <c r="Z96" s="307">
        <f t="shared" si="52"/>
        <v>4365174.4900000012</v>
      </c>
      <c r="AB96" s="333">
        <f t="shared" si="53"/>
        <v>29.902277265304953</v>
      </c>
      <c r="AC96" s="334">
        <f t="shared" si="54"/>
        <v>-62.606425241005873</v>
      </c>
      <c r="AE96" s="333">
        <f t="shared" si="55"/>
        <v>43.076045474931028</v>
      </c>
      <c r="AF96" s="334">
        <f t="shared" si="56"/>
        <v>-52.898661778936535</v>
      </c>
      <c r="AH96">
        <f t="shared" si="57"/>
        <v>0</v>
      </c>
      <c r="AI96">
        <f t="shared" si="61"/>
        <v>0</v>
      </c>
    </row>
    <row r="97" spans="1:35" x14ac:dyDescent="0.2">
      <c r="A97" s="335">
        <v>2290.9</v>
      </c>
      <c r="B97" s="352">
        <f t="shared" si="59"/>
        <v>2.2909000000000002</v>
      </c>
      <c r="C97" s="325">
        <f t="shared" si="31"/>
        <v>1.7375647490339279</v>
      </c>
      <c r="D97" s="326">
        <f t="shared" si="32"/>
        <v>0.95755875635819576</v>
      </c>
      <c r="E97" s="326">
        <f t="shared" si="33"/>
        <v>1.0000041438220404</v>
      </c>
      <c r="F97" s="327">
        <f t="shared" si="34"/>
        <v>2.8788218878713725E-3</v>
      </c>
      <c r="G97" s="326">
        <f t="shared" si="35"/>
        <v>1</v>
      </c>
      <c r="H97" s="327">
        <f t="shared" si="36"/>
        <v>0</v>
      </c>
      <c r="I97" s="325">
        <f t="shared" si="37"/>
        <v>3040.6192346541243</v>
      </c>
      <c r="J97" s="328">
        <f t="shared" si="38"/>
        <v>1.5704674464120358</v>
      </c>
      <c r="K97" s="336">
        <f t="shared" si="39"/>
        <v>1.1534067767894594</v>
      </c>
      <c r="L97" s="337">
        <f t="shared" si="40"/>
        <v>0.52165267528899106</v>
      </c>
      <c r="M97" s="325">
        <f t="shared" si="41"/>
        <v>1.0000153677279489</v>
      </c>
      <c r="N97" s="337">
        <f t="shared" si="42"/>
        <v>5.5439212017138959E-3</v>
      </c>
      <c r="O97" s="343">
        <f t="shared" si="43"/>
        <v>1.0000886045399076</v>
      </c>
      <c r="P97" s="691">
        <f t="shared" si="44"/>
        <v>1.3311498645794839E-2</v>
      </c>
      <c r="Q97" s="336">
        <f t="shared" si="60"/>
        <v>6.3085334024040014</v>
      </c>
      <c r="R97" s="692">
        <f t="shared" si="45"/>
        <v>1.4748954171667545E-2</v>
      </c>
      <c r="S97" s="329">
        <f t="shared" si="46"/>
        <v>1.0000862173031155</v>
      </c>
      <c r="T97" s="330">
        <f t="shared" si="47"/>
        <v>1.3488597557169321E-2</v>
      </c>
      <c r="U97" s="331">
        <f t="shared" si="48"/>
        <v>29.102337739069682</v>
      </c>
      <c r="V97" s="332">
        <f t="shared" si="49"/>
        <v>-115.96463417307218</v>
      </c>
      <c r="W97" s="334">
        <f t="shared" si="50"/>
        <v>64.035365826927816</v>
      </c>
      <c r="Y97" s="307">
        <f t="shared" si="51"/>
        <v>1000000000</v>
      </c>
      <c r="Z97" s="307">
        <f t="shared" si="52"/>
        <v>5248222.8100000005</v>
      </c>
      <c r="AB97" s="333">
        <f t="shared" si="53"/>
        <v>29.287500124877042</v>
      </c>
      <c r="AC97" s="334">
        <f t="shared" si="54"/>
        <v>-60.410303232170001</v>
      </c>
      <c r="AE97" s="333">
        <f t="shared" si="55"/>
        <v>42.557479543454271</v>
      </c>
      <c r="AF97" s="334">
        <f t="shared" si="56"/>
        <v>-55.471970805937829</v>
      </c>
      <c r="AH97">
        <f t="shared" si="57"/>
        <v>0</v>
      </c>
      <c r="AI97">
        <f t="shared" si="61"/>
        <v>0</v>
      </c>
    </row>
    <row r="98" spans="1:35" x14ac:dyDescent="0.2">
      <c r="A98" s="335">
        <v>2511.9</v>
      </c>
      <c r="B98" s="352">
        <f t="shared" si="59"/>
        <v>2.5119000000000002</v>
      </c>
      <c r="C98" s="325">
        <f t="shared" si="31"/>
        <v>1.8513474476221532</v>
      </c>
      <c r="D98" s="326">
        <f t="shared" si="32"/>
        <v>1.0001844060440757</v>
      </c>
      <c r="E98" s="326">
        <f t="shared" si="33"/>
        <v>1.0000049818809074</v>
      </c>
      <c r="F98" s="327">
        <f t="shared" si="34"/>
        <v>3.1565361473576306E-3</v>
      </c>
      <c r="G98" s="326">
        <f t="shared" si="35"/>
        <v>1</v>
      </c>
      <c r="H98" s="327">
        <f t="shared" si="36"/>
        <v>0</v>
      </c>
      <c r="I98" s="325">
        <f t="shared" si="37"/>
        <v>3333.9435968582134</v>
      </c>
      <c r="J98" s="328">
        <f t="shared" si="38"/>
        <v>1.5704963817040627</v>
      </c>
      <c r="K98" s="336">
        <f t="shared" si="39"/>
        <v>1.1820142790109471</v>
      </c>
      <c r="L98" s="337">
        <f t="shared" si="40"/>
        <v>0.56233315095487457</v>
      </c>
      <c r="M98" s="325">
        <f t="shared" si="41"/>
        <v>1.0000184757218862</v>
      </c>
      <c r="N98" s="337">
        <f t="shared" si="42"/>
        <v>6.0787231275141575E-3</v>
      </c>
      <c r="O98" s="343">
        <f t="shared" si="43"/>
        <v>1.0001065232753052</v>
      </c>
      <c r="P98" s="691">
        <f t="shared" si="44"/>
        <v>1.4595466430222533E-2</v>
      </c>
      <c r="Q98" s="336">
        <f t="shared" si="60"/>
        <v>6.3086704693394164</v>
      </c>
      <c r="R98" s="692">
        <f t="shared" si="45"/>
        <v>1.6171532871751607E-2</v>
      </c>
      <c r="S98" s="329">
        <f t="shared" si="46"/>
        <v>1.0001036532889411</v>
      </c>
      <c r="T98" s="330">
        <f t="shared" si="47"/>
        <v>1.478965701749721E-2</v>
      </c>
      <c r="U98" s="331">
        <f t="shared" si="48"/>
        <v>27.964075096928479</v>
      </c>
      <c r="V98" s="332">
        <f t="shared" si="49"/>
        <v>-116.17495937986752</v>
      </c>
      <c r="W98" s="334">
        <f t="shared" si="50"/>
        <v>63.825040620132484</v>
      </c>
      <c r="Y98" s="307">
        <f t="shared" si="51"/>
        <v>1000000000</v>
      </c>
      <c r="Z98" s="307">
        <f t="shared" si="52"/>
        <v>6309641.6100000003</v>
      </c>
      <c r="AB98" s="333">
        <f t="shared" si="53"/>
        <v>28.700353418616835</v>
      </c>
      <c r="AC98" s="334">
        <f t="shared" si="54"/>
        <v>-58.111783428639733</v>
      </c>
      <c r="AE98" s="333">
        <f t="shared" si="55"/>
        <v>42.006396700841684</v>
      </c>
      <c r="AF98" s="334">
        <f t="shared" si="56"/>
        <v>-57.972873995792781</v>
      </c>
      <c r="AH98">
        <f t="shared" si="57"/>
        <v>0</v>
      </c>
      <c r="AI98">
        <f t="shared" si="61"/>
        <v>0</v>
      </c>
    </row>
    <row r="99" spans="1:35" x14ac:dyDescent="0.2">
      <c r="A99" s="335">
        <v>2754.2</v>
      </c>
      <c r="B99" s="352">
        <f t="shared" si="59"/>
        <v>2.7542</v>
      </c>
      <c r="C99" s="325">
        <f t="shared" si="31"/>
        <v>1.9794922010519351</v>
      </c>
      <c r="D99" s="326">
        <f t="shared" si="32"/>
        <v>1.0412057268240953</v>
      </c>
      <c r="E99" s="326">
        <f t="shared" si="33"/>
        <v>1.0000059893456696</v>
      </c>
      <c r="F99" s="327">
        <f t="shared" si="34"/>
        <v>3.4610159711740791E-3</v>
      </c>
      <c r="G99" s="326">
        <f t="shared" si="35"/>
        <v>1</v>
      </c>
      <c r="H99" s="327">
        <f t="shared" si="36"/>
        <v>0</v>
      </c>
      <c r="I99" s="325">
        <f t="shared" si="37"/>
        <v>3655.5385903049691</v>
      </c>
      <c r="J99" s="328">
        <f t="shared" si="38"/>
        <v>1.5705227692909149</v>
      </c>
      <c r="K99" s="336">
        <f t="shared" si="39"/>
        <v>1.2155136914307709</v>
      </c>
      <c r="L99" s="337">
        <f t="shared" si="40"/>
        <v>0.60465646606357093</v>
      </c>
      <c r="M99" s="325">
        <f t="shared" si="41"/>
        <v>1.000022211958888</v>
      </c>
      <c r="N99" s="337">
        <f t="shared" si="42"/>
        <v>6.6650653039687265E-3</v>
      </c>
      <c r="O99" s="343">
        <f t="shared" si="43"/>
        <v>1.0001280637132675</v>
      </c>
      <c r="P99" s="691">
        <f t="shared" si="44"/>
        <v>1.6003127683794718E-2</v>
      </c>
      <c r="Q99" s="336">
        <f t="shared" si="60"/>
        <v>6.3088352393066547</v>
      </c>
      <c r="R99" s="692">
        <f t="shared" si="45"/>
        <v>1.7731145779579367E-2</v>
      </c>
      <c r="S99" s="329">
        <f t="shared" si="46"/>
        <v>1.0001246134172215</v>
      </c>
      <c r="T99" s="330">
        <f t="shared" si="47"/>
        <v>1.6216059529751709E-2</v>
      </c>
      <c r="U99" s="331">
        <f t="shared" si="48"/>
        <v>26.825392460092612</v>
      </c>
      <c r="V99" s="332">
        <f t="shared" si="49"/>
        <v>-116.20845505280855</v>
      </c>
      <c r="W99" s="334">
        <f t="shared" si="50"/>
        <v>63.791544947191454</v>
      </c>
      <c r="Y99" s="307">
        <f t="shared" si="51"/>
        <v>1000000000</v>
      </c>
      <c r="Z99" s="307">
        <f t="shared" si="52"/>
        <v>7585617.6399999987</v>
      </c>
      <c r="AB99" s="333">
        <f t="shared" si="53"/>
        <v>28.143201113983494</v>
      </c>
      <c r="AC99" s="334">
        <f t="shared" si="54"/>
        <v>-55.721942924597904</v>
      </c>
      <c r="AE99" s="333">
        <f t="shared" si="55"/>
        <v>41.424906147972216</v>
      </c>
      <c r="AF99" s="334">
        <f t="shared" si="56"/>
        <v>-60.387503984286795</v>
      </c>
      <c r="AH99">
        <f t="shared" si="57"/>
        <v>0</v>
      </c>
      <c r="AI99">
        <f t="shared" si="61"/>
        <v>0</v>
      </c>
    </row>
    <row r="100" spans="1:35" x14ac:dyDescent="0.2">
      <c r="A100" s="335">
        <v>3020</v>
      </c>
      <c r="B100" s="352">
        <f t="shared" si="59"/>
        <v>3.02</v>
      </c>
      <c r="C100" s="325">
        <f t="shared" si="31"/>
        <v>2.1234078911899328</v>
      </c>
      <c r="D100" s="326">
        <f t="shared" si="32"/>
        <v>1.0804390701782565</v>
      </c>
      <c r="E100" s="326">
        <f t="shared" si="33"/>
        <v>1.0000072011532537</v>
      </c>
      <c r="F100" s="327">
        <f t="shared" si="34"/>
        <v>3.7950257021632516E-3</v>
      </c>
      <c r="G100" s="326">
        <f t="shared" si="35"/>
        <v>1</v>
      </c>
      <c r="H100" s="327">
        <f t="shared" si="36"/>
        <v>0</v>
      </c>
      <c r="I100" s="325">
        <f t="shared" si="37"/>
        <v>4008.3241860464805</v>
      </c>
      <c r="J100" s="328">
        <f t="shared" si="38"/>
        <v>1.5705468459734964</v>
      </c>
      <c r="K100" s="336">
        <f t="shared" si="39"/>
        <v>1.2546233572955054</v>
      </c>
      <c r="L100" s="337">
        <f t="shared" si="40"/>
        <v>0.64839854643510397</v>
      </c>
      <c r="M100" s="325">
        <f t="shared" si="41"/>
        <v>1.0000267059986749</v>
      </c>
      <c r="N100" s="337">
        <f t="shared" si="42"/>
        <v>7.3082698836852726E-3</v>
      </c>
      <c r="O100" s="343">
        <f t="shared" si="43"/>
        <v>1.0001539725855424</v>
      </c>
      <c r="P100" s="691">
        <f t="shared" si="44"/>
        <v>1.7547240913621379E-2</v>
      </c>
      <c r="Q100" s="336">
        <f t="shared" si="60"/>
        <v>6.3090334238806891</v>
      </c>
      <c r="R100" s="692">
        <f t="shared" si="45"/>
        <v>1.9441923505999464E-2</v>
      </c>
      <c r="S100" s="329">
        <f t="shared" si="46"/>
        <v>1.0001498243099924</v>
      </c>
      <c r="T100" s="330">
        <f t="shared" si="47"/>
        <v>1.7780734695043435E-2</v>
      </c>
      <c r="U100" s="331">
        <f t="shared" si="48"/>
        <v>25.690345464924029</v>
      </c>
      <c r="V100" s="332">
        <f t="shared" si="49"/>
        <v>-116.06841695832418</v>
      </c>
      <c r="W100" s="334">
        <f t="shared" si="50"/>
        <v>63.931583041675822</v>
      </c>
      <c r="Y100" s="307">
        <f t="shared" si="51"/>
        <v>1000000000</v>
      </c>
      <c r="Z100" s="307">
        <f t="shared" si="52"/>
        <v>9120400</v>
      </c>
      <c r="AB100" s="333">
        <f t="shared" si="53"/>
        <v>27.618003024202874</v>
      </c>
      <c r="AC100" s="334">
        <f t="shared" si="54"/>
        <v>-53.253938729444748</v>
      </c>
      <c r="AE100" s="333">
        <f t="shared" si="55"/>
        <v>40.815105085341585</v>
      </c>
      <c r="AF100" s="334">
        <f t="shared" si="56"/>
        <v>-62.705920912695206</v>
      </c>
      <c r="AH100">
        <f t="shared" si="57"/>
        <v>0</v>
      </c>
      <c r="AI100">
        <f t="shared" si="61"/>
        <v>0</v>
      </c>
    </row>
    <row r="101" spans="1:35" x14ac:dyDescent="0.2">
      <c r="A101" s="335">
        <v>3311.3</v>
      </c>
      <c r="B101" s="352">
        <f t="shared" si="59"/>
        <v>3.3113000000000001</v>
      </c>
      <c r="C101" s="325">
        <f t="shared" si="31"/>
        <v>2.2843851292084474</v>
      </c>
      <c r="D101" s="326">
        <f t="shared" si="32"/>
        <v>1.117696625719155</v>
      </c>
      <c r="E101" s="326">
        <f t="shared" si="33"/>
        <v>1.0000086573486873</v>
      </c>
      <c r="F101" s="327">
        <f t="shared" si="34"/>
        <v>4.1610782808478696E-3</v>
      </c>
      <c r="G101" s="326">
        <f t="shared" si="35"/>
        <v>1</v>
      </c>
      <c r="H101" s="327">
        <f t="shared" si="36"/>
        <v>0</v>
      </c>
      <c r="I101" s="325">
        <f t="shared" si="37"/>
        <v>4394.9549032379327</v>
      </c>
      <c r="J101" s="328">
        <f t="shared" si="38"/>
        <v>1.5705687931726764</v>
      </c>
      <c r="K101" s="336">
        <f t="shared" si="39"/>
        <v>1.3000649775700677</v>
      </c>
      <c r="L101" s="337">
        <f t="shared" si="40"/>
        <v>0.69322007454576406</v>
      </c>
      <c r="M101" s="325">
        <f t="shared" si="41"/>
        <v>1.0000321063416493</v>
      </c>
      <c r="N101" s="337">
        <f t="shared" si="42"/>
        <v>8.0131744843717576E-3</v>
      </c>
      <c r="O101" s="343">
        <f t="shared" si="43"/>
        <v>1.0001851057096953</v>
      </c>
      <c r="P101" s="691">
        <f t="shared" si="44"/>
        <v>1.9239395040826026E-2</v>
      </c>
      <c r="Q101" s="336">
        <f t="shared" si="60"/>
        <v>6.3092715688491641</v>
      </c>
      <c r="R101" s="692">
        <f t="shared" si="45"/>
        <v>2.1316699081878859E-2</v>
      </c>
      <c r="S101" s="329">
        <f t="shared" si="46"/>
        <v>1.0001801187402402</v>
      </c>
      <c r="T101" s="330">
        <f t="shared" si="47"/>
        <v>1.9495427374929632E-2</v>
      </c>
      <c r="U101" s="331">
        <f t="shared" si="48"/>
        <v>24.56447481727221</v>
      </c>
      <c r="V101" s="332">
        <f t="shared" si="49"/>
        <v>-115.76441361797916</v>
      </c>
      <c r="W101" s="334">
        <f t="shared" si="50"/>
        <v>64.235586382020841</v>
      </c>
      <c r="Y101" s="307">
        <f t="shared" si="51"/>
        <v>1000000000</v>
      </c>
      <c r="Z101" s="307">
        <f t="shared" si="52"/>
        <v>10964707.690000001</v>
      </c>
      <c r="AB101" s="333">
        <f t="shared" si="53"/>
        <v>27.127158250388295</v>
      </c>
      <c r="AC101" s="334">
        <f t="shared" si="54"/>
        <v>-50.727499874953899</v>
      </c>
      <c r="AE101" s="333">
        <f t="shared" si="55"/>
        <v>40.180136695637685</v>
      </c>
      <c r="AF101" s="334">
        <f t="shared" si="56"/>
        <v>-64.917892988571452</v>
      </c>
      <c r="AH101">
        <f t="shared" si="57"/>
        <v>0</v>
      </c>
      <c r="AI101">
        <f t="shared" si="61"/>
        <v>0</v>
      </c>
    </row>
    <row r="102" spans="1:35" x14ac:dyDescent="0.2">
      <c r="A102" s="335">
        <v>3630.8</v>
      </c>
      <c r="B102" s="352">
        <f t="shared" si="59"/>
        <v>3.6308000000000002</v>
      </c>
      <c r="C102" s="325">
        <f t="shared" si="31"/>
        <v>2.4640899996257328</v>
      </c>
      <c r="D102" s="326">
        <f t="shared" si="32"/>
        <v>1.1529102619595017</v>
      </c>
      <c r="E102" s="326">
        <f t="shared" si="33"/>
        <v>1.0000104085953438</v>
      </c>
      <c r="F102" s="327">
        <f t="shared" si="34"/>
        <v>4.5625661775222709E-3</v>
      </c>
      <c r="G102" s="326">
        <f t="shared" si="35"/>
        <v>1</v>
      </c>
      <c r="H102" s="327">
        <f t="shared" si="36"/>
        <v>0</v>
      </c>
      <c r="I102" s="325">
        <f t="shared" si="37"/>
        <v>4819.0143427589946</v>
      </c>
      <c r="J102" s="328">
        <f t="shared" si="38"/>
        <v>1.5705888154790859</v>
      </c>
      <c r="K102" s="336">
        <f t="shared" si="39"/>
        <v>1.3526936420737912</v>
      </c>
      <c r="L102" s="337">
        <f t="shared" si="40"/>
        <v>0.73881704962441885</v>
      </c>
      <c r="M102" s="325">
        <f t="shared" si="41"/>
        <v>1.0000386008624262</v>
      </c>
      <c r="N102" s="337">
        <f t="shared" si="42"/>
        <v>8.7863098941979439E-3</v>
      </c>
      <c r="O102" s="343">
        <f t="shared" si="43"/>
        <v>1.0002225457378444</v>
      </c>
      <c r="P102" s="691">
        <f t="shared" si="44"/>
        <v>2.1095235173355899E-2</v>
      </c>
      <c r="Q102" s="336">
        <f t="shared" si="60"/>
        <v>6.3095579548011536</v>
      </c>
      <c r="R102" s="692">
        <f t="shared" si="45"/>
        <v>2.3372797186778087E-2</v>
      </c>
      <c r="S102" s="329">
        <f t="shared" si="46"/>
        <v>1.0002165502104079</v>
      </c>
      <c r="T102" s="330">
        <f t="shared" si="47"/>
        <v>2.1375993194114047E-2</v>
      </c>
      <c r="U102" s="331">
        <f t="shared" si="48"/>
        <v>23.450915165273216</v>
      </c>
      <c r="V102" s="332">
        <f t="shared" si="49"/>
        <v>-115.31115557356186</v>
      </c>
      <c r="W102" s="334">
        <f t="shared" si="50"/>
        <v>64.688844426438138</v>
      </c>
      <c r="Y102" s="307">
        <f t="shared" si="51"/>
        <v>1000000000</v>
      </c>
      <c r="Z102" s="307">
        <f t="shared" si="52"/>
        <v>13182708.640000001</v>
      </c>
      <c r="AB102" s="333">
        <f t="shared" si="53"/>
        <v>26.671713721757211</v>
      </c>
      <c r="AC102" s="334">
        <f t="shared" si="54"/>
        <v>-48.160430231079033</v>
      </c>
      <c r="AE102" s="333">
        <f t="shared" si="55"/>
        <v>39.522090693343145</v>
      </c>
      <c r="AF102" s="334">
        <f t="shared" si="56"/>
        <v>-67.020230651385305</v>
      </c>
      <c r="AH102">
        <f t="shared" si="57"/>
        <v>0</v>
      </c>
      <c r="AI102">
        <f t="shared" si="61"/>
        <v>0</v>
      </c>
    </row>
    <row r="103" spans="1:35" x14ac:dyDescent="0.2">
      <c r="A103" s="335">
        <v>3981.1</v>
      </c>
      <c r="B103" s="352">
        <f t="shared" si="59"/>
        <v>3.9811000000000001</v>
      </c>
      <c r="C103" s="325">
        <f t="shared" si="31"/>
        <v>2.66413088850376</v>
      </c>
      <c r="D103" s="326">
        <f t="shared" si="32"/>
        <v>1.186014491377944</v>
      </c>
      <c r="E103" s="326">
        <f t="shared" si="33"/>
        <v>1.0000125139146128</v>
      </c>
      <c r="F103" s="327">
        <f t="shared" si="34"/>
        <v>5.0027560635419379E-3</v>
      </c>
      <c r="G103" s="326">
        <f t="shared" si="35"/>
        <v>1</v>
      </c>
      <c r="H103" s="327">
        <f t="shared" si="36"/>
        <v>0</v>
      </c>
      <c r="I103" s="325">
        <f t="shared" si="37"/>
        <v>5283.9533795485004</v>
      </c>
      <c r="J103" s="328">
        <f t="shared" si="38"/>
        <v>1.5706070745562528</v>
      </c>
      <c r="K103" s="336">
        <f t="shared" si="39"/>
        <v>1.4133713527755867</v>
      </c>
      <c r="L103" s="337">
        <f t="shared" si="40"/>
        <v>0.7848020987281944</v>
      </c>
      <c r="M103" s="325">
        <f t="shared" si="41"/>
        <v>1.0000464084252714</v>
      </c>
      <c r="N103" s="337">
        <f t="shared" si="42"/>
        <v>9.6339639357308198E-3</v>
      </c>
      <c r="O103" s="343">
        <f t="shared" si="43"/>
        <v>1.0002675537415853</v>
      </c>
      <c r="P103" s="691">
        <f t="shared" si="44"/>
        <v>2.312981197638236E-2</v>
      </c>
      <c r="Q103" s="336">
        <f t="shared" si="60"/>
        <v>6.3099022266353773</v>
      </c>
      <c r="R103" s="692">
        <f t="shared" si="45"/>
        <v>2.5626880829702426E-2</v>
      </c>
      <c r="S103" s="329">
        <f t="shared" si="46"/>
        <v>1.000260345844312</v>
      </c>
      <c r="T103" s="330">
        <f t="shared" si="47"/>
        <v>2.3437686154986061E-2</v>
      </c>
      <c r="U103" s="331">
        <f t="shared" si="48"/>
        <v>22.353543958901327</v>
      </c>
      <c r="V103" s="332">
        <f t="shared" si="49"/>
        <v>-114.72823423354059</v>
      </c>
      <c r="W103" s="334">
        <f t="shared" si="50"/>
        <v>65.27176576645941</v>
      </c>
      <c r="Y103" s="307">
        <f t="shared" si="51"/>
        <v>1000000000</v>
      </c>
      <c r="Z103" s="307">
        <f t="shared" si="52"/>
        <v>15849157.209999999</v>
      </c>
      <c r="AB103" s="333">
        <f t="shared" si="53"/>
        <v>26.252767457671325</v>
      </c>
      <c r="AC103" s="334">
        <f t="shared" si="54"/>
        <v>-45.575294160903404</v>
      </c>
      <c r="AE103" s="333">
        <f t="shared" si="55"/>
        <v>38.843748832258683</v>
      </c>
      <c r="AF103" s="334">
        <f t="shared" si="56"/>
        <v>-69.009868566024892</v>
      </c>
      <c r="AH103">
        <f t="shared" si="57"/>
        <v>0</v>
      </c>
      <c r="AI103">
        <f t="shared" si="61"/>
        <v>0</v>
      </c>
    </row>
    <row r="104" spans="1:35" x14ac:dyDescent="0.2">
      <c r="A104" s="335">
        <v>4365.2</v>
      </c>
      <c r="B104" s="352">
        <f t="shared" si="59"/>
        <v>4.3651999999999997</v>
      </c>
      <c r="C104" s="325">
        <f t="shared" si="31"/>
        <v>2.8863394556804214</v>
      </c>
      <c r="D104" s="326">
        <f t="shared" si="32"/>
        <v>1.2170020236934611</v>
      </c>
      <c r="E104" s="326">
        <f t="shared" si="33"/>
        <v>1.0000150450888714</v>
      </c>
      <c r="F104" s="327">
        <f t="shared" si="34"/>
        <v>5.4854170752813292E-3</v>
      </c>
      <c r="G104" s="326">
        <f t="shared" si="35"/>
        <v>1</v>
      </c>
      <c r="H104" s="327">
        <f t="shared" si="36"/>
        <v>0</v>
      </c>
      <c r="I104" s="325">
        <f t="shared" si="37"/>
        <v>5793.7537923969394</v>
      </c>
      <c r="J104" s="328">
        <f t="shared" si="38"/>
        <v>1.5706237271227674</v>
      </c>
      <c r="K104" s="336">
        <f t="shared" si="39"/>
        <v>1.4830398488914189</v>
      </c>
      <c r="L104" s="337">
        <f t="shared" si="40"/>
        <v>0.83079253066700454</v>
      </c>
      <c r="M104" s="325">
        <f t="shared" si="41"/>
        <v>1.0000557952096467</v>
      </c>
      <c r="N104" s="337">
        <f t="shared" si="42"/>
        <v>1.0563391076317621E-2</v>
      </c>
      <c r="O104" s="343">
        <f t="shared" si="43"/>
        <v>1.000321663216595</v>
      </c>
      <c r="P104" s="691">
        <f t="shared" si="44"/>
        <v>2.5360481760722194E-2</v>
      </c>
      <c r="Q104" s="336">
        <f t="shared" si="60"/>
        <v>6.3103161124035392</v>
      </c>
      <c r="R104" s="692">
        <f t="shared" si="45"/>
        <v>2.8098163425804422E-2</v>
      </c>
      <c r="S104" s="329">
        <f t="shared" si="46"/>
        <v>1.0003129978633192</v>
      </c>
      <c r="T104" s="330">
        <f t="shared" si="47"/>
        <v>2.5698097593123879E-2</v>
      </c>
      <c r="U104" s="331">
        <f t="shared" si="48"/>
        <v>21.274999937012446</v>
      </c>
      <c r="V104" s="332">
        <f t="shared" si="49"/>
        <v>-114.03848147325017</v>
      </c>
      <c r="W104" s="334">
        <f t="shared" si="50"/>
        <v>65.961518526749828</v>
      </c>
      <c r="Y104" s="307">
        <f t="shared" si="51"/>
        <v>1000000000</v>
      </c>
      <c r="Z104" s="307">
        <f t="shared" si="52"/>
        <v>19054971.039999999</v>
      </c>
      <c r="AB104" s="333">
        <f t="shared" si="53"/>
        <v>25.870595479128696</v>
      </c>
      <c r="AC104" s="334">
        <f t="shared" si="54"/>
        <v>-42.994442884176749</v>
      </c>
      <c r="AE104" s="333">
        <f t="shared" si="55"/>
        <v>38.147476653764237</v>
      </c>
      <c r="AF104" s="334">
        <f t="shared" si="56"/>
        <v>-70.887180983834625</v>
      </c>
      <c r="AH104">
        <f t="shared" si="57"/>
        <v>0</v>
      </c>
      <c r="AI104">
        <f t="shared" si="61"/>
        <v>0</v>
      </c>
    </row>
    <row r="105" spans="1:35" x14ac:dyDescent="0.2">
      <c r="A105" s="335">
        <v>4786.3</v>
      </c>
      <c r="B105" s="352">
        <f t="shared" si="59"/>
        <v>4.7862999999999998</v>
      </c>
      <c r="C105" s="325">
        <f t="shared" si="31"/>
        <v>3.1326626553436254</v>
      </c>
      <c r="D105" s="326">
        <f t="shared" si="32"/>
        <v>1.2458929034804047</v>
      </c>
      <c r="E105" s="326">
        <f t="shared" si="33"/>
        <v>1.000018087795371</v>
      </c>
      <c r="F105" s="327">
        <f t="shared" si="34"/>
        <v>6.0145694334542907E-3</v>
      </c>
      <c r="G105" s="326">
        <f t="shared" si="35"/>
        <v>1</v>
      </c>
      <c r="H105" s="327">
        <f t="shared" si="36"/>
        <v>0</v>
      </c>
      <c r="I105" s="325">
        <f t="shared" si="37"/>
        <v>6352.662812028093</v>
      </c>
      <c r="J105" s="328">
        <f t="shared" si="38"/>
        <v>1.5706389124894755</v>
      </c>
      <c r="K105" s="336">
        <f t="shared" si="39"/>
        <v>1.5626824755707631</v>
      </c>
      <c r="L105" s="337">
        <f t="shared" si="40"/>
        <v>0.87639531869004161</v>
      </c>
      <c r="M105" s="325">
        <f t="shared" si="41"/>
        <v>1.0000670789109396</v>
      </c>
      <c r="N105" s="337">
        <f t="shared" si="42"/>
        <v>1.1582328047856999E-2</v>
      </c>
      <c r="O105" s="343">
        <f t="shared" si="43"/>
        <v>1.0003867041376604</v>
      </c>
      <c r="P105" s="691">
        <f t="shared" si="44"/>
        <v>2.7805739048864662E-2</v>
      </c>
      <c r="Q105" s="336">
        <f t="shared" si="60"/>
        <v>6.310813606994631</v>
      </c>
      <c r="R105" s="692">
        <f t="shared" si="45"/>
        <v>3.0807114093782152E-2</v>
      </c>
      <c r="S105" s="329">
        <f t="shared" si="46"/>
        <v>1.000376286999066</v>
      </c>
      <c r="T105" s="330">
        <f t="shared" si="47"/>
        <v>2.8175973500709054E-2</v>
      </c>
      <c r="U105" s="331">
        <f t="shared" si="48"/>
        <v>20.217377392680035</v>
      </c>
      <c r="V105" s="332">
        <f t="shared" si="49"/>
        <v>-113.26697266088149</v>
      </c>
      <c r="W105" s="334">
        <f t="shared" si="50"/>
        <v>66.733027339118507</v>
      </c>
      <c r="Y105" s="307">
        <f t="shared" si="51"/>
        <v>1000000000</v>
      </c>
      <c r="Z105" s="307">
        <f t="shared" si="52"/>
        <v>22908667.690000001</v>
      </c>
      <c r="AB105" s="333">
        <f t="shared" si="53"/>
        <v>25.524940529892511</v>
      </c>
      <c r="AC105" s="334">
        <f t="shared" si="54"/>
        <v>-40.44084643899086</v>
      </c>
      <c r="AE105" s="333">
        <f t="shared" si="55"/>
        <v>37.435629074202488</v>
      </c>
      <c r="AF105" s="334">
        <f t="shared" si="56"/>
        <v>-72.654160098884446</v>
      </c>
      <c r="AH105">
        <f t="shared" si="57"/>
        <v>0</v>
      </c>
      <c r="AI105">
        <f t="shared" si="61"/>
        <v>0</v>
      </c>
    </row>
    <row r="106" spans="1:35" x14ac:dyDescent="0.2">
      <c r="A106" s="335">
        <v>5248.1</v>
      </c>
      <c r="B106" s="352">
        <f t="shared" si="59"/>
        <v>5.2481</v>
      </c>
      <c r="C106" s="325">
        <f t="shared" si="31"/>
        <v>3.4053420953851963</v>
      </c>
      <c r="D106" s="326">
        <f t="shared" si="32"/>
        <v>1.2727468360528522</v>
      </c>
      <c r="E106" s="326">
        <f t="shared" si="33"/>
        <v>1.0000217464921615</v>
      </c>
      <c r="F106" s="327">
        <f t="shared" si="34"/>
        <v>6.594861344588282E-3</v>
      </c>
      <c r="G106" s="326">
        <f t="shared" si="35"/>
        <v>1</v>
      </c>
      <c r="H106" s="327">
        <f t="shared" si="36"/>
        <v>0</v>
      </c>
      <c r="I106" s="325">
        <f t="shared" si="37"/>
        <v>6965.5912989802173</v>
      </c>
      <c r="J106" s="328">
        <f t="shared" si="38"/>
        <v>1.5706527639643324</v>
      </c>
      <c r="K106" s="336">
        <f t="shared" si="39"/>
        <v>1.6533767063950078</v>
      </c>
      <c r="L106" s="337">
        <f t="shared" si="40"/>
        <v>0.92125293667506014</v>
      </c>
      <c r="M106" s="325">
        <f t="shared" si="41"/>
        <v>1.0000806468535233</v>
      </c>
      <c r="N106" s="337">
        <f t="shared" si="42"/>
        <v>1.2699719206905616E-2</v>
      </c>
      <c r="O106" s="343">
        <f t="shared" si="43"/>
        <v>1.0004649071356144</v>
      </c>
      <c r="P106" s="691">
        <f t="shared" si="44"/>
        <v>3.0486951028391877E-2</v>
      </c>
      <c r="Q106" s="336">
        <f t="shared" si="60"/>
        <v>6.3114117685286821</v>
      </c>
      <c r="R106" s="692">
        <f t="shared" si="45"/>
        <v>3.3777377432206698E-2</v>
      </c>
      <c r="S106" s="329">
        <f t="shared" si="46"/>
        <v>1.0004523838726023</v>
      </c>
      <c r="T106" s="330">
        <f t="shared" si="47"/>
        <v>3.0892972530270194E-2</v>
      </c>
      <c r="U106" s="331">
        <f t="shared" si="48"/>
        <v>19.181521791650635</v>
      </c>
      <c r="V106" s="332">
        <f t="shared" si="49"/>
        <v>-112.4392386215109</v>
      </c>
      <c r="W106" s="334">
        <f t="shared" si="50"/>
        <v>67.560761378489104</v>
      </c>
      <c r="Y106" s="307">
        <f t="shared" si="51"/>
        <v>1000000000</v>
      </c>
      <c r="Z106" s="307">
        <f t="shared" si="52"/>
        <v>27542553.610000003</v>
      </c>
      <c r="AB106" s="333">
        <f t="shared" si="53"/>
        <v>25.214800455590847</v>
      </c>
      <c r="AC106" s="334">
        <f t="shared" si="54"/>
        <v>-37.935509675104441</v>
      </c>
      <c r="AE106" s="333">
        <f t="shared" si="55"/>
        <v>36.710057814714773</v>
      </c>
      <c r="AF106" s="334">
        <f t="shared" si="56"/>
        <v>-74.315201400454043</v>
      </c>
      <c r="AH106">
        <f t="shared" si="57"/>
        <v>0</v>
      </c>
      <c r="AI106">
        <f t="shared" si="61"/>
        <v>0</v>
      </c>
    </row>
    <row r="107" spans="1:35" x14ac:dyDescent="0.2">
      <c r="A107" s="335">
        <v>5370.3</v>
      </c>
      <c r="B107" s="352">
        <f t="shared" si="59"/>
        <v>5.3703000000000003</v>
      </c>
      <c r="C107" s="325">
        <f t="shared" si="31"/>
        <v>3.4778677347019902</v>
      </c>
      <c r="D107" s="326">
        <f t="shared" si="32"/>
        <v>1.2791467849450848</v>
      </c>
      <c r="E107" s="326">
        <f t="shared" si="33"/>
        <v>1.0000227709883616</v>
      </c>
      <c r="F107" s="327">
        <f t="shared" si="34"/>
        <v>6.7484155580010054E-3</v>
      </c>
      <c r="G107" s="326">
        <f t="shared" si="35"/>
        <v>1</v>
      </c>
      <c r="H107" s="327">
        <f t="shared" si="36"/>
        <v>0</v>
      </c>
      <c r="I107" s="325">
        <f t="shared" si="37"/>
        <v>7127.7824232712173</v>
      </c>
      <c r="J107" s="328">
        <f t="shared" si="38"/>
        <v>1.5706560307050474</v>
      </c>
      <c r="K107" s="336">
        <f t="shared" si="39"/>
        <v>1.6778943468723528</v>
      </c>
      <c r="L107" s="337">
        <f t="shared" si="40"/>
        <v>0.93230447664996896</v>
      </c>
      <c r="M107" s="325">
        <f t="shared" si="41"/>
        <v>1.0000844460799336</v>
      </c>
      <c r="N107" s="337">
        <f t="shared" si="42"/>
        <v>1.2995394395316657E-2</v>
      </c>
      <c r="O107" s="343">
        <f t="shared" si="43"/>
        <v>1.000486804236792</v>
      </c>
      <c r="P107" s="691">
        <f t="shared" si="44"/>
        <v>3.1196372764211971E-2</v>
      </c>
      <c r="Q107" s="336">
        <f t="shared" si="60"/>
        <v>6.3115792539815896</v>
      </c>
      <c r="R107" s="692">
        <f t="shared" si="45"/>
        <v>3.4563262953844452E-2</v>
      </c>
      <c r="S107" s="329">
        <f t="shared" si="46"/>
        <v>1.0004736912837529</v>
      </c>
      <c r="T107" s="330">
        <f t="shared" si="47"/>
        <v>3.1611867073006047E-2</v>
      </c>
      <c r="U107" s="331">
        <f t="shared" si="48"/>
        <v>18.926153040044305</v>
      </c>
      <c r="V107" s="332">
        <f t="shared" si="49"/>
        <v>-112.22662286214003</v>
      </c>
      <c r="W107" s="334">
        <f t="shared" si="50"/>
        <v>67.773377137859967</v>
      </c>
      <c r="Y107" s="307">
        <f t="shared" si="51"/>
        <v>1000000000</v>
      </c>
      <c r="Z107" s="307">
        <f t="shared" si="52"/>
        <v>28840122.090000004</v>
      </c>
      <c r="AB107" s="333">
        <f t="shared" si="53"/>
        <v>25.142694472536412</v>
      </c>
      <c r="AC107" s="334">
        <f t="shared" si="54"/>
        <v>-37.319431187576505</v>
      </c>
      <c r="AE107" s="333">
        <f t="shared" si="55"/>
        <v>36.526835434554165</v>
      </c>
      <c r="AF107" s="334">
        <f t="shared" si="56"/>
        <v>-74.714283076393158</v>
      </c>
      <c r="AH107">
        <f t="shared" si="57"/>
        <v>0</v>
      </c>
      <c r="AI107">
        <f t="shared" si="61"/>
        <v>0</v>
      </c>
    </row>
    <row r="108" spans="1:35" x14ac:dyDescent="0.2">
      <c r="A108" s="335">
        <v>5432.85</v>
      </c>
      <c r="B108" s="352">
        <f t="shared" si="59"/>
        <v>5.4328500000000002</v>
      </c>
      <c r="C108" s="325">
        <f t="shared" si="31"/>
        <v>3.5150445281364955</v>
      </c>
      <c r="D108" s="326">
        <f t="shared" si="32"/>
        <v>1.2823204441862861</v>
      </c>
      <c r="E108" s="326">
        <f t="shared" si="33"/>
        <v>1.0000233045166442</v>
      </c>
      <c r="F108" s="327">
        <f t="shared" si="34"/>
        <v>6.8270145846533814E-3</v>
      </c>
      <c r="G108" s="326">
        <f t="shared" si="35"/>
        <v>1</v>
      </c>
      <c r="H108" s="327">
        <f t="shared" si="36"/>
        <v>0</v>
      </c>
      <c r="I108" s="325">
        <f t="shared" si="37"/>
        <v>7210.8025118790447</v>
      </c>
      <c r="J108" s="328">
        <f t="shared" si="38"/>
        <v>1.570657645975174</v>
      </c>
      <c r="K108" s="336">
        <f t="shared" si="39"/>
        <v>1.6905216427307295</v>
      </c>
      <c r="L108" s="337">
        <f t="shared" si="40"/>
        <v>0.9378370013516476</v>
      </c>
      <c r="M108" s="325">
        <f t="shared" si="41"/>
        <v>1.0000864246040764</v>
      </c>
      <c r="N108" s="337">
        <f t="shared" si="42"/>
        <v>1.3146739534342549E-2</v>
      </c>
      <c r="O108" s="343">
        <f t="shared" si="43"/>
        <v>1.0004982074391298</v>
      </c>
      <c r="P108" s="691">
        <f t="shared" si="44"/>
        <v>3.1559489375389216E-2</v>
      </c>
      <c r="Q108" s="336">
        <f t="shared" si="60"/>
        <v>6.311666473917505</v>
      </c>
      <c r="R108" s="692">
        <f t="shared" si="45"/>
        <v>3.4965514707075762E-2</v>
      </c>
      <c r="S108" s="329">
        <f t="shared" si="46"/>
        <v>1.0004847874028016</v>
      </c>
      <c r="T108" s="330">
        <f t="shared" si="47"/>
        <v>3.1979832988515471E-2</v>
      </c>
      <c r="U108" s="331">
        <f t="shared" si="48"/>
        <v>18.798206881707912</v>
      </c>
      <c r="V108" s="332">
        <f t="shared" si="49"/>
        <v>-112.11905559250226</v>
      </c>
      <c r="W108" s="334">
        <f t="shared" si="50"/>
        <v>67.880944407497736</v>
      </c>
      <c r="Y108" s="307">
        <f t="shared" si="51"/>
        <v>1000000000</v>
      </c>
      <c r="Z108" s="307">
        <f t="shared" si="52"/>
        <v>29515859.122500002</v>
      </c>
      <c r="AB108" s="333">
        <f t="shared" si="53"/>
        <v>25.107216434513944</v>
      </c>
      <c r="AC108" s="334">
        <f t="shared" si="54"/>
        <v>-37.011204857643271</v>
      </c>
      <c r="AE108" s="333">
        <f t="shared" si="55"/>
        <v>36.434388345825766</v>
      </c>
      <c r="AF108" s="334">
        <f t="shared" si="56"/>
        <v>-74.912699858215746</v>
      </c>
      <c r="AH108">
        <f t="shared" si="57"/>
        <v>0</v>
      </c>
      <c r="AI108">
        <f t="shared" si="61"/>
        <v>0</v>
      </c>
    </row>
    <row r="109" spans="1:35" x14ac:dyDescent="0.2">
      <c r="A109" s="335">
        <v>5495.4</v>
      </c>
      <c r="B109" s="352">
        <f t="shared" si="59"/>
        <v>5.4954000000000001</v>
      </c>
      <c r="C109" s="325">
        <f t="shared" si="31"/>
        <v>3.5522559842384784</v>
      </c>
      <c r="D109" s="326">
        <f t="shared" si="32"/>
        <v>1.2854276432048783</v>
      </c>
      <c r="E109" s="326">
        <f t="shared" si="33"/>
        <v>1.0000238442228713</v>
      </c>
      <c r="F109" s="327">
        <f t="shared" si="34"/>
        <v>6.9056135269525802E-3</v>
      </c>
      <c r="G109" s="326">
        <f t="shared" si="35"/>
        <v>1</v>
      </c>
      <c r="H109" s="327">
        <f t="shared" si="36"/>
        <v>0</v>
      </c>
      <c r="I109" s="325">
        <f t="shared" si="37"/>
        <v>7293.8226005052557</v>
      </c>
      <c r="J109" s="328">
        <f t="shared" si="38"/>
        <v>1.5706592244744941</v>
      </c>
      <c r="K109" s="336">
        <f t="shared" si="39"/>
        <v>1.7031999153027382</v>
      </c>
      <c r="L109" s="337">
        <f t="shared" si="40"/>
        <v>0.94328732485195099</v>
      </c>
      <c r="M109" s="325">
        <f t="shared" si="41"/>
        <v>1.0000884260354588</v>
      </c>
      <c r="N109" s="337">
        <f t="shared" si="42"/>
        <v>1.3298084071074768E-2</v>
      </c>
      <c r="O109" s="343">
        <f t="shared" si="43"/>
        <v>1.0005097425578142</v>
      </c>
      <c r="P109" s="691">
        <f t="shared" si="44"/>
        <v>3.1922597661524332E-2</v>
      </c>
      <c r="Q109" s="336">
        <f t="shared" si="60"/>
        <v>6.3117547026303367</v>
      </c>
      <c r="R109" s="692">
        <f t="shared" si="45"/>
        <v>3.5367755347935681E-2</v>
      </c>
      <c r="S109" s="329">
        <f t="shared" si="46"/>
        <v>1.0004960118895925</v>
      </c>
      <c r="T109" s="330">
        <f t="shared" si="47"/>
        <v>3.234779092170021E-2</v>
      </c>
      <c r="U109" s="331">
        <f t="shared" si="48"/>
        <v>18.672072929988143</v>
      </c>
      <c r="V109" s="332">
        <f t="shared" si="49"/>
        <v>-112.01238746097076</v>
      </c>
      <c r="W109" s="334">
        <f t="shared" si="50"/>
        <v>67.987612539029243</v>
      </c>
      <c r="Y109" s="307">
        <f t="shared" si="51"/>
        <v>1000000000</v>
      </c>
      <c r="Z109" s="307">
        <f t="shared" si="52"/>
        <v>30199421.159999996</v>
      </c>
      <c r="AB109" s="333">
        <f t="shared" si="53"/>
        <v>25.072664987533066</v>
      </c>
      <c r="AC109" s="334">
        <f t="shared" si="54"/>
        <v>-36.707686168304221</v>
      </c>
      <c r="AE109" s="333">
        <f t="shared" si="55"/>
        <v>36.342827115138341</v>
      </c>
      <c r="AF109" s="334">
        <f t="shared" si="56"/>
        <v>-75.107308297252558</v>
      </c>
      <c r="AH109">
        <f t="shared" si="57"/>
        <v>0</v>
      </c>
      <c r="AI109">
        <f t="shared" si="61"/>
        <v>0</v>
      </c>
    </row>
    <row r="110" spans="1:35" x14ac:dyDescent="0.2">
      <c r="A110" s="335">
        <v>5559.4</v>
      </c>
      <c r="B110" s="352">
        <f t="shared" si="59"/>
        <v>5.5593999999999992</v>
      </c>
      <c r="C110" s="325">
        <f t="shared" si="31"/>
        <v>3.5903648091575899</v>
      </c>
      <c r="D110" s="326">
        <f t="shared" si="32"/>
        <v>1.2885401763568498</v>
      </c>
      <c r="E110" s="326">
        <f t="shared" si="33"/>
        <v>1.0000244028346883</v>
      </c>
      <c r="F110" s="327">
        <f t="shared" si="34"/>
        <v>6.9860344187610808E-3</v>
      </c>
      <c r="G110" s="326">
        <f t="shared" si="35"/>
        <v>1</v>
      </c>
      <c r="H110" s="327">
        <f t="shared" si="36"/>
        <v>0</v>
      </c>
      <c r="I110" s="325">
        <f t="shared" si="37"/>
        <v>7378.7672155848304</v>
      </c>
      <c r="J110" s="328">
        <f t="shared" si="38"/>
        <v>1.5706608028010038</v>
      </c>
      <c r="K110" s="336">
        <f t="shared" si="39"/>
        <v>1.7162236732681033</v>
      </c>
      <c r="L110" s="337">
        <f t="shared" si="40"/>
        <v>0.94878047943989441</v>
      </c>
      <c r="M110" s="325">
        <f t="shared" si="41"/>
        <v>1.0000904975727183</v>
      </c>
      <c r="N110" s="337">
        <f t="shared" si="42"/>
        <v>1.3452936363723637E-2</v>
      </c>
      <c r="O110" s="343">
        <f t="shared" si="43"/>
        <v>1.0005216816113822</v>
      </c>
      <c r="P110" s="691">
        <f t="shared" si="44"/>
        <v>3.2294114609667503E-2</v>
      </c>
      <c r="Q110" s="336">
        <f t="shared" si="60"/>
        <v>6.3118460206943094</v>
      </c>
      <c r="R110" s="692">
        <f t="shared" si="45"/>
        <v>3.5779308877495614E-2</v>
      </c>
      <c r="S110" s="329">
        <f t="shared" si="46"/>
        <v>1.0005076294376836</v>
      </c>
      <c r="T110" s="330">
        <f t="shared" si="47"/>
        <v>3.2724270297581827E-2</v>
      </c>
      <c r="U110" s="331">
        <f t="shared" si="48"/>
        <v>18.544843397922634</v>
      </c>
      <c r="V110" s="332">
        <f t="shared" si="49"/>
        <v>-111.90420754297972</v>
      </c>
      <c r="W110" s="334">
        <f t="shared" si="50"/>
        <v>68.095792457020281</v>
      </c>
      <c r="Y110" s="307">
        <f t="shared" si="51"/>
        <v>1000000000</v>
      </c>
      <c r="Z110" s="307">
        <f t="shared" si="52"/>
        <v>30906928.359999996</v>
      </c>
      <c r="AB110" s="333">
        <f t="shared" si="53"/>
        <v>25.038239959469486</v>
      </c>
      <c r="AC110" s="334">
        <f t="shared" si="54"/>
        <v>-36.40191440811715</v>
      </c>
      <c r="AE110" s="333">
        <f t="shared" si="55"/>
        <v>36.250044629274726</v>
      </c>
      <c r="AF110" s="334">
        <f t="shared" si="56"/>
        <v>-75.302606212304667</v>
      </c>
      <c r="AH110">
        <f t="shared" si="57"/>
        <v>0</v>
      </c>
      <c r="AI110">
        <f t="shared" si="61"/>
        <v>0</v>
      </c>
    </row>
    <row r="111" spans="1:35" x14ac:dyDescent="0.2">
      <c r="A111" s="335">
        <v>5623.4</v>
      </c>
      <c r="B111" s="352">
        <f t="shared" si="59"/>
        <v>5.6233999999999993</v>
      </c>
      <c r="C111" s="325">
        <f t="shared" si="31"/>
        <v>3.628507686219399</v>
      </c>
      <c r="D111" s="326">
        <f t="shared" si="32"/>
        <v>1.2915873006098268</v>
      </c>
      <c r="E111" s="326">
        <f t="shared" si="33"/>
        <v>1.0000249679141757</v>
      </c>
      <c r="F111" s="327">
        <f t="shared" si="34"/>
        <v>7.0664552202035812E-3</v>
      </c>
      <c r="G111" s="326">
        <f t="shared" si="35"/>
        <v>1</v>
      </c>
      <c r="H111" s="327">
        <f t="shared" si="36"/>
        <v>0</v>
      </c>
      <c r="I111" s="325">
        <f t="shared" si="37"/>
        <v>7463.7118306823677</v>
      </c>
      <c r="J111" s="328">
        <f t="shared" si="38"/>
        <v>1.5706623452015986</v>
      </c>
      <c r="K111" s="336">
        <f t="shared" si="39"/>
        <v>1.7292984369110229</v>
      </c>
      <c r="L111" s="337">
        <f t="shared" si="40"/>
        <v>0.95419073068381643</v>
      </c>
      <c r="M111" s="325">
        <f t="shared" si="41"/>
        <v>1.000092593091281</v>
      </c>
      <c r="N111" s="337">
        <f t="shared" si="42"/>
        <v>1.3607788011154094E-2</v>
      </c>
      <c r="O111" s="343">
        <f t="shared" si="43"/>
        <v>1.0005337587584913</v>
      </c>
      <c r="P111" s="691">
        <f t="shared" si="44"/>
        <v>3.2665622640144568E-2</v>
      </c>
      <c r="Q111" s="336">
        <f t="shared" si="60"/>
        <v>6.3119383947570178</v>
      </c>
      <c r="R111" s="692">
        <f t="shared" si="45"/>
        <v>3.6190850503879463E-2</v>
      </c>
      <c r="S111" s="329">
        <f t="shared" si="46"/>
        <v>1.0005193813648245</v>
      </c>
      <c r="T111" s="330">
        <f t="shared" si="47"/>
        <v>3.3100741122889153E-2</v>
      </c>
      <c r="U111" s="331">
        <f t="shared" si="48"/>
        <v>18.419416572863035</v>
      </c>
      <c r="V111" s="332">
        <f t="shared" si="49"/>
        <v>-111.79702723169184</v>
      </c>
      <c r="W111" s="334">
        <f t="shared" si="50"/>
        <v>68.202972768308157</v>
      </c>
      <c r="Y111" s="307">
        <f t="shared" si="51"/>
        <v>1000000000</v>
      </c>
      <c r="Z111" s="307">
        <f t="shared" si="52"/>
        <v>31622627.559999995</v>
      </c>
      <c r="AB111" s="333">
        <f t="shared" si="53"/>
        <v>25.00472189858008</v>
      </c>
      <c r="AC111" s="334">
        <f t="shared" si="54"/>
        <v>-36.100890564283851</v>
      </c>
      <c r="AE111" s="333">
        <f t="shared" si="55"/>
        <v>36.158158137001323</v>
      </c>
      <c r="AF111" s="334">
        <f t="shared" si="56"/>
        <v>-75.494155988763282</v>
      </c>
      <c r="AH111">
        <f t="shared" si="57"/>
        <v>0</v>
      </c>
      <c r="AI111">
        <f t="shared" si="61"/>
        <v>0</v>
      </c>
    </row>
    <row r="112" spans="1:35" x14ac:dyDescent="0.2">
      <c r="A112" s="335">
        <v>5688.9</v>
      </c>
      <c r="B112" s="352">
        <f t="shared" si="59"/>
        <v>5.6888999999999994</v>
      </c>
      <c r="C112" s="325">
        <f t="shared" si="31"/>
        <v>3.6675786869321492</v>
      </c>
      <c r="D112" s="326">
        <f t="shared" si="32"/>
        <v>1.2946401869146715</v>
      </c>
      <c r="E112" s="326">
        <f t="shared" si="33"/>
        <v>1.0000255529345281</v>
      </c>
      <c r="F112" s="327">
        <f t="shared" si="34"/>
        <v>7.1487607895267856E-3</v>
      </c>
      <c r="G112" s="326">
        <f t="shared" si="35"/>
        <v>1</v>
      </c>
      <c r="H112" s="327">
        <f t="shared" si="36"/>
        <v>0</v>
      </c>
      <c r="I112" s="325">
        <f t="shared" si="37"/>
        <v>7550.6473352142202</v>
      </c>
      <c r="J112" s="328">
        <f t="shared" si="38"/>
        <v>1.5706638878186701</v>
      </c>
      <c r="K112" s="336">
        <f t="shared" si="39"/>
        <v>1.7427312551900564</v>
      </c>
      <c r="L112" s="337">
        <f t="shared" si="40"/>
        <v>0.9596435644882747</v>
      </c>
      <c r="M112" s="325">
        <f t="shared" si="41"/>
        <v>1.0000947625543846</v>
      </c>
      <c r="N112" s="337">
        <f t="shared" si="42"/>
        <v>1.3766268318246793E-2</v>
      </c>
      <c r="O112" s="343">
        <f t="shared" si="43"/>
        <v>1.0005462619448378</v>
      </c>
      <c r="P112" s="691">
        <f t="shared" si="44"/>
        <v>3.3045828549785099E-2</v>
      </c>
      <c r="Q112" s="336">
        <f t="shared" si="60"/>
        <v>6.3120340272021735</v>
      </c>
      <c r="R112" s="692">
        <f t="shared" si="45"/>
        <v>3.6612025169957527E-2</v>
      </c>
      <c r="S112" s="329">
        <f t="shared" si="46"/>
        <v>1.0005315478630534</v>
      </c>
      <c r="T112" s="330">
        <f t="shared" si="47"/>
        <v>3.348602652734111E-2</v>
      </c>
      <c r="U112" s="331">
        <f t="shared" si="48"/>
        <v>18.292869238453001</v>
      </c>
      <c r="V112" s="332">
        <f t="shared" si="49"/>
        <v>-111.68839580963304</v>
      </c>
      <c r="W112" s="334">
        <f t="shared" si="50"/>
        <v>68.311604190366964</v>
      </c>
      <c r="Y112" s="307">
        <f t="shared" si="51"/>
        <v>1000000000</v>
      </c>
      <c r="Z112" s="307">
        <f t="shared" si="52"/>
        <v>32363583.209999997</v>
      </c>
      <c r="AB112" s="333">
        <f t="shared" si="53"/>
        <v>24.971326019037026</v>
      </c>
      <c r="AC112" s="334">
        <f t="shared" si="54"/>
        <v>-35.797634838735569</v>
      </c>
      <c r="AE112" s="333">
        <f t="shared" si="55"/>
        <v>36.065029738735539</v>
      </c>
      <c r="AF112" s="334">
        <f t="shared" si="56"/>
        <v>-75.686432955414318</v>
      </c>
      <c r="AH112">
        <f t="shared" si="57"/>
        <v>0</v>
      </c>
      <c r="AI112">
        <f t="shared" si="61"/>
        <v>0</v>
      </c>
    </row>
    <row r="113" spans="1:35" x14ac:dyDescent="0.2">
      <c r="A113" s="335">
        <v>5754.4</v>
      </c>
      <c r="B113" s="352">
        <f t="shared" si="59"/>
        <v>5.7543999999999995</v>
      </c>
      <c r="C113" s="325">
        <f t="shared" si="31"/>
        <v>3.7066831491065919</v>
      </c>
      <c r="D113" s="326">
        <f t="shared" si="32"/>
        <v>1.2976286864055957</v>
      </c>
      <c r="E113" s="326">
        <f t="shared" si="33"/>
        <v>1.0000261447292524</v>
      </c>
      <c r="F113" s="327">
        <f t="shared" si="34"/>
        <v>7.2310662619940866E-3</v>
      </c>
      <c r="G113" s="326">
        <f t="shared" si="35"/>
        <v>1</v>
      </c>
      <c r="H113" s="327">
        <f t="shared" si="36"/>
        <v>0</v>
      </c>
      <c r="I113" s="325">
        <f t="shared" si="37"/>
        <v>7637.5828397636324</v>
      </c>
      <c r="J113" s="328">
        <f t="shared" si="38"/>
        <v>1.5706653953177738</v>
      </c>
      <c r="K113" s="336">
        <f t="shared" si="39"/>
        <v>1.756215097224251</v>
      </c>
      <c r="L113" s="337">
        <f t="shared" si="40"/>
        <v>0.96501282453407833</v>
      </c>
      <c r="M113" s="325">
        <f t="shared" si="41"/>
        <v>1.000096957135767</v>
      </c>
      <c r="N113" s="337">
        <f t="shared" si="42"/>
        <v>1.3924747933791427E-2</v>
      </c>
      <c r="O113" s="343">
        <f t="shared" si="43"/>
        <v>1.0005589097630567</v>
      </c>
      <c r="P113" s="691">
        <f t="shared" si="44"/>
        <v>3.3426024902206232E-2</v>
      </c>
      <c r="Q113" s="336">
        <f t="shared" si="60"/>
        <v>6.3121307656272627</v>
      </c>
      <c r="R113" s="692">
        <f t="shared" si="45"/>
        <v>3.7033187079458955E-2</v>
      </c>
      <c r="S113" s="329">
        <f t="shared" si="46"/>
        <v>1.0005438551031034</v>
      </c>
      <c r="T113" s="330">
        <f t="shared" si="47"/>
        <v>3.3871302767967487E-2</v>
      </c>
      <c r="U113" s="331">
        <f t="shared" si="48"/>
        <v>18.168115458566703</v>
      </c>
      <c r="V113" s="332">
        <f t="shared" si="49"/>
        <v>-111.58086096398767</v>
      </c>
      <c r="W113" s="334">
        <f t="shared" si="50"/>
        <v>68.419139036012325</v>
      </c>
      <c r="Y113" s="307">
        <f t="shared" si="51"/>
        <v>1000000000</v>
      </c>
      <c r="Z113" s="307">
        <f t="shared" si="52"/>
        <v>33113119.359999996</v>
      </c>
      <c r="AB113" s="333">
        <f t="shared" si="53"/>
        <v>24.938817731432454</v>
      </c>
      <c r="AC113" s="334">
        <f t="shared" si="54"/>
        <v>-35.499165485107568</v>
      </c>
      <c r="AE113" s="333">
        <f t="shared" si="55"/>
        <v>35.972807568760949</v>
      </c>
      <c r="AF113" s="334">
        <f t="shared" si="56"/>
        <v>-75.87502030986812</v>
      </c>
      <c r="AH113">
        <f t="shared" si="57"/>
        <v>0</v>
      </c>
      <c r="AI113">
        <f t="shared" si="61"/>
        <v>0</v>
      </c>
    </row>
    <row r="114" spans="1:35" x14ac:dyDescent="0.2">
      <c r="A114" s="335">
        <v>5821.4</v>
      </c>
      <c r="B114" s="352">
        <f t="shared" si="59"/>
        <v>5.8213999999999997</v>
      </c>
      <c r="C114" s="325">
        <f t="shared" si="31"/>
        <v>3.7467166607351907</v>
      </c>
      <c r="D114" s="326">
        <f t="shared" si="32"/>
        <v>1.3006210563177907</v>
      </c>
      <c r="E114" s="326">
        <f t="shared" si="33"/>
        <v>1.0000267570853707</v>
      </c>
      <c r="F114" s="327">
        <f t="shared" si="34"/>
        <v>7.3152564912387519E-3</v>
      </c>
      <c r="G114" s="326">
        <f t="shared" si="35"/>
        <v>1</v>
      </c>
      <c r="H114" s="327">
        <f t="shared" si="36"/>
        <v>0</v>
      </c>
      <c r="I114" s="325">
        <f t="shared" si="37"/>
        <v>7726.5092337477554</v>
      </c>
      <c r="J114" s="328">
        <f t="shared" si="38"/>
        <v>1.5706669022420308</v>
      </c>
      <c r="K114" s="336">
        <f t="shared" si="39"/>
        <v>1.7700593037405636</v>
      </c>
      <c r="L114" s="337">
        <f t="shared" si="40"/>
        <v>0.97042025039715374</v>
      </c>
      <c r="M114" s="325">
        <f t="shared" si="41"/>
        <v>1.0000992279622722</v>
      </c>
      <c r="N114" s="337">
        <f t="shared" si="42"/>
        <v>1.4086856129729642E-2</v>
      </c>
      <c r="O114" s="343">
        <f t="shared" si="43"/>
        <v>1.000571996858318</v>
      </c>
      <c r="P114" s="691">
        <f t="shared" si="44"/>
        <v>3.3814918039090411E-2</v>
      </c>
      <c r="Q114" s="336">
        <f t="shared" si="60"/>
        <v>6.3122308636447517</v>
      </c>
      <c r="R114" s="692">
        <f t="shared" si="45"/>
        <v>3.7463980567767084E-2</v>
      </c>
      <c r="S114" s="329">
        <f t="shared" si="46"/>
        <v>1.0005565897963167</v>
      </c>
      <c r="T114" s="330">
        <f t="shared" si="47"/>
        <v>3.4265392538072537E-2</v>
      </c>
      <c r="U114" s="331">
        <f t="shared" si="48"/>
        <v>18.042312950442188</v>
      </c>
      <c r="V114" s="332">
        <f t="shared" si="49"/>
        <v>-111.47201955550265</v>
      </c>
      <c r="W114" s="334">
        <f t="shared" si="50"/>
        <v>68.527980444497345</v>
      </c>
      <c r="Y114" s="307">
        <f t="shared" si="51"/>
        <v>1000000000</v>
      </c>
      <c r="Z114" s="307">
        <f t="shared" si="52"/>
        <v>33888697.959999993</v>
      </c>
      <c r="AB114" s="333">
        <f t="shared" si="53"/>
        <v>24.906452343806357</v>
      </c>
      <c r="AC114" s="334">
        <f t="shared" si="54"/>
        <v>-35.198717260631859</v>
      </c>
      <c r="AE114" s="333">
        <f t="shared" si="55"/>
        <v>35.879394579524629</v>
      </c>
      <c r="AF114" s="334">
        <f t="shared" si="56"/>
        <v>-76.064226412559364</v>
      </c>
      <c r="AH114">
        <f t="shared" si="57"/>
        <v>0</v>
      </c>
      <c r="AI114">
        <f t="shared" si="61"/>
        <v>0</v>
      </c>
    </row>
    <row r="115" spans="1:35" x14ac:dyDescent="0.2">
      <c r="A115" s="335">
        <v>5888.4</v>
      </c>
      <c r="B115" s="352">
        <f t="shared" si="59"/>
        <v>5.8883999999999999</v>
      </c>
      <c r="C115" s="325">
        <f t="shared" si="31"/>
        <v>3.7867830119754511</v>
      </c>
      <c r="D115" s="326">
        <f t="shared" si="32"/>
        <v>1.3035501299936452</v>
      </c>
      <c r="E115" s="326">
        <f t="shared" si="33"/>
        <v>1.0000273765296648</v>
      </c>
      <c r="F115" s="327">
        <f t="shared" si="34"/>
        <v>7.3994466167806973E-3</v>
      </c>
      <c r="G115" s="326">
        <f t="shared" si="35"/>
        <v>1</v>
      </c>
      <c r="H115" s="327">
        <f t="shared" si="36"/>
        <v>0</v>
      </c>
      <c r="I115" s="325">
        <f t="shared" si="37"/>
        <v>7815.4356277490251</v>
      </c>
      <c r="J115" s="328">
        <f t="shared" si="38"/>
        <v>1.5706683748738062</v>
      </c>
      <c r="K115" s="336">
        <f t="shared" si="39"/>
        <v>1.7839544630563919</v>
      </c>
      <c r="L115" s="337">
        <f t="shared" si="40"/>
        <v>0.97574359340081529</v>
      </c>
      <c r="M115" s="325">
        <f t="shared" si="41"/>
        <v>1.0001015250703327</v>
      </c>
      <c r="N115" s="337">
        <f t="shared" si="42"/>
        <v>1.424896358524339E-2</v>
      </c>
      <c r="O115" s="343">
        <f t="shared" si="43"/>
        <v>1.000585235273987</v>
      </c>
      <c r="P115" s="691">
        <f t="shared" si="44"/>
        <v>3.4203800944151562E-2</v>
      </c>
      <c r="Q115" s="336">
        <f t="shared" si="60"/>
        <v>6.312332118769528</v>
      </c>
      <c r="R115" s="692">
        <f t="shared" si="45"/>
        <v>3.7894760399364298E-2</v>
      </c>
      <c r="S115" s="329">
        <f t="shared" si="46"/>
        <v>1.0005694717403293</v>
      </c>
      <c r="T115" s="330">
        <f t="shared" si="47"/>
        <v>3.4659472497488471E-2</v>
      </c>
      <c r="U115" s="331">
        <f t="shared" si="48"/>
        <v>17.918292469146884</v>
      </c>
      <c r="V115" s="332">
        <f t="shared" si="49"/>
        <v>-111.36436637315281</v>
      </c>
      <c r="W115" s="334">
        <f t="shared" si="50"/>
        <v>68.635633626847195</v>
      </c>
      <c r="Y115" s="307">
        <f t="shared" si="51"/>
        <v>1000000000</v>
      </c>
      <c r="Z115" s="307">
        <f t="shared" si="52"/>
        <v>34673254.559999995</v>
      </c>
      <c r="AB115" s="333">
        <f t="shared" si="53"/>
        <v>24.874954091864304</v>
      </c>
      <c r="AC115" s="334">
        <f t="shared" si="54"/>
        <v>-34.903084621897804</v>
      </c>
      <c r="AE115" s="333">
        <f t="shared" si="55"/>
        <v>35.786896759353375</v>
      </c>
      <c r="AF115" s="334">
        <f t="shared" si="56"/>
        <v>-76.24980535187575</v>
      </c>
      <c r="AH115">
        <f t="shared" si="57"/>
        <v>0</v>
      </c>
      <c r="AI115">
        <f t="shared" si="61"/>
        <v>0</v>
      </c>
    </row>
    <row r="116" spans="1:35" x14ac:dyDescent="0.2">
      <c r="A116" s="335">
        <v>5957</v>
      </c>
      <c r="B116" s="352">
        <f t="shared" si="59"/>
        <v>5.9569999999999999</v>
      </c>
      <c r="C116" s="325">
        <f t="shared" si="31"/>
        <v>3.8278391199746844</v>
      </c>
      <c r="D116" s="326">
        <f t="shared" si="32"/>
        <v>1.3064855941816746</v>
      </c>
      <c r="E116" s="326">
        <f t="shared" si="33"/>
        <v>1.0000280181107459</v>
      </c>
      <c r="F116" s="327">
        <f t="shared" si="34"/>
        <v>7.4856471440901242E-3</v>
      </c>
      <c r="G116" s="326">
        <f t="shared" si="35"/>
        <v>1</v>
      </c>
      <c r="H116" s="327">
        <f t="shared" si="36"/>
        <v>0</v>
      </c>
      <c r="I116" s="325">
        <f t="shared" si="37"/>
        <v>7906.4856371465903</v>
      </c>
      <c r="J116" s="328">
        <f t="shared" si="38"/>
        <v>1.5706698483506725</v>
      </c>
      <c r="K116" s="336">
        <f t="shared" si="39"/>
        <v>1.7982330060054266</v>
      </c>
      <c r="L116" s="337">
        <f t="shared" si="40"/>
        <v>0.98110866655461393</v>
      </c>
      <c r="M116" s="325">
        <f t="shared" si="41"/>
        <v>1.0001039042649935</v>
      </c>
      <c r="N116" s="337">
        <f t="shared" si="42"/>
        <v>1.4414941487524599E-2</v>
      </c>
      <c r="O116" s="343">
        <f t="shared" si="43"/>
        <v>1.0005989466086407</v>
      </c>
      <c r="P116" s="691">
        <f t="shared" si="44"/>
        <v>3.4601959881489203E-2</v>
      </c>
      <c r="Q116" s="336">
        <f t="shared" si="60"/>
        <v>6.3124369907548381</v>
      </c>
      <c r="R116" s="692">
        <f t="shared" si="45"/>
        <v>3.8335813197497126E-2</v>
      </c>
      <c r="S116" s="329">
        <f t="shared" si="46"/>
        <v>1.0005828138743762</v>
      </c>
      <c r="T116" s="330">
        <f t="shared" si="47"/>
        <v>3.5062953039304123E-2</v>
      </c>
      <c r="U116" s="331">
        <f t="shared" si="48"/>
        <v>17.793109234814231</v>
      </c>
      <c r="V116" s="332">
        <f t="shared" si="49"/>
        <v>-111.25539073366697</v>
      </c>
      <c r="W116" s="334">
        <f t="shared" si="50"/>
        <v>68.744609266333029</v>
      </c>
      <c r="Y116" s="307">
        <f t="shared" si="51"/>
        <v>1000000000</v>
      </c>
      <c r="Z116" s="307">
        <f t="shared" si="52"/>
        <v>35485849</v>
      </c>
      <c r="AB116" s="333">
        <f t="shared" si="53"/>
        <v>24.843571514661576</v>
      </c>
      <c r="AC116" s="334">
        <f t="shared" si="54"/>
        <v>-34.6052828303647</v>
      </c>
      <c r="AE116" s="333">
        <f t="shared" si="55"/>
        <v>35.693121382214684</v>
      </c>
      <c r="AF116" s="334">
        <f t="shared" si="56"/>
        <v>-76.436173866729646</v>
      </c>
      <c r="AH116">
        <f t="shared" si="57"/>
        <v>0</v>
      </c>
      <c r="AI116">
        <f t="shared" si="61"/>
        <v>0</v>
      </c>
    </row>
    <row r="117" spans="1:35" x14ac:dyDescent="0.2">
      <c r="A117" s="335">
        <v>6025.6</v>
      </c>
      <c r="B117" s="352">
        <f t="shared" si="59"/>
        <v>6.0256000000000007</v>
      </c>
      <c r="C117" s="325">
        <f t="shared" si="31"/>
        <v>3.8689275120659614</v>
      </c>
      <c r="D117" s="326">
        <f t="shared" si="32"/>
        <v>1.3093587328523055</v>
      </c>
      <c r="E117" s="326">
        <f t="shared" si="33"/>
        <v>1.0000286671225569</v>
      </c>
      <c r="F117" s="327">
        <f t="shared" si="34"/>
        <v>7.5718475601529514E-3</v>
      </c>
      <c r="G117" s="326">
        <f t="shared" si="35"/>
        <v>1</v>
      </c>
      <c r="H117" s="327">
        <f t="shared" si="36"/>
        <v>0</v>
      </c>
      <c r="I117" s="325">
        <f t="shared" si="37"/>
        <v>7997.5356465609302</v>
      </c>
      <c r="J117" s="328">
        <f t="shared" si="38"/>
        <v>1.5706712882771832</v>
      </c>
      <c r="K117" s="336">
        <f t="shared" si="39"/>
        <v>1.8125624929610336</v>
      </c>
      <c r="L117" s="337">
        <f t="shared" si="40"/>
        <v>0.98638906091152367</v>
      </c>
      <c r="M117" s="325">
        <f t="shared" si="41"/>
        <v>1.0001063110110497</v>
      </c>
      <c r="N117" s="337">
        <f t="shared" si="42"/>
        <v>1.4580918595529841E-2</v>
      </c>
      <c r="O117" s="343">
        <f t="shared" si="43"/>
        <v>1.000612816564423</v>
      </c>
      <c r="P117" s="691">
        <f t="shared" si="44"/>
        <v>3.5000107843814632E-2</v>
      </c>
      <c r="Q117" s="336">
        <f t="shared" si="60"/>
        <v>6.3125430756533278</v>
      </c>
      <c r="R117" s="692">
        <f t="shared" si="45"/>
        <v>3.8776851347298039E-2</v>
      </c>
      <c r="S117" s="329">
        <f t="shared" si="46"/>
        <v>1.000596310363971</v>
      </c>
      <c r="T117" s="330">
        <f t="shared" si="47"/>
        <v>3.5466423057799193E-2</v>
      </c>
      <c r="U117" s="331">
        <f t="shared" si="48"/>
        <v>17.669699432805203</v>
      </c>
      <c r="V117" s="332">
        <f t="shared" si="49"/>
        <v>-111.14769306791966</v>
      </c>
      <c r="W117" s="334">
        <f t="shared" si="50"/>
        <v>68.852306932080339</v>
      </c>
      <c r="Y117" s="307">
        <f t="shared" si="51"/>
        <v>1000000000</v>
      </c>
      <c r="Z117" s="307">
        <f t="shared" si="52"/>
        <v>36307855.360000007</v>
      </c>
      <c r="AB117" s="333">
        <f t="shared" si="53"/>
        <v>24.813037133506221</v>
      </c>
      <c r="AC117" s="334">
        <f t="shared" si="54"/>
        <v>-34.312330808710698</v>
      </c>
      <c r="AE117" s="333">
        <f t="shared" si="55"/>
        <v>35.600271532600026</v>
      </c>
      <c r="AF117" s="334">
        <f t="shared" si="56"/>
        <v>-76.618970795908666</v>
      </c>
      <c r="AH117">
        <f t="shared" si="57"/>
        <v>0</v>
      </c>
      <c r="AI117">
        <f t="shared" si="61"/>
        <v>0</v>
      </c>
    </row>
    <row r="118" spans="1:35" x14ac:dyDescent="0.2">
      <c r="A118" s="335">
        <v>6095.8</v>
      </c>
      <c r="B118" s="352">
        <f t="shared" si="59"/>
        <v>6.0958000000000006</v>
      </c>
      <c r="C118" s="325">
        <f t="shared" si="31"/>
        <v>3.9110065947643755</v>
      </c>
      <c r="D118" s="326">
        <f t="shared" si="32"/>
        <v>1.3122363612728538</v>
      </c>
      <c r="E118" s="326">
        <f t="shared" si="33"/>
        <v>1.0000293389643722</v>
      </c>
      <c r="F118" s="327">
        <f t="shared" si="34"/>
        <v>7.6600583650415473E-3</v>
      </c>
      <c r="G118" s="326">
        <f t="shared" si="35"/>
        <v>1</v>
      </c>
      <c r="H118" s="327">
        <f t="shared" si="36"/>
        <v>0</v>
      </c>
      <c r="I118" s="325">
        <f t="shared" si="37"/>
        <v>8090.7092713719721</v>
      </c>
      <c r="J118" s="328">
        <f t="shared" si="38"/>
        <v>1.5706727282364754</v>
      </c>
      <c r="K118" s="336">
        <f t="shared" si="39"/>
        <v>1.8272776850818198</v>
      </c>
      <c r="L118" s="337">
        <f t="shared" si="40"/>
        <v>0.99170672374494606</v>
      </c>
      <c r="M118" s="325">
        <f t="shared" si="41"/>
        <v>1.0001088024137028</v>
      </c>
      <c r="N118" s="337">
        <f t="shared" si="42"/>
        <v>1.4750766057912722E-2</v>
      </c>
      <c r="O118" s="343">
        <f t="shared" si="43"/>
        <v>1.0006271742245345</v>
      </c>
      <c r="P118" s="691">
        <f t="shared" si="44"/>
        <v>3.540753056280966E-2</v>
      </c>
      <c r="Q118" s="336">
        <f t="shared" si="60"/>
        <v>6.3126528904487422</v>
      </c>
      <c r="R118" s="692">
        <f t="shared" si="45"/>
        <v>3.9228160761427516E-2</v>
      </c>
      <c r="S118" s="329">
        <f t="shared" si="46"/>
        <v>1.0006102814317241</v>
      </c>
      <c r="T118" s="330">
        <f t="shared" si="47"/>
        <v>3.5879292435554287E-2</v>
      </c>
      <c r="U118" s="331">
        <f t="shared" si="48"/>
        <v>17.545199784958953</v>
      </c>
      <c r="V118" s="332">
        <f t="shared" si="49"/>
        <v>-111.03881952883255</v>
      </c>
      <c r="W118" s="334">
        <f t="shared" si="50"/>
        <v>68.961180471167452</v>
      </c>
      <c r="Y118" s="307">
        <f t="shared" si="51"/>
        <v>1000000000</v>
      </c>
      <c r="Z118" s="307">
        <f t="shared" si="52"/>
        <v>37158777.640000001</v>
      </c>
      <c r="AB118" s="333">
        <f t="shared" si="53"/>
        <v>24.782638504866018</v>
      </c>
      <c r="AC118" s="334">
        <f t="shared" si="54"/>
        <v>-34.017465217490738</v>
      </c>
      <c r="AE118" s="333">
        <f t="shared" si="55"/>
        <v>35.50619698250712</v>
      </c>
      <c r="AF118" s="334">
        <f t="shared" si="56"/>
        <v>-76.802448325630621</v>
      </c>
      <c r="AH118">
        <f t="shared" si="57"/>
        <v>0</v>
      </c>
      <c r="AI118">
        <f t="shared" si="61"/>
        <v>0</v>
      </c>
    </row>
    <row r="119" spans="1:35" x14ac:dyDescent="0.2">
      <c r="A119" s="335">
        <v>6166</v>
      </c>
      <c r="B119" s="352">
        <f t="shared" si="59"/>
        <v>6.1660000000000004</v>
      </c>
      <c r="C119" s="325">
        <f t="shared" si="31"/>
        <v>3.9531173738892433</v>
      </c>
      <c r="D119" s="326">
        <f t="shared" si="32"/>
        <v>1.3150527044433833</v>
      </c>
      <c r="E119" s="326">
        <f t="shared" si="33"/>
        <v>1.0000300185875517</v>
      </c>
      <c r="F119" s="327">
        <f t="shared" si="34"/>
        <v>7.748269050719906E-3</v>
      </c>
      <c r="G119" s="326">
        <f t="shared" si="35"/>
        <v>1</v>
      </c>
      <c r="H119" s="327">
        <f t="shared" si="36"/>
        <v>0</v>
      </c>
      <c r="I119" s="325">
        <f t="shared" si="37"/>
        <v>8183.8828961994086</v>
      </c>
      <c r="J119" s="328">
        <f t="shared" si="38"/>
        <v>1.5706741354078531</v>
      </c>
      <c r="K119" s="336">
        <f t="shared" si="39"/>
        <v>1.8420437217248211</v>
      </c>
      <c r="L119" s="337">
        <f t="shared" si="40"/>
        <v>0.99693927856759579</v>
      </c>
      <c r="M119" s="325">
        <f t="shared" si="41"/>
        <v>1.0001113226675111</v>
      </c>
      <c r="N119" s="337">
        <f t="shared" si="42"/>
        <v>1.492061266917321E-2</v>
      </c>
      <c r="O119" s="343">
        <f t="shared" si="43"/>
        <v>1.0006416979772421</v>
      </c>
      <c r="P119" s="691">
        <f t="shared" si="44"/>
        <v>3.5814941522406281E-2</v>
      </c>
      <c r="Q119" s="336">
        <f t="shared" si="60"/>
        <v>6.3127639752658906</v>
      </c>
      <c r="R119" s="692">
        <f t="shared" si="45"/>
        <v>3.9679454480682087E-2</v>
      </c>
      <c r="S119" s="329">
        <f t="shared" si="46"/>
        <v>1.0006244141259815</v>
      </c>
      <c r="T119" s="330">
        <f t="shared" si="47"/>
        <v>3.6292150537849857E-2</v>
      </c>
      <c r="U119" s="331">
        <f t="shared" si="48"/>
        <v>17.422462580690329</v>
      </c>
      <c r="V119" s="332">
        <f t="shared" si="49"/>
        <v>-110.93130814132745</v>
      </c>
      <c r="W119" s="334">
        <f t="shared" si="50"/>
        <v>69.068691858672551</v>
      </c>
      <c r="Y119" s="307">
        <f t="shared" si="51"/>
        <v>1000000000</v>
      </c>
      <c r="Z119" s="307">
        <f t="shared" si="52"/>
        <v>38019556</v>
      </c>
      <c r="AB119" s="333">
        <f t="shared" si="53"/>
        <v>24.753068073231567</v>
      </c>
      <c r="AC119" s="334">
        <f t="shared" si="54"/>
        <v>-33.727474028721538</v>
      </c>
      <c r="AE119" s="333">
        <f t="shared" si="55"/>
        <v>35.413056983863711</v>
      </c>
      <c r="AF119" s="334">
        <f t="shared" si="56"/>
        <v>-76.982413829970085</v>
      </c>
      <c r="AH119">
        <f t="shared" si="57"/>
        <v>0</v>
      </c>
      <c r="AI119">
        <f t="shared" si="61"/>
        <v>0</v>
      </c>
    </row>
    <row r="120" spans="1:35" x14ac:dyDescent="0.2">
      <c r="A120" s="335">
        <v>6237.8</v>
      </c>
      <c r="B120" s="352">
        <f t="shared" si="59"/>
        <v>6.2378</v>
      </c>
      <c r="C120" s="325">
        <f t="shared" si="31"/>
        <v>3.9962196867350173</v>
      </c>
      <c r="D120" s="326">
        <f t="shared" si="32"/>
        <v>1.3178718149417248</v>
      </c>
      <c r="E120" s="326">
        <f t="shared" si="33"/>
        <v>1.0000307217501159</v>
      </c>
      <c r="F120" s="327">
        <f t="shared" si="34"/>
        <v>7.8384901116094041E-3</v>
      </c>
      <c r="G120" s="326">
        <f t="shared" si="35"/>
        <v>1</v>
      </c>
      <c r="H120" s="327">
        <f t="shared" si="36"/>
        <v>0</v>
      </c>
      <c r="I120" s="325">
        <f t="shared" si="37"/>
        <v>8279.1801364239109</v>
      </c>
      <c r="J120" s="328">
        <f t="shared" si="38"/>
        <v>1.5706755418879428</v>
      </c>
      <c r="K120" s="336">
        <f t="shared" si="39"/>
        <v>1.8571976381324191</v>
      </c>
      <c r="L120" s="337">
        <f t="shared" si="40"/>
        <v>1.002204875020215</v>
      </c>
      <c r="M120" s="325">
        <f t="shared" si="41"/>
        <v>1.0001139302077873</v>
      </c>
      <c r="N120" s="337">
        <f t="shared" si="42"/>
        <v>1.5094329537619772E-2</v>
      </c>
      <c r="O120" s="343">
        <f t="shared" si="43"/>
        <v>1.00065672456223</v>
      </c>
      <c r="P120" s="691">
        <f t="shared" si="44"/>
        <v>3.6231625896964166E-2</v>
      </c>
      <c r="Q120" s="336">
        <f t="shared" si="60"/>
        <v>6.3128789056320045</v>
      </c>
      <c r="R120" s="692">
        <f t="shared" si="45"/>
        <v>4.014101767391743E-2</v>
      </c>
      <c r="S120" s="329">
        <f t="shared" si="46"/>
        <v>1.0006390361199886</v>
      </c>
      <c r="T120" s="330">
        <f t="shared" si="47"/>
        <v>3.6714406712876874E-2</v>
      </c>
      <c r="U120" s="331">
        <f t="shared" si="48"/>
        <v>17.298703764971002</v>
      </c>
      <c r="V120" s="332">
        <f t="shared" si="49"/>
        <v>-110.82276422774061</v>
      </c>
      <c r="W120" s="334">
        <f t="shared" si="50"/>
        <v>69.177235772259394</v>
      </c>
      <c r="Y120" s="307">
        <f t="shared" si="51"/>
        <v>1000000000</v>
      </c>
      <c r="Z120" s="307">
        <f t="shared" si="52"/>
        <v>38910148.840000004</v>
      </c>
      <c r="AB120" s="333">
        <f t="shared" si="53"/>
        <v>24.723650686079836</v>
      </c>
      <c r="AC120" s="334">
        <f t="shared" si="54"/>
        <v>-33.435811403799455</v>
      </c>
      <c r="AE120" s="333">
        <f t="shared" si="55"/>
        <v>35.318743254838921</v>
      </c>
      <c r="AF120" s="334">
        <f t="shared" si="56"/>
        <v>-77.162961174402611</v>
      </c>
      <c r="AH120">
        <f t="shared" si="57"/>
        <v>0</v>
      </c>
      <c r="AI120">
        <f t="shared" si="61"/>
        <v>0</v>
      </c>
    </row>
    <row r="121" spans="1:35" x14ac:dyDescent="0.2">
      <c r="A121" s="335">
        <v>6309.6</v>
      </c>
      <c r="B121" s="352">
        <f t="shared" si="59"/>
        <v>6.3096000000000005</v>
      </c>
      <c r="C121" s="325">
        <f t="shared" si="31"/>
        <v>4.0393530811422638</v>
      </c>
      <c r="D121" s="326">
        <f t="shared" si="32"/>
        <v>1.3206307404039195</v>
      </c>
      <c r="E121" s="326">
        <f t="shared" si="33"/>
        <v>1.0000314330527587</v>
      </c>
      <c r="F121" s="327">
        <f t="shared" si="34"/>
        <v>7.9287110448883619E-3</v>
      </c>
      <c r="G121" s="326">
        <f t="shared" si="35"/>
        <v>1</v>
      </c>
      <c r="H121" s="327">
        <f t="shared" si="36"/>
        <v>0</v>
      </c>
      <c r="I121" s="325">
        <f t="shared" si="37"/>
        <v>8374.4773766644139</v>
      </c>
      <c r="J121" s="328">
        <f t="shared" si="38"/>
        <v>1.5706769163579943</v>
      </c>
      <c r="K121" s="336">
        <f t="shared" si="39"/>
        <v>1.8724022138100167</v>
      </c>
      <c r="L121" s="337">
        <f t="shared" si="40"/>
        <v>1.0073850961145157</v>
      </c>
      <c r="M121" s="325">
        <f t="shared" si="41"/>
        <v>1.0001165679288939</v>
      </c>
      <c r="N121" s="337">
        <f t="shared" si="42"/>
        <v>1.5268045494982148E-2</v>
      </c>
      <c r="O121" s="343">
        <f t="shared" si="43"/>
        <v>1.0006719248818745</v>
      </c>
      <c r="P121" s="691">
        <f t="shared" si="44"/>
        <v>3.6648297684899744E-2</v>
      </c>
      <c r="Q121" s="336">
        <f t="shared" si="60"/>
        <v>6.3129951644296556</v>
      </c>
      <c r="R121" s="692">
        <f t="shared" si="45"/>
        <v>4.0602564068631171E-2</v>
      </c>
      <c r="S121" s="329">
        <f t="shared" si="46"/>
        <v>1.0006538271775196</v>
      </c>
      <c r="T121" s="330">
        <f t="shared" si="47"/>
        <v>3.713665081922405E-2</v>
      </c>
      <c r="U121" s="331">
        <f t="shared" si="48"/>
        <v>17.176694223018046</v>
      </c>
      <c r="V121" s="332">
        <f t="shared" si="49"/>
        <v>-110.71566080156205</v>
      </c>
      <c r="W121" s="334">
        <f t="shared" si="50"/>
        <v>69.284339198437948</v>
      </c>
      <c r="Y121" s="307">
        <f t="shared" si="51"/>
        <v>1000000000</v>
      </c>
      <c r="Z121" s="307">
        <f t="shared" si="52"/>
        <v>39811052.160000004</v>
      </c>
      <c r="AB121" s="333">
        <f t="shared" si="53"/>
        <v>24.695040608683424</v>
      </c>
      <c r="AC121" s="334">
        <f t="shared" si="54"/>
        <v>-33.149038540347654</v>
      </c>
      <c r="AE121" s="333">
        <f t="shared" si="55"/>
        <v>35.22537180863344</v>
      </c>
      <c r="AF121" s="334">
        <f t="shared" si="56"/>
        <v>-77.340059486097246</v>
      </c>
      <c r="AH121">
        <f t="shared" si="57"/>
        <v>0</v>
      </c>
      <c r="AI121">
        <f t="shared" si="61"/>
        <v>0</v>
      </c>
    </row>
    <row r="122" spans="1:35" x14ac:dyDescent="0.2">
      <c r="A122" s="335">
        <v>6383.05</v>
      </c>
      <c r="B122" s="352">
        <f t="shared" si="59"/>
        <v>6.3830499999999999</v>
      </c>
      <c r="C122" s="325">
        <f t="shared" si="31"/>
        <v>4.083508836803615</v>
      </c>
      <c r="D122" s="326">
        <f t="shared" si="32"/>
        <v>1.3233927372583629</v>
      </c>
      <c r="E122" s="326">
        <f t="shared" si="33"/>
        <v>1.000032169124297</v>
      </c>
      <c r="F122" s="327">
        <f t="shared" si="34"/>
        <v>8.0210051668759864E-3</v>
      </c>
      <c r="G122" s="326">
        <f t="shared" si="35"/>
        <v>1</v>
      </c>
      <c r="H122" s="327">
        <f t="shared" si="36"/>
        <v>0</v>
      </c>
      <c r="I122" s="325">
        <f t="shared" si="37"/>
        <v>8471.9645952829906</v>
      </c>
      <c r="J122" s="328">
        <f t="shared" si="38"/>
        <v>1.5706782904184369</v>
      </c>
      <c r="K122" s="336">
        <f t="shared" si="39"/>
        <v>1.8880073410187848</v>
      </c>
      <c r="L122" s="337">
        <f t="shared" si="40"/>
        <v>1.0125978848062474</v>
      </c>
      <c r="M122" s="325">
        <f t="shared" si="41"/>
        <v>1.000119297495061</v>
      </c>
      <c r="N122" s="337">
        <f t="shared" si="42"/>
        <v>1.5445752578489862E-2</v>
      </c>
      <c r="O122" s="343">
        <f t="shared" si="43"/>
        <v>1.0006876542735266</v>
      </c>
      <c r="P122" s="691">
        <f t="shared" si="44"/>
        <v>3.7074531625370263E-2</v>
      </c>
      <c r="Q122" s="336">
        <f t="shared" si="60"/>
        <v>6.3131154694105973</v>
      </c>
      <c r="R122" s="692">
        <f t="shared" si="45"/>
        <v>4.1074699448594015E-2</v>
      </c>
      <c r="S122" s="329">
        <f t="shared" si="46"/>
        <v>1.0006691330690873</v>
      </c>
      <c r="T122" s="330">
        <f t="shared" si="47"/>
        <v>3.7568585674871785E-2</v>
      </c>
      <c r="U122" s="331">
        <f t="shared" si="48"/>
        <v>17.053643682436061</v>
      </c>
      <c r="V122" s="332">
        <f t="shared" si="49"/>
        <v>-110.60759130578153</v>
      </c>
      <c r="W122" s="334">
        <f t="shared" si="50"/>
        <v>69.392408694218474</v>
      </c>
      <c r="Y122" s="307">
        <f t="shared" si="51"/>
        <v>1000000000</v>
      </c>
      <c r="Z122" s="307">
        <f t="shared" si="52"/>
        <v>40743327.302500002</v>
      </c>
      <c r="AB122" s="333">
        <f t="shared" si="53"/>
        <v>24.666579186310855</v>
      </c>
      <c r="AC122" s="334">
        <f t="shared" si="54"/>
        <v>-32.860628342227081</v>
      </c>
      <c r="AE122" s="333">
        <f t="shared" si="55"/>
        <v>35.130811682465634</v>
      </c>
      <c r="AF122" s="334">
        <f t="shared" si="56"/>
        <v>-77.51777022967778</v>
      </c>
      <c r="AH122">
        <f t="shared" si="57"/>
        <v>0</v>
      </c>
      <c r="AI122">
        <f t="shared" si="61"/>
        <v>0</v>
      </c>
    </row>
    <row r="123" spans="1:35" x14ac:dyDescent="0.2">
      <c r="A123" s="335">
        <v>6456.5</v>
      </c>
      <c r="B123" s="352">
        <f t="shared" si="59"/>
        <v>6.4565000000000001</v>
      </c>
      <c r="C123" s="325">
        <f t="shared" si="31"/>
        <v>4.1276950774085677</v>
      </c>
      <c r="D123" s="326">
        <f t="shared" si="32"/>
        <v>1.3260956209971535</v>
      </c>
      <c r="E123" s="326">
        <f t="shared" si="33"/>
        <v>1.0000329137143018</v>
      </c>
      <c r="F123" s="327">
        <f t="shared" si="34"/>
        <v>8.113299152211751E-3</v>
      </c>
      <c r="G123" s="326">
        <f t="shared" si="35"/>
        <v>1</v>
      </c>
      <c r="H123" s="327">
        <f t="shared" si="36"/>
        <v>0</v>
      </c>
      <c r="I123" s="325">
        <f t="shared" si="37"/>
        <v>8569.4518139171978</v>
      </c>
      <c r="J123" s="328">
        <f t="shared" si="38"/>
        <v>1.5706796332158925</v>
      </c>
      <c r="K123" s="336">
        <f t="shared" si="39"/>
        <v>1.9036629294520933</v>
      </c>
      <c r="L123" s="337">
        <f t="shared" si="40"/>
        <v>1.0177250717129489</v>
      </c>
      <c r="M123" s="325">
        <f t="shared" si="41"/>
        <v>1.00012205864463</v>
      </c>
      <c r="N123" s="337">
        <f t="shared" si="42"/>
        <v>1.5623458686377567E-2</v>
      </c>
      <c r="O123" s="343">
        <f t="shared" si="43"/>
        <v>1.000703565459746</v>
      </c>
      <c r="P123" s="691">
        <f t="shared" si="44"/>
        <v>3.7500752089033612E-2</v>
      </c>
      <c r="Q123" s="336">
        <f t="shared" si="60"/>
        <v>6.3132371644244181</v>
      </c>
      <c r="R123" s="692">
        <f t="shared" si="45"/>
        <v>4.1546816842437308E-2</v>
      </c>
      <c r="S123" s="329">
        <f t="shared" si="46"/>
        <v>1.0006846158678759</v>
      </c>
      <c r="T123" s="330">
        <f t="shared" si="47"/>
        <v>3.8000507608241925E-2</v>
      </c>
      <c r="U123" s="331">
        <f t="shared" si="48"/>
        <v>16.932329605776079</v>
      </c>
      <c r="V123" s="332">
        <f t="shared" si="49"/>
        <v>-110.50103666089983</v>
      </c>
      <c r="W123" s="334">
        <f t="shared" si="50"/>
        <v>69.498963339100172</v>
      </c>
      <c r="Y123" s="307">
        <f t="shared" si="51"/>
        <v>1000000000</v>
      </c>
      <c r="Z123" s="307">
        <f t="shared" si="52"/>
        <v>41686392.25</v>
      </c>
      <c r="AB123" s="333">
        <f t="shared" si="53"/>
        <v>24.638904512800544</v>
      </c>
      <c r="AC123" s="334">
        <f t="shared" si="54"/>
        <v>-32.577120917976998</v>
      </c>
      <c r="AE123" s="333">
        <f t="shared" si="55"/>
        <v>35.037201604849692</v>
      </c>
      <c r="AF123" s="334">
        <f t="shared" si="56"/>
        <v>-77.69209330865128</v>
      </c>
      <c r="AH123">
        <f t="shared" si="57"/>
        <v>0</v>
      </c>
      <c r="AI123">
        <f t="shared" si="61"/>
        <v>0</v>
      </c>
    </row>
    <row r="124" spans="1:35" x14ac:dyDescent="0.2">
      <c r="A124" s="335">
        <v>6531.7</v>
      </c>
      <c r="B124" s="352">
        <f t="shared" si="59"/>
        <v>6.5316999999999998</v>
      </c>
      <c r="C124" s="325">
        <f t="shared" si="31"/>
        <v>4.172964659373676</v>
      </c>
      <c r="D124" s="326">
        <f t="shared" si="32"/>
        <v>1.3288035807226182</v>
      </c>
      <c r="E124" s="326">
        <f t="shared" si="33"/>
        <v>1.0000336848700107</v>
      </c>
      <c r="F124" s="327">
        <f t="shared" si="34"/>
        <v>8.2077919660719853E-3</v>
      </c>
      <c r="G124" s="326">
        <f t="shared" si="35"/>
        <v>1</v>
      </c>
      <c r="H124" s="327">
        <f t="shared" si="36"/>
        <v>0</v>
      </c>
      <c r="I124" s="325">
        <f t="shared" si="37"/>
        <v>8669.2617368912142</v>
      </c>
      <c r="J124" s="328">
        <f t="shared" si="38"/>
        <v>1.5706809767186656</v>
      </c>
      <c r="K124" s="336">
        <f t="shared" si="39"/>
        <v>1.9197425135028316</v>
      </c>
      <c r="L124" s="337">
        <f t="shared" si="40"/>
        <v>1.0228876412249865</v>
      </c>
      <c r="M124" s="325">
        <f t="shared" si="41"/>
        <v>1.000124918301448</v>
      </c>
      <c r="N124" s="337">
        <f t="shared" si="42"/>
        <v>1.580539774985321E-2</v>
      </c>
      <c r="O124" s="343">
        <f t="shared" si="43"/>
        <v>1.0007200440758146</v>
      </c>
      <c r="P124" s="691">
        <f t="shared" si="44"/>
        <v>3.7937113443838315E-2</v>
      </c>
      <c r="Q124" s="336">
        <f t="shared" si="60"/>
        <v>6.3133631989323078</v>
      </c>
      <c r="R124" s="692">
        <f t="shared" si="45"/>
        <v>4.2030163929996284E-2</v>
      </c>
      <c r="S124" s="329">
        <f t="shared" si="46"/>
        <v>1.0007006508269758</v>
      </c>
      <c r="T124" s="330">
        <f t="shared" si="47"/>
        <v>3.8442706855548625E-2</v>
      </c>
      <c r="U124" s="331">
        <f t="shared" si="48"/>
        <v>16.809877046962075</v>
      </c>
      <c r="V124" s="332">
        <f t="shared" si="49"/>
        <v>-110.3935133924894</v>
      </c>
      <c r="W124" s="334">
        <f t="shared" si="50"/>
        <v>69.606486607510604</v>
      </c>
      <c r="Y124" s="307">
        <f t="shared" si="51"/>
        <v>1000000000</v>
      </c>
      <c r="Z124" s="307">
        <f t="shared" si="52"/>
        <v>42663104.890000001</v>
      </c>
      <c r="AB124" s="333">
        <f t="shared" si="53"/>
        <v>24.611356792488781</v>
      </c>
      <c r="AC124" s="334">
        <f t="shared" si="54"/>
        <v>-32.29182879067271</v>
      </c>
      <c r="AE124" s="333">
        <f t="shared" si="55"/>
        <v>34.942327136015109</v>
      </c>
      <c r="AF124" s="334">
        <f t="shared" si="56"/>
        <v>-77.867170083357891</v>
      </c>
      <c r="AH124">
        <f t="shared" si="57"/>
        <v>0</v>
      </c>
      <c r="AI124">
        <f t="shared" si="61"/>
        <v>0</v>
      </c>
    </row>
    <row r="125" spans="1:35" x14ac:dyDescent="0.2">
      <c r="A125" s="335">
        <v>6606.9</v>
      </c>
      <c r="B125" s="352">
        <f t="shared" si="59"/>
        <v>6.6068999999999996</v>
      </c>
      <c r="C125" s="325">
        <f t="shared" si="31"/>
        <v>4.2182641849528402</v>
      </c>
      <c r="D125" s="326">
        <f t="shared" si="32"/>
        <v>1.3314533985050527</v>
      </c>
      <c r="E125" s="326">
        <f t="shared" si="33"/>
        <v>1.0000344649548984</v>
      </c>
      <c r="F125" s="327">
        <f t="shared" si="34"/>
        <v>8.3022846333561818E-3</v>
      </c>
      <c r="G125" s="326">
        <f t="shared" si="35"/>
        <v>1</v>
      </c>
      <c r="H125" s="327">
        <f t="shared" si="36"/>
        <v>0</v>
      </c>
      <c r="I125" s="325">
        <f t="shared" si="37"/>
        <v>8769.0716598805193</v>
      </c>
      <c r="J125" s="328">
        <f t="shared" si="38"/>
        <v>1.5706822896378345</v>
      </c>
      <c r="K125" s="336">
        <f t="shared" si="39"/>
        <v>1.9358724120127131</v>
      </c>
      <c r="L125" s="337">
        <f t="shared" si="40"/>
        <v>1.0279643139949375</v>
      </c>
      <c r="M125" s="325">
        <f t="shared" si="41"/>
        <v>1.0001278110640335</v>
      </c>
      <c r="N125" s="337">
        <f t="shared" si="42"/>
        <v>1.5987335766872786E-2</v>
      </c>
      <c r="O125" s="343">
        <f t="shared" si="43"/>
        <v>1.0007367132339233</v>
      </c>
      <c r="P125" s="691">
        <f t="shared" si="44"/>
        <v>3.8373460344882732E-2</v>
      </c>
      <c r="Q125" s="336">
        <f t="shared" si="60"/>
        <v>6.3134906903277619</v>
      </c>
      <c r="R125" s="692">
        <f t="shared" si="45"/>
        <v>4.2513491728126268E-2</v>
      </c>
      <c r="S125" s="329">
        <f t="shared" si="46"/>
        <v>1.0007168712061409</v>
      </c>
      <c r="T125" s="330">
        <f t="shared" si="47"/>
        <v>3.8884892243773603E-2</v>
      </c>
      <c r="U125" s="331">
        <f t="shared" si="48"/>
        <v>16.689150696421219</v>
      </c>
      <c r="V125" s="332">
        <f t="shared" si="49"/>
        <v>-110.28757748192686</v>
      </c>
      <c r="W125" s="334">
        <f t="shared" si="50"/>
        <v>69.71242251807314</v>
      </c>
      <c r="Y125" s="307">
        <f t="shared" si="51"/>
        <v>1000000000</v>
      </c>
      <c r="Z125" s="307">
        <f t="shared" si="52"/>
        <v>43651127.609999992</v>
      </c>
      <c r="AB125" s="333">
        <f t="shared" si="53"/>
        <v>24.584576552203963</v>
      </c>
      <c r="AC125" s="334">
        <f t="shared" si="54"/>
        <v>-32.011456371900586</v>
      </c>
      <c r="AE125" s="333">
        <f t="shared" si="55"/>
        <v>34.84841174484896</v>
      </c>
      <c r="AF125" s="334">
        <f t="shared" si="56"/>
        <v>-78.038914784443676</v>
      </c>
      <c r="AH125">
        <f t="shared" si="57"/>
        <v>0</v>
      </c>
      <c r="AI125">
        <f t="shared" si="61"/>
        <v>0</v>
      </c>
    </row>
    <row r="126" spans="1:35" x14ac:dyDescent="0.2">
      <c r="A126" s="335">
        <v>6683.85</v>
      </c>
      <c r="B126" s="352">
        <f t="shared" si="59"/>
        <v>6.6838500000000005</v>
      </c>
      <c r="C126" s="325">
        <f t="shared" si="31"/>
        <v>4.2646478898581561</v>
      </c>
      <c r="D126" s="326">
        <f t="shared" si="32"/>
        <v>1.3341065883251491</v>
      </c>
      <c r="E126" s="326">
        <f t="shared" si="33"/>
        <v>1.0000352724366224</v>
      </c>
      <c r="F126" s="327">
        <f t="shared" si="34"/>
        <v>8.3989761121448028E-3</v>
      </c>
      <c r="G126" s="326">
        <f t="shared" si="35"/>
        <v>1</v>
      </c>
      <c r="H126" s="327">
        <f t="shared" si="36"/>
        <v>0</v>
      </c>
      <c r="I126" s="325">
        <f t="shared" si="37"/>
        <v>8871.2042872100046</v>
      </c>
      <c r="J126" s="328">
        <f t="shared" si="38"/>
        <v>1.5706836025277349</v>
      </c>
      <c r="K126" s="336">
        <f t="shared" si="39"/>
        <v>1.9524284573424671</v>
      </c>
      <c r="L126" s="337">
        <f t="shared" si="40"/>
        <v>1.0330721604177486</v>
      </c>
      <c r="M126" s="325">
        <f t="shared" si="41"/>
        <v>1.0001308054149503</v>
      </c>
      <c r="N126" s="337">
        <f t="shared" si="42"/>
        <v>1.6173506617986021E-2</v>
      </c>
      <c r="O126" s="343">
        <f t="shared" si="43"/>
        <v>1.0007539675395563</v>
      </c>
      <c r="P126" s="691">
        <f t="shared" si="44"/>
        <v>3.8819946460561812E-2</v>
      </c>
      <c r="Q126" s="336">
        <f t="shared" si="60"/>
        <v>6.3136226566561824</v>
      </c>
      <c r="R126" s="692">
        <f t="shared" si="45"/>
        <v>4.3008046983114355E-2</v>
      </c>
      <c r="S126" s="329">
        <f t="shared" si="46"/>
        <v>1.0007336609875734</v>
      </c>
      <c r="T126" s="330">
        <f t="shared" si="47"/>
        <v>3.9337353338354961E-2</v>
      </c>
      <c r="U126" s="331">
        <f t="shared" si="48"/>
        <v>16.567354842666113</v>
      </c>
      <c r="V126" s="332">
        <f t="shared" si="49"/>
        <v>-110.18081630167393</v>
      </c>
      <c r="W126" s="334">
        <f t="shared" si="50"/>
        <v>69.819183698326071</v>
      </c>
      <c r="Y126" s="307">
        <f t="shared" si="51"/>
        <v>1000000000</v>
      </c>
      <c r="Z126" s="307">
        <f t="shared" si="52"/>
        <v>44673850.822500005</v>
      </c>
      <c r="AB126" s="333">
        <f t="shared" si="53"/>
        <v>24.557939287111562</v>
      </c>
      <c r="AC126" s="334">
        <f t="shared" si="54"/>
        <v>-31.729540356237781</v>
      </c>
      <c r="AE126" s="333">
        <f t="shared" si="55"/>
        <v>34.753284951781851</v>
      </c>
      <c r="AF126" s="334">
        <f t="shared" si="56"/>
        <v>-78.211315461043185</v>
      </c>
      <c r="AH126">
        <f t="shared" si="57"/>
        <v>0</v>
      </c>
      <c r="AI126">
        <f t="shared" si="61"/>
        <v>0</v>
      </c>
    </row>
    <row r="127" spans="1:35" x14ac:dyDescent="0.2">
      <c r="A127" s="335">
        <v>6760.8</v>
      </c>
      <c r="B127" s="352">
        <f t="shared" si="59"/>
        <v>6.7608000000000006</v>
      </c>
      <c r="C127" s="325">
        <f t="shared" si="31"/>
        <v>4.311060969275422</v>
      </c>
      <c r="D127" s="326">
        <f t="shared" si="32"/>
        <v>1.3367026673680011</v>
      </c>
      <c r="E127" s="326">
        <f t="shared" si="33"/>
        <v>1.000036089267903</v>
      </c>
      <c r="F127" s="327">
        <f t="shared" si="34"/>
        <v>8.4956674338818611E-3</v>
      </c>
      <c r="G127" s="326">
        <f t="shared" si="35"/>
        <v>1</v>
      </c>
      <c r="H127" s="327">
        <f t="shared" si="36"/>
        <v>0</v>
      </c>
      <c r="I127" s="325">
        <f t="shared" si="37"/>
        <v>8973.3369145544293</v>
      </c>
      <c r="J127" s="328">
        <f t="shared" si="38"/>
        <v>1.5706848855315636</v>
      </c>
      <c r="K127" s="336">
        <f t="shared" si="39"/>
        <v>1.9690345843369181</v>
      </c>
      <c r="L127" s="337">
        <f t="shared" si="40"/>
        <v>1.0380939805611105</v>
      </c>
      <c r="M127" s="325">
        <f t="shared" si="41"/>
        <v>1.0001338344297781</v>
      </c>
      <c r="N127" s="337">
        <f t="shared" si="42"/>
        <v>1.6359676347874171E-2</v>
      </c>
      <c r="O127" s="343">
        <f t="shared" si="43"/>
        <v>1.000771421338442</v>
      </c>
      <c r="P127" s="691">
        <f t="shared" si="44"/>
        <v>3.9266417091498355E-2</v>
      </c>
      <c r="Q127" s="336">
        <f t="shared" si="60"/>
        <v>6.3137561482803779</v>
      </c>
      <c r="R127" s="692">
        <f t="shared" si="45"/>
        <v>4.3502581573359303E-2</v>
      </c>
      <c r="S127" s="329">
        <f t="shared" si="46"/>
        <v>1.0007506449002552</v>
      </c>
      <c r="T127" s="330">
        <f t="shared" si="47"/>
        <v>3.9789799585234882E-2</v>
      </c>
      <c r="U127" s="331">
        <f t="shared" si="48"/>
        <v>16.44727277800477</v>
      </c>
      <c r="V127" s="332">
        <f t="shared" si="49"/>
        <v>-110.07570894257013</v>
      </c>
      <c r="W127" s="334">
        <f t="shared" si="50"/>
        <v>69.924291057429869</v>
      </c>
      <c r="Y127" s="307">
        <f t="shared" si="51"/>
        <v>1000000000</v>
      </c>
      <c r="Z127" s="307">
        <f t="shared" si="52"/>
        <v>45708416.640000001</v>
      </c>
      <c r="AB127" s="333">
        <f t="shared" si="53"/>
        <v>24.532049408186957</v>
      </c>
      <c r="AC127" s="334">
        <f t="shared" si="54"/>
        <v>-31.452551506733027</v>
      </c>
      <c r="AE127" s="333">
        <f t="shared" si="55"/>
        <v>34.659124927350085</v>
      </c>
      <c r="AF127" s="334">
        <f t="shared" si="56"/>
        <v>-78.38044308942591</v>
      </c>
      <c r="AH127">
        <f t="shared" si="57"/>
        <v>0</v>
      </c>
      <c r="AI127">
        <f t="shared" si="61"/>
        <v>0</v>
      </c>
    </row>
    <row r="128" spans="1:35" x14ac:dyDescent="0.2">
      <c r="A128" s="335">
        <v>6839.55</v>
      </c>
      <c r="B128" s="352">
        <f t="shared" si="59"/>
        <v>6.83955</v>
      </c>
      <c r="C128" s="325">
        <f t="shared" si="31"/>
        <v>4.3585891688354623</v>
      </c>
      <c r="D128" s="326">
        <f t="shared" si="32"/>
        <v>1.3393022109034991</v>
      </c>
      <c r="E128" s="326">
        <f t="shared" si="33"/>
        <v>1.0000369348864933</v>
      </c>
      <c r="F128" s="327">
        <f t="shared" si="34"/>
        <v>8.5946203764315048E-3</v>
      </c>
      <c r="G128" s="326">
        <f t="shared" si="35"/>
        <v>1</v>
      </c>
      <c r="H128" s="327">
        <f t="shared" si="36"/>
        <v>0</v>
      </c>
      <c r="I128" s="325">
        <f t="shared" si="37"/>
        <v>9077.8586092201022</v>
      </c>
      <c r="J128" s="328">
        <f t="shared" si="38"/>
        <v>1.5706861686568301</v>
      </c>
      <c r="K128" s="336">
        <f t="shared" si="39"/>
        <v>1.9860797005404991</v>
      </c>
      <c r="L128" s="337">
        <f t="shared" si="40"/>
        <v>1.0431461926222303</v>
      </c>
      <c r="M128" s="325">
        <f t="shared" si="41"/>
        <v>1.0001369701880976</v>
      </c>
      <c r="N128" s="337">
        <f t="shared" si="42"/>
        <v>1.6550199750917219E-2</v>
      </c>
      <c r="O128" s="343">
        <f t="shared" si="43"/>
        <v>1.000789489950028</v>
      </c>
      <c r="P128" s="691">
        <f t="shared" si="44"/>
        <v>3.9723315262704437E-2</v>
      </c>
      <c r="Q128" s="336">
        <f t="shared" si="60"/>
        <v>6.3138943416469528</v>
      </c>
      <c r="R128" s="692">
        <f t="shared" si="45"/>
        <v>4.4008662582321063E-2</v>
      </c>
      <c r="S128" s="329">
        <f t="shared" si="46"/>
        <v>1.0007682270831466</v>
      </c>
      <c r="T128" s="330">
        <f t="shared" si="47"/>
        <v>4.0252813820017497E-2</v>
      </c>
      <c r="U128" s="331">
        <f t="shared" si="48"/>
        <v>16.326109355810459</v>
      </c>
      <c r="V128" s="332">
        <f t="shared" si="49"/>
        <v>-109.96984823649856</v>
      </c>
      <c r="W128" s="334">
        <f t="shared" si="50"/>
        <v>70.030151763501436</v>
      </c>
      <c r="Y128" s="307">
        <f t="shared" si="51"/>
        <v>1000000000</v>
      </c>
      <c r="Z128" s="307">
        <f t="shared" si="52"/>
        <v>46779444.202500001</v>
      </c>
      <c r="AB128" s="333">
        <f t="shared" si="53"/>
        <v>24.506299941968344</v>
      </c>
      <c r="AC128" s="334">
        <f t="shared" si="54"/>
        <v>-31.174070782662753</v>
      </c>
      <c r="AE128" s="333">
        <f t="shared" si="55"/>
        <v>34.563744263543299</v>
      </c>
      <c r="AF128" s="334">
        <f t="shared" si="56"/>
        <v>-78.550245138393507</v>
      </c>
      <c r="AH128">
        <f t="shared" si="57"/>
        <v>0</v>
      </c>
      <c r="AI128">
        <f t="shared" si="61"/>
        <v>0</v>
      </c>
    </row>
    <row r="129" spans="1:35" x14ac:dyDescent="0.2">
      <c r="A129" s="335">
        <v>6918.3</v>
      </c>
      <c r="B129" s="352">
        <f t="shared" si="59"/>
        <v>6.9183000000000003</v>
      </c>
      <c r="C129" s="325">
        <f t="shared" si="31"/>
        <v>4.4061461865764597</v>
      </c>
      <c r="D129" s="326">
        <f t="shared" si="32"/>
        <v>1.3418456558234775</v>
      </c>
      <c r="E129" s="326">
        <f t="shared" si="33"/>
        <v>1.0000377902971134</v>
      </c>
      <c r="F129" s="327">
        <f t="shared" si="34"/>
        <v>8.6935731506656618E-3</v>
      </c>
      <c r="G129" s="326">
        <f t="shared" si="35"/>
        <v>1</v>
      </c>
      <c r="H129" s="327">
        <f t="shared" si="36"/>
        <v>0</v>
      </c>
      <c r="I129" s="325">
        <f t="shared" si="37"/>
        <v>9182.3803039003815</v>
      </c>
      <c r="J129" s="328">
        <f t="shared" si="38"/>
        <v>1.5706874225708414</v>
      </c>
      <c r="K129" s="336">
        <f t="shared" si="39"/>
        <v>2.003174647654546</v>
      </c>
      <c r="L129" s="337">
        <f t="shared" si="40"/>
        <v>1.0481122992256426</v>
      </c>
      <c r="M129" s="325">
        <f t="shared" si="41"/>
        <v>1.0001401422503278</v>
      </c>
      <c r="N129" s="337">
        <f t="shared" si="42"/>
        <v>1.6740721952341213E-2</v>
      </c>
      <c r="O129" s="343">
        <f t="shared" si="43"/>
        <v>1.0008077674747944</v>
      </c>
      <c r="P129" s="691">
        <f t="shared" si="44"/>
        <v>4.0180196840829498E-2</v>
      </c>
      <c r="Q129" s="336">
        <f t="shared" si="60"/>
        <v>6.3140341322965936</v>
      </c>
      <c r="R129" s="692">
        <f t="shared" si="45"/>
        <v>4.4514721448103957E-2</v>
      </c>
      <c r="S129" s="329">
        <f t="shared" si="46"/>
        <v>1.0007860125646719</v>
      </c>
      <c r="T129" s="330">
        <f t="shared" si="47"/>
        <v>4.071581214429465E-2</v>
      </c>
      <c r="U129" s="331">
        <f t="shared" si="48"/>
        <v>16.206647481957646</v>
      </c>
      <c r="V129" s="332">
        <f t="shared" si="49"/>
        <v>-109.86570383335524</v>
      </c>
      <c r="W129" s="334">
        <f t="shared" si="50"/>
        <v>70.134296166644759</v>
      </c>
      <c r="Y129" s="307">
        <f t="shared" si="51"/>
        <v>1000000000</v>
      </c>
      <c r="Z129" s="307">
        <f t="shared" si="52"/>
        <v>47862874.890000001</v>
      </c>
      <c r="AB129" s="333">
        <f t="shared" si="53"/>
        <v>24.481278010810787</v>
      </c>
      <c r="AC129" s="334">
        <f t="shared" si="54"/>
        <v>-30.900521795388457</v>
      </c>
      <c r="AE129" s="333">
        <f t="shared" si="55"/>
        <v>34.469337995854666</v>
      </c>
      <c r="AF129" s="334">
        <f t="shared" si="56"/>
        <v>-78.716832071490586</v>
      </c>
      <c r="AH129">
        <f t="shared" si="57"/>
        <v>0</v>
      </c>
      <c r="AI129">
        <f t="shared" si="61"/>
        <v>0</v>
      </c>
    </row>
    <row r="130" spans="1:35" x14ac:dyDescent="0.2">
      <c r="A130" s="335">
        <v>6998.9</v>
      </c>
      <c r="B130" s="352">
        <f t="shared" si="59"/>
        <v>6.9988999999999999</v>
      </c>
      <c r="C130" s="325">
        <f t="shared" si="31"/>
        <v>4.4548492952329521</v>
      </c>
      <c r="D130" s="326">
        <f t="shared" si="32"/>
        <v>1.3443926018183905</v>
      </c>
      <c r="E130" s="326">
        <f t="shared" si="33"/>
        <v>1.0000386759428523</v>
      </c>
      <c r="F130" s="327">
        <f t="shared" si="34"/>
        <v>8.7948503534398936E-3</v>
      </c>
      <c r="G130" s="326">
        <f t="shared" si="35"/>
        <v>1</v>
      </c>
      <c r="H130" s="327">
        <f t="shared" si="36"/>
        <v>0</v>
      </c>
      <c r="I130" s="325">
        <f t="shared" si="37"/>
        <v>9289.3574288829986</v>
      </c>
      <c r="J130" s="328">
        <f t="shared" si="38"/>
        <v>1.5706886767222639</v>
      </c>
      <c r="K130" s="336">
        <f t="shared" si="39"/>
        <v>2.0207214710853938</v>
      </c>
      <c r="L130" s="337">
        <f t="shared" si="40"/>
        <v>1.053107934863359</v>
      </c>
      <c r="M130" s="325">
        <f t="shared" si="41"/>
        <v>1.0001434264236937</v>
      </c>
      <c r="N130" s="337">
        <f t="shared" si="42"/>
        <v>1.6935718654701535E-2</v>
      </c>
      <c r="O130" s="343">
        <f t="shared" si="43"/>
        <v>1.0008266906969172</v>
      </c>
      <c r="P130" s="691">
        <f t="shared" si="44"/>
        <v>4.0647794129522206E-2</v>
      </c>
      <c r="Q130" s="336">
        <f t="shared" si="60"/>
        <v>6.3141788608153737</v>
      </c>
      <c r="R130" s="692">
        <f t="shared" si="45"/>
        <v>4.5032645487313901E-2</v>
      </c>
      <c r="S130" s="329">
        <f t="shared" si="46"/>
        <v>1.0008044263711697</v>
      </c>
      <c r="T130" s="330">
        <f t="shared" si="47"/>
        <v>4.1189670589060375E-2</v>
      </c>
      <c r="U130" s="331">
        <f t="shared" si="48"/>
        <v>16.086094546141091</v>
      </c>
      <c r="V130" s="332">
        <f t="shared" si="49"/>
        <v>-109.76087944010615</v>
      </c>
      <c r="W130" s="334">
        <f t="shared" si="50"/>
        <v>70.239120559893848</v>
      </c>
      <c r="Y130" s="307">
        <f t="shared" si="51"/>
        <v>1000000000</v>
      </c>
      <c r="Z130" s="307">
        <f t="shared" si="52"/>
        <v>48984601.209999993</v>
      </c>
      <c r="AB130" s="333">
        <f t="shared" si="53"/>
        <v>24.456394352066937</v>
      </c>
      <c r="AC130" s="334">
        <f t="shared" si="54"/>
        <v>-30.625537302695538</v>
      </c>
      <c r="AE130" s="333">
        <f t="shared" si="55"/>
        <v>34.373703581220596</v>
      </c>
      <c r="AF130" s="334">
        <f t="shared" si="56"/>
        <v>-78.884108660529861</v>
      </c>
      <c r="AH130">
        <f t="shared" si="57"/>
        <v>0</v>
      </c>
      <c r="AI130">
        <f t="shared" si="61"/>
        <v>0</v>
      </c>
    </row>
    <row r="131" spans="1:35" x14ac:dyDescent="0.2">
      <c r="A131" s="335">
        <v>7079.5</v>
      </c>
      <c r="B131" s="352">
        <f t="shared" si="59"/>
        <v>7.0795000000000003</v>
      </c>
      <c r="C131" s="325">
        <f t="shared" si="31"/>
        <v>4.5035806770638924</v>
      </c>
      <c r="D131" s="326">
        <f t="shared" si="32"/>
        <v>1.3468844447914146</v>
      </c>
      <c r="E131" s="326">
        <f t="shared" si="33"/>
        <v>1.0000395718460415</v>
      </c>
      <c r="F131" s="327">
        <f t="shared" si="34"/>
        <v>8.8961273757909767E-3</v>
      </c>
      <c r="G131" s="326">
        <f t="shared" si="35"/>
        <v>1</v>
      </c>
      <c r="H131" s="327">
        <f t="shared" si="36"/>
        <v>0</v>
      </c>
      <c r="I131" s="325">
        <f t="shared" si="37"/>
        <v>9396.3345538798931</v>
      </c>
      <c r="J131" s="328">
        <f t="shared" si="38"/>
        <v>1.5706899023166967</v>
      </c>
      <c r="K131" s="336">
        <f t="shared" si="39"/>
        <v>2.0383178554236423</v>
      </c>
      <c r="L131" s="337">
        <f t="shared" si="40"/>
        <v>1.0580174386528862</v>
      </c>
      <c r="M131" s="325">
        <f t="shared" si="41"/>
        <v>1.0001467486259763</v>
      </c>
      <c r="N131" s="337">
        <f t="shared" si="42"/>
        <v>1.7130714069029385E-2</v>
      </c>
      <c r="O131" s="343">
        <f t="shared" si="43"/>
        <v>1.0008458327387155</v>
      </c>
      <c r="P131" s="691">
        <f t="shared" si="44"/>
        <v>4.1115373634041871E-2</v>
      </c>
      <c r="Q131" s="336">
        <f t="shared" si="60"/>
        <v>6.3143252623195263</v>
      </c>
      <c r="R131" s="692">
        <f t="shared" si="45"/>
        <v>4.5550545794602257E-2</v>
      </c>
      <c r="S131" s="329">
        <f t="shared" si="46"/>
        <v>1.0008230531172688</v>
      </c>
      <c r="T131" s="330">
        <f t="shared" si="47"/>
        <v>4.1663511981155428E-2</v>
      </c>
      <c r="U131" s="331">
        <f t="shared" si="48"/>
        <v>15.967231048963042</v>
      </c>
      <c r="V131" s="332">
        <f t="shared" si="49"/>
        <v>-109.65782985016605</v>
      </c>
      <c r="W131" s="334">
        <f t="shared" si="50"/>
        <v>70.342170149833947</v>
      </c>
      <c r="Y131" s="307">
        <f t="shared" si="51"/>
        <v>1000000000</v>
      </c>
      <c r="Z131" s="307">
        <f t="shared" si="52"/>
        <v>50119320.25</v>
      </c>
      <c r="AB131" s="333">
        <f t="shared" si="53"/>
        <v>24.432218602717096</v>
      </c>
      <c r="AC131" s="334">
        <f t="shared" si="54"/>
        <v>-30.355486091397353</v>
      </c>
      <c r="AE131" s="333">
        <f t="shared" si="55"/>
        <v>34.279051096668816</v>
      </c>
      <c r="AF131" s="334">
        <f t="shared" si="56"/>
        <v>-79.048227112264286</v>
      </c>
      <c r="AH131">
        <f t="shared" si="57"/>
        <v>0</v>
      </c>
      <c r="AI131">
        <f t="shared" si="61"/>
        <v>0</v>
      </c>
    </row>
    <row r="132" spans="1:35" x14ac:dyDescent="0.2">
      <c r="A132" s="335">
        <v>7161.95</v>
      </c>
      <c r="B132" s="352">
        <f t="shared" si="59"/>
        <v>7.16195</v>
      </c>
      <c r="C132" s="325">
        <f t="shared" si="31"/>
        <v>4.553458890790111</v>
      </c>
      <c r="D132" s="326">
        <f t="shared" si="32"/>
        <v>1.3493782807728691</v>
      </c>
      <c r="E132" s="326">
        <f t="shared" si="33"/>
        <v>1.0000404989260456</v>
      </c>
      <c r="F132" s="327">
        <f t="shared" si="34"/>
        <v>8.9997288059607827E-3</v>
      </c>
      <c r="G132" s="326">
        <f t="shared" si="35"/>
        <v>1</v>
      </c>
      <c r="H132" s="327">
        <f t="shared" si="36"/>
        <v>0</v>
      </c>
      <c r="I132" s="325">
        <f t="shared" si="37"/>
        <v>9505.7671091794473</v>
      </c>
      <c r="J132" s="328">
        <f t="shared" si="38"/>
        <v>1.5706911274995259</v>
      </c>
      <c r="K132" s="336">
        <f t="shared" si="39"/>
        <v>2.0563680807915334</v>
      </c>
      <c r="L132" s="337">
        <f t="shared" si="40"/>
        <v>1.0629525713889949</v>
      </c>
      <c r="M132" s="325">
        <f t="shared" si="41"/>
        <v>1.0001501864301294</v>
      </c>
      <c r="N132" s="337">
        <f t="shared" si="42"/>
        <v>1.7330183836389731E-2</v>
      </c>
      <c r="O132" s="343">
        <f t="shared" si="43"/>
        <v>1.0008656405430258</v>
      </c>
      <c r="P132" s="691">
        <f t="shared" si="44"/>
        <v>4.159366680922455E-2</v>
      </c>
      <c r="Q132" s="336">
        <f t="shared" si="60"/>
        <v>6.3144767550604044</v>
      </c>
      <c r="R132" s="692">
        <f t="shared" si="45"/>
        <v>4.6080308553953585E-2</v>
      </c>
      <c r="S132" s="329">
        <f t="shared" si="46"/>
        <v>1.0008423277150358</v>
      </c>
      <c r="T132" s="330">
        <f t="shared" si="47"/>
        <v>4.2148211537668324E-2</v>
      </c>
      <c r="U132" s="331">
        <f t="shared" si="48"/>
        <v>15.847340953347022</v>
      </c>
      <c r="V132" s="332">
        <f t="shared" si="49"/>
        <v>-109.55423712724841</v>
      </c>
      <c r="W132" s="334">
        <f t="shared" si="50"/>
        <v>70.445762872751587</v>
      </c>
      <c r="Y132" s="307">
        <f t="shared" si="51"/>
        <v>1000000000</v>
      </c>
      <c r="Z132" s="307">
        <f t="shared" si="52"/>
        <v>51293527.802499995</v>
      </c>
      <c r="AB132" s="333">
        <f t="shared" si="53"/>
        <v>24.408193679360217</v>
      </c>
      <c r="AC132" s="334">
        <f t="shared" si="54"/>
        <v>-30.084222787586963</v>
      </c>
      <c r="AE132" s="333">
        <f t="shared" si="55"/>
        <v>34.183222411716393</v>
      </c>
      <c r="AF132" s="334">
        <f t="shared" si="56"/>
        <v>-79.21294870320753</v>
      </c>
      <c r="AH132">
        <f t="shared" si="57"/>
        <v>0</v>
      </c>
      <c r="AI132">
        <f t="shared" si="61"/>
        <v>0</v>
      </c>
    </row>
    <row r="133" spans="1:35" x14ac:dyDescent="0.2">
      <c r="A133" s="335">
        <v>7244.4</v>
      </c>
      <c r="B133" s="352">
        <f t="shared" si="59"/>
        <v>7.2443999999999997</v>
      </c>
      <c r="C133" s="325">
        <f t="shared" si="31"/>
        <v>4.6033648096869424</v>
      </c>
      <c r="D133" s="326">
        <f t="shared" si="32"/>
        <v>1.3518180593919757</v>
      </c>
      <c r="E133" s="326">
        <f t="shared" si="33"/>
        <v>1.0000414367397208</v>
      </c>
      <c r="F133" s="327">
        <f t="shared" si="34"/>
        <v>9.1033300429329434E-3</v>
      </c>
      <c r="G133" s="326">
        <f t="shared" si="35"/>
        <v>1</v>
      </c>
      <c r="H133" s="327">
        <f t="shared" si="36"/>
        <v>0</v>
      </c>
      <c r="I133" s="325">
        <f t="shared" si="37"/>
        <v>9615.1996644929477</v>
      </c>
      <c r="J133" s="328">
        <f t="shared" si="38"/>
        <v>1.5706923247942417</v>
      </c>
      <c r="K133" s="336">
        <f t="shared" si="39"/>
        <v>2.0744675178256555</v>
      </c>
      <c r="L133" s="337">
        <f t="shared" si="40"/>
        <v>1.0678017038423655</v>
      </c>
      <c r="M133" s="325">
        <f t="shared" si="41"/>
        <v>1.0001536640281716</v>
      </c>
      <c r="N133" s="337">
        <f t="shared" si="42"/>
        <v>1.7529652224548321E-2</v>
      </c>
      <c r="O133" s="343">
        <f t="shared" si="43"/>
        <v>1.0008856773006323</v>
      </c>
      <c r="P133" s="691">
        <f t="shared" si="44"/>
        <v>4.2071940943887498E-2</v>
      </c>
      <c r="Q133" s="336">
        <f t="shared" si="60"/>
        <v>6.3146299982198908</v>
      </c>
      <c r="R133" s="692">
        <f t="shared" si="45"/>
        <v>4.6610045905702814E-2</v>
      </c>
      <c r="S133" s="329">
        <f t="shared" si="46"/>
        <v>1.0008618251144934</v>
      </c>
      <c r="T133" s="330">
        <f t="shared" si="47"/>
        <v>4.2632892836761561E-2</v>
      </c>
      <c r="U133" s="331">
        <f t="shared" si="48"/>
        <v>15.729126271437943</v>
      </c>
      <c r="V133" s="332">
        <f t="shared" si="49"/>
        <v>-109.45247152215228</v>
      </c>
      <c r="W133" s="334">
        <f t="shared" si="50"/>
        <v>70.54752847784772</v>
      </c>
      <c r="Y133" s="307">
        <f t="shared" si="51"/>
        <v>1000000000</v>
      </c>
      <c r="Z133" s="307">
        <f t="shared" si="52"/>
        <v>52481331.359999992</v>
      </c>
      <c r="AB133" s="333">
        <f t="shared" si="53"/>
        <v>24.384856434142538</v>
      </c>
      <c r="AC133" s="334">
        <f t="shared" si="54"/>
        <v>-29.817885260126385</v>
      </c>
      <c r="AE133" s="333">
        <f t="shared" si="55"/>
        <v>34.088381881564025</v>
      </c>
      <c r="AF133" s="334">
        <f t="shared" si="56"/>
        <v>-79.374572000429396</v>
      </c>
      <c r="AH133">
        <f t="shared" si="57"/>
        <v>0</v>
      </c>
      <c r="AI133">
        <f t="shared" si="61"/>
        <v>0</v>
      </c>
    </row>
    <row r="134" spans="1:35" x14ac:dyDescent="0.2">
      <c r="A134" s="335">
        <v>7328.75</v>
      </c>
      <c r="B134" s="352">
        <f t="shared" si="59"/>
        <v>7.3287500000000003</v>
      </c>
      <c r="C134" s="325">
        <f t="shared" si="31"/>
        <v>4.6544485149018016</v>
      </c>
      <c r="D134" s="326">
        <f t="shared" si="32"/>
        <v>1.3542599040834635</v>
      </c>
      <c r="E134" s="326">
        <f t="shared" si="33"/>
        <v>1.0000424072721408</v>
      </c>
      <c r="F134" s="327">
        <f t="shared" si="34"/>
        <v>9.2093184924593348E-3</v>
      </c>
      <c r="G134" s="326">
        <f t="shared" si="35"/>
        <v>1</v>
      </c>
      <c r="H134" s="327">
        <f t="shared" si="36"/>
        <v>0</v>
      </c>
      <c r="I134" s="325">
        <f t="shared" si="37"/>
        <v>9727.154013090194</v>
      </c>
      <c r="J134" s="328">
        <f t="shared" si="38"/>
        <v>1.5706935218017388</v>
      </c>
      <c r="K134" s="336">
        <f t="shared" si="39"/>
        <v>2.0930336376572547</v>
      </c>
      <c r="L134" s="337">
        <f t="shared" si="40"/>
        <v>1.072675677048829</v>
      </c>
      <c r="M134" s="325">
        <f t="shared" si="41"/>
        <v>1.0001572629444735</v>
      </c>
      <c r="N134" s="337">
        <f t="shared" si="42"/>
        <v>1.7733715772172611E-2</v>
      </c>
      <c r="O134" s="343">
        <f t="shared" si="43"/>
        <v>1.0009064127045164</v>
      </c>
      <c r="P134" s="691">
        <f t="shared" si="44"/>
        <v>4.2561216625781419E-2</v>
      </c>
      <c r="Q134" s="336">
        <f t="shared" si="60"/>
        <v>6.3147885840121845</v>
      </c>
      <c r="R134" s="692">
        <f t="shared" si="45"/>
        <v>4.7151964072612323E-2</v>
      </c>
      <c r="S134" s="329">
        <f t="shared" si="46"/>
        <v>1.000882002366039</v>
      </c>
      <c r="T134" s="330">
        <f t="shared" si="47"/>
        <v>4.3128724151177099E-2</v>
      </c>
      <c r="U134" s="331">
        <f t="shared" si="48"/>
        <v>15.609875081052074</v>
      </c>
      <c r="V134" s="332">
        <f t="shared" si="49"/>
        <v>-109.35023392944879</v>
      </c>
      <c r="W134" s="334">
        <f t="shared" si="50"/>
        <v>70.649766070551209</v>
      </c>
      <c r="Y134" s="307">
        <f t="shared" si="51"/>
        <v>1000000000</v>
      </c>
      <c r="Z134" s="307">
        <f t="shared" si="52"/>
        <v>53710576.5625</v>
      </c>
      <c r="AB134" s="333">
        <f t="shared" si="53"/>
        <v>24.36166685538463</v>
      </c>
      <c r="AC134" s="334">
        <f t="shared" si="54"/>
        <v>-29.550387729139494</v>
      </c>
      <c r="AE134" s="333">
        <f t="shared" si="55"/>
        <v>33.992358460677728</v>
      </c>
      <c r="AF134" s="334">
        <f t="shared" si="56"/>
        <v>-79.536815746494881</v>
      </c>
      <c r="AH134">
        <f t="shared" si="57"/>
        <v>0</v>
      </c>
      <c r="AI134">
        <f t="shared" si="61"/>
        <v>0</v>
      </c>
    </row>
    <row r="135" spans="1:35" x14ac:dyDescent="0.2">
      <c r="A135" s="335">
        <v>7413.1</v>
      </c>
      <c r="B135" s="352">
        <f t="shared" si="59"/>
        <v>7.4131</v>
      </c>
      <c r="C135" s="325">
        <f t="shared" si="31"/>
        <v>4.7055593700945426</v>
      </c>
      <c r="D135" s="326">
        <f t="shared" si="32"/>
        <v>1.3566487170936699</v>
      </c>
      <c r="E135" s="326">
        <f t="shared" si="33"/>
        <v>1.0000433890385667</v>
      </c>
      <c r="F135" s="327">
        <f t="shared" si="34"/>
        <v>9.3153067350735738E-3</v>
      </c>
      <c r="G135" s="326">
        <f t="shared" si="35"/>
        <v>1</v>
      </c>
      <c r="H135" s="327">
        <f t="shared" si="36"/>
        <v>0</v>
      </c>
      <c r="I135" s="325">
        <f t="shared" si="37"/>
        <v>9839.1083617010627</v>
      </c>
      <c r="J135" s="328">
        <f t="shared" si="38"/>
        <v>1.5706946915689228</v>
      </c>
      <c r="K135" s="336">
        <f t="shared" si="39"/>
        <v>2.1116486037847095</v>
      </c>
      <c r="L135" s="337">
        <f t="shared" si="40"/>
        <v>1.0774638305721518</v>
      </c>
      <c r="M135" s="325">
        <f t="shared" si="41"/>
        <v>1.0001609035089547</v>
      </c>
      <c r="N135" s="337">
        <f t="shared" si="42"/>
        <v>1.7937777842720409E-2</v>
      </c>
      <c r="O135" s="343">
        <f t="shared" si="43"/>
        <v>1.0009273877061191</v>
      </c>
      <c r="P135" s="691">
        <f t="shared" si="44"/>
        <v>4.3050471918695099E-2</v>
      </c>
      <c r="Q135" s="336">
        <f t="shared" si="60"/>
        <v>6.3149490015555108</v>
      </c>
      <c r="R135" s="692">
        <f t="shared" si="45"/>
        <v>4.7693855033479587E-2</v>
      </c>
      <c r="S135" s="329">
        <f t="shared" si="46"/>
        <v>1.0009024127785504</v>
      </c>
      <c r="T135" s="330">
        <f t="shared" si="47"/>
        <v>4.3624535915083959E-2</v>
      </c>
      <c r="U135" s="331">
        <f t="shared" si="48"/>
        <v>15.492285509760386</v>
      </c>
      <c r="V135" s="332">
        <f t="shared" si="49"/>
        <v>-109.24987180659214</v>
      </c>
      <c r="W135" s="334">
        <f t="shared" si="50"/>
        <v>70.750128193407861</v>
      </c>
      <c r="Y135" s="307">
        <f t="shared" si="51"/>
        <v>1000000000</v>
      </c>
      <c r="Z135" s="307">
        <f t="shared" si="52"/>
        <v>54954051.610000007</v>
      </c>
      <c r="AB135" s="333">
        <f t="shared" si="53"/>
        <v>24.339145041991372</v>
      </c>
      <c r="AC135" s="334">
        <f t="shared" si="54"/>
        <v>-29.287805658416101</v>
      </c>
      <c r="AE135" s="333">
        <f t="shared" si="55"/>
        <v>33.897329332059641</v>
      </c>
      <c r="AF135" s="334">
        <f t="shared" si="56"/>
        <v>-79.696019892732565</v>
      </c>
      <c r="AH135">
        <f t="shared" si="57"/>
        <v>0</v>
      </c>
      <c r="AI135">
        <f t="shared" si="61"/>
        <v>0</v>
      </c>
    </row>
    <row r="136" spans="1:35" x14ac:dyDescent="0.2">
      <c r="A136" s="335">
        <v>7499.45</v>
      </c>
      <c r="B136" s="352">
        <f t="shared" si="59"/>
        <v>7.4994499999999995</v>
      </c>
      <c r="C136" s="325">
        <f t="shared" si="31"/>
        <v>4.7579093106676051</v>
      </c>
      <c r="D136" s="326">
        <f t="shared" si="32"/>
        <v>1.3590409941923967</v>
      </c>
      <c r="E136" s="326">
        <f t="shared" si="33"/>
        <v>1.0000444057200695</v>
      </c>
      <c r="F136" s="327">
        <f t="shared" si="34"/>
        <v>9.423807819381921E-3</v>
      </c>
      <c r="G136" s="326">
        <f t="shared" si="35"/>
        <v>1</v>
      </c>
      <c r="H136" s="327">
        <f t="shared" si="36"/>
        <v>0</v>
      </c>
      <c r="I136" s="325">
        <f t="shared" si="37"/>
        <v>9953.7172295575874</v>
      </c>
      <c r="J136" s="328">
        <f t="shared" si="38"/>
        <v>1.570695861814968</v>
      </c>
      <c r="K136" s="336">
        <f t="shared" si="39"/>
        <v>2.1307542050247483</v>
      </c>
      <c r="L136" s="337">
        <f t="shared" si="40"/>
        <v>1.082278740799566</v>
      </c>
      <c r="M136" s="325">
        <f t="shared" si="41"/>
        <v>1.0001646735345493</v>
      </c>
      <c r="N136" s="337">
        <f t="shared" si="42"/>
        <v>1.8146676825991789E-2</v>
      </c>
      <c r="O136" s="343">
        <f t="shared" si="43"/>
        <v>1.0009491082112008</v>
      </c>
      <c r="P136" s="691">
        <f t="shared" si="44"/>
        <v>4.355130644825983E-2</v>
      </c>
      <c r="Q136" s="336">
        <f t="shared" si="60"/>
        <v>6.3151151199841875</v>
      </c>
      <c r="R136" s="692">
        <f t="shared" si="45"/>
        <v>4.824856611882633E-2</v>
      </c>
      <c r="S136" s="329">
        <f t="shared" si="46"/>
        <v>1.0009235486411092</v>
      </c>
      <c r="T136" s="330">
        <f t="shared" si="47"/>
        <v>4.4132083252831057E-2</v>
      </c>
      <c r="U136" s="331">
        <f t="shared" si="48"/>
        <v>15.37358311996627</v>
      </c>
      <c r="V136" s="332">
        <f t="shared" si="49"/>
        <v>-109.14905179855356</v>
      </c>
      <c r="W136" s="334">
        <f t="shared" si="50"/>
        <v>70.850948201446442</v>
      </c>
      <c r="Y136" s="307">
        <f t="shared" si="51"/>
        <v>1000000000</v>
      </c>
      <c r="Z136" s="307">
        <f t="shared" si="52"/>
        <v>56241750.302499995</v>
      </c>
      <c r="AB136" s="333">
        <f t="shared" si="53"/>
        <v>24.31675528773923</v>
      </c>
      <c r="AC136" s="334">
        <f t="shared" si="54"/>
        <v>-29.023967703594817</v>
      </c>
      <c r="AE136" s="333">
        <f t="shared" si="55"/>
        <v>33.801056695857646</v>
      </c>
      <c r="AF136" s="334">
        <f t="shared" si="56"/>
        <v>-79.855950940250708</v>
      </c>
      <c r="AH136">
        <f t="shared" si="57"/>
        <v>0</v>
      </c>
      <c r="AI136">
        <f t="shared" si="61"/>
        <v>0</v>
      </c>
    </row>
    <row r="137" spans="1:35" x14ac:dyDescent="0.2">
      <c r="A137" s="335">
        <v>7585.8</v>
      </c>
      <c r="B137" s="352">
        <f t="shared" si="59"/>
        <v>7.5857999999999999</v>
      </c>
      <c r="C137" s="325">
        <f t="shared" si="31"/>
        <v>4.8102858879449713</v>
      </c>
      <c r="D137" s="326">
        <f t="shared" si="32"/>
        <v>1.3613811880431501</v>
      </c>
      <c r="E137" s="326">
        <f t="shared" si="33"/>
        <v>1.0000454341745562</v>
      </c>
      <c r="F137" s="327">
        <f t="shared" si="34"/>
        <v>9.5323086818008759E-3</v>
      </c>
      <c r="G137" s="326">
        <f t="shared" si="35"/>
        <v>1</v>
      </c>
      <c r="H137" s="327">
        <f t="shared" si="36"/>
        <v>0</v>
      </c>
      <c r="I137" s="325">
        <f t="shared" si="37"/>
        <v>10068.326097427434</v>
      </c>
      <c r="J137" s="328">
        <f t="shared" si="38"/>
        <v>1.5706970054189333</v>
      </c>
      <c r="K137" s="336">
        <f t="shared" si="39"/>
        <v>2.1499083256749167</v>
      </c>
      <c r="L137" s="337">
        <f t="shared" si="40"/>
        <v>1.0870079643445045</v>
      </c>
      <c r="M137" s="325">
        <f t="shared" si="41"/>
        <v>1.000168487205785</v>
      </c>
      <c r="N137" s="337">
        <f t="shared" si="42"/>
        <v>1.8355574225303463E-2</v>
      </c>
      <c r="O137" s="343">
        <f t="shared" si="43"/>
        <v>1.0009710797786449</v>
      </c>
      <c r="P137" s="691">
        <f t="shared" si="44"/>
        <v>4.4052119116553184E-2</v>
      </c>
      <c r="Q137" s="336">
        <f t="shared" si="60"/>
        <v>6.3152831577602866</v>
      </c>
      <c r="R137" s="692">
        <f t="shared" si="45"/>
        <v>4.8803248034634747E-2</v>
      </c>
      <c r="S137" s="329">
        <f t="shared" si="46"/>
        <v>1.0009449288222161</v>
      </c>
      <c r="T137" s="330">
        <f t="shared" si="47"/>
        <v>4.4639609628225566E-2</v>
      </c>
      <c r="U137" s="331">
        <f t="shared" si="48"/>
        <v>15.256530630500533</v>
      </c>
      <c r="V137" s="332">
        <f t="shared" si="49"/>
        <v>-109.05015390118444</v>
      </c>
      <c r="W137" s="334">
        <f t="shared" si="50"/>
        <v>70.949846098815556</v>
      </c>
      <c r="Y137" s="307">
        <f t="shared" si="51"/>
        <v>1000000000</v>
      </c>
      <c r="Z137" s="307">
        <f t="shared" si="52"/>
        <v>57544361.640000001</v>
      </c>
      <c r="AB137" s="333">
        <f t="shared" si="53"/>
        <v>24.295014428934728</v>
      </c>
      <c r="AC137" s="334">
        <f t="shared" si="54"/>
        <v>-28.765037616812538</v>
      </c>
      <c r="AE137" s="333">
        <f t="shared" si="55"/>
        <v>33.705785523856619</v>
      </c>
      <c r="AF137" s="334">
        <f t="shared" si="56"/>
        <v>-80.01289664913223</v>
      </c>
      <c r="AH137">
        <f t="shared" si="57"/>
        <v>0</v>
      </c>
      <c r="AI137">
        <f t="shared" si="61"/>
        <v>0</v>
      </c>
    </row>
    <row r="138" spans="1:35" x14ac:dyDescent="0.2">
      <c r="A138" s="335">
        <v>7674.15</v>
      </c>
      <c r="B138" s="352">
        <f t="shared" si="59"/>
        <v>7.67415</v>
      </c>
      <c r="C138" s="325">
        <f t="shared" si="31"/>
        <v>4.8639022597897101</v>
      </c>
      <c r="D138" s="326">
        <f t="shared" si="32"/>
        <v>1.3637234063281469</v>
      </c>
      <c r="E138" s="326">
        <f t="shared" si="33"/>
        <v>1.0000464986347695</v>
      </c>
      <c r="F138" s="327">
        <f t="shared" si="34"/>
        <v>9.6433223602460563E-3</v>
      </c>
      <c r="G138" s="326">
        <f t="shared" si="35"/>
        <v>1</v>
      </c>
      <c r="H138" s="327">
        <f t="shared" si="36"/>
        <v>0</v>
      </c>
      <c r="I138" s="325">
        <f t="shared" si="37"/>
        <v>10185.589484543254</v>
      </c>
      <c r="J138" s="328">
        <f t="shared" si="38"/>
        <v>1.5706981488737146</v>
      </c>
      <c r="K138" s="336">
        <f t="shared" si="39"/>
        <v>2.1695549632310605</v>
      </c>
      <c r="L138" s="337">
        <f t="shared" si="40"/>
        <v>1.0917601868646998</v>
      </c>
      <c r="M138" s="325">
        <f t="shared" si="41"/>
        <v>1.0001724343807432</v>
      </c>
      <c r="N138" s="337">
        <f t="shared" si="42"/>
        <v>1.8569308354143412E-2</v>
      </c>
      <c r="O138" s="343">
        <f t="shared" si="43"/>
        <v>1.0009938200766386</v>
      </c>
      <c r="P138" s="691">
        <f t="shared" si="44"/>
        <v>4.4564508496257385E-2</v>
      </c>
      <c r="Q138" s="336">
        <f t="shared" si="60"/>
        <v>6.3154570739371065</v>
      </c>
      <c r="R138" s="692">
        <f t="shared" si="45"/>
        <v>4.937074670657178E-2</v>
      </c>
      <c r="S138" s="329">
        <f t="shared" si="46"/>
        <v>1.000967057057492</v>
      </c>
      <c r="T138" s="330">
        <f t="shared" si="47"/>
        <v>4.5158869155954691E-2</v>
      </c>
      <c r="U138" s="331">
        <f t="shared" si="48"/>
        <v>15.138429091673638</v>
      </c>
      <c r="V138" s="332">
        <f t="shared" si="49"/>
        <v>-108.95093070246362</v>
      </c>
      <c r="W138" s="334">
        <f t="shared" si="50"/>
        <v>71.049069297536377</v>
      </c>
      <c r="Y138" s="307">
        <f t="shared" si="51"/>
        <v>1000000000</v>
      </c>
      <c r="Z138" s="307">
        <f t="shared" si="52"/>
        <v>58892578.222499996</v>
      </c>
      <c r="AB138" s="333">
        <f t="shared" si="53"/>
        <v>24.273416551432788</v>
      </c>
      <c r="AC138" s="334">
        <f t="shared" si="54"/>
        <v>-28.505066901454736</v>
      </c>
      <c r="AE138" s="333">
        <f t="shared" si="55"/>
        <v>33.609323733538375</v>
      </c>
      <c r="AF138" s="334">
        <f t="shared" si="56"/>
        <v>-80.170486635908688</v>
      </c>
      <c r="AH138">
        <f t="shared" si="57"/>
        <v>0</v>
      </c>
      <c r="AI138">
        <f t="shared" si="61"/>
        <v>0</v>
      </c>
    </row>
    <row r="139" spans="1:35" x14ac:dyDescent="0.2">
      <c r="A139" s="335">
        <v>7762.5</v>
      </c>
      <c r="B139" s="352">
        <f t="shared" si="59"/>
        <v>7.7625000000000002</v>
      </c>
      <c r="C139" s="325">
        <f t="shared" si="31"/>
        <v>4.917544732992039</v>
      </c>
      <c r="D139" s="326">
        <f t="shared" si="32"/>
        <v>1.3660145373152706</v>
      </c>
      <c r="E139" s="326">
        <f t="shared" si="33"/>
        <v>1.0000475754195666</v>
      </c>
      <c r="F139" s="327">
        <f t="shared" si="34"/>
        <v>9.7543358009950596E-3</v>
      </c>
      <c r="G139" s="326">
        <f t="shared" si="35"/>
        <v>1</v>
      </c>
      <c r="H139" s="327">
        <f t="shared" si="36"/>
        <v>0</v>
      </c>
      <c r="I139" s="325">
        <f t="shared" si="37"/>
        <v>10302.852871672088</v>
      </c>
      <c r="J139" s="328">
        <f t="shared" si="38"/>
        <v>1.570699266299709</v>
      </c>
      <c r="K139" s="336">
        <f t="shared" si="39"/>
        <v>2.1892497171496461</v>
      </c>
      <c r="L139" s="337">
        <f t="shared" si="40"/>
        <v>1.0964270100744449</v>
      </c>
      <c r="M139" s="325">
        <f t="shared" si="41"/>
        <v>1.0001764272454947</v>
      </c>
      <c r="N139" s="337">
        <f t="shared" si="42"/>
        <v>1.8783040786225225E-2</v>
      </c>
      <c r="O139" s="343">
        <f t="shared" si="43"/>
        <v>1.0010168231664485</v>
      </c>
      <c r="P139" s="691">
        <f t="shared" si="44"/>
        <v>4.5076874461341961E-2</v>
      </c>
      <c r="Q139" s="336">
        <f t="shared" si="60"/>
        <v>6.315632999074805</v>
      </c>
      <c r="R139" s="692">
        <f t="shared" si="45"/>
        <v>4.9938214137519102E-2</v>
      </c>
      <c r="S139" s="329">
        <f t="shared" si="46"/>
        <v>1.0009894410267273</v>
      </c>
      <c r="T139" s="330">
        <f t="shared" si="47"/>
        <v>4.5678106231744516E-2</v>
      </c>
      <c r="U139" s="331">
        <f t="shared" si="48"/>
        <v>15.021963899693953</v>
      </c>
      <c r="V139" s="332">
        <f t="shared" si="49"/>
        <v>-108.85367012749522</v>
      </c>
      <c r="W139" s="334">
        <f t="shared" si="50"/>
        <v>71.146329872504779</v>
      </c>
      <c r="Y139" s="307">
        <f t="shared" si="51"/>
        <v>1000000000</v>
      </c>
      <c r="Z139" s="307">
        <f t="shared" si="52"/>
        <v>60256406.25</v>
      </c>
      <c r="AB139" s="333">
        <f t="shared" si="53"/>
        <v>24.252448193720536</v>
      </c>
      <c r="AC139" s="334">
        <f t="shared" si="54"/>
        <v>-28.249987617607932</v>
      </c>
      <c r="AE139" s="333">
        <f t="shared" si="55"/>
        <v>33.513869250835249</v>
      </c>
      <c r="AF139" s="334">
        <f t="shared" si="56"/>
        <v>-80.325148263344573</v>
      </c>
      <c r="AH139">
        <f t="shared" si="57"/>
        <v>0</v>
      </c>
      <c r="AI139">
        <f t="shared" si="61"/>
        <v>0</v>
      </c>
    </row>
    <row r="140" spans="1:35" x14ac:dyDescent="0.2">
      <c r="A140" s="335">
        <v>7852.9</v>
      </c>
      <c r="B140" s="352">
        <f t="shared" si="59"/>
        <v>7.8529</v>
      </c>
      <c r="C140" s="325">
        <f t="shared" si="31"/>
        <v>4.9724580172809638</v>
      </c>
      <c r="D140" s="326">
        <f t="shared" si="32"/>
        <v>1.3683076506011533</v>
      </c>
      <c r="E140" s="326">
        <f t="shared" si="33"/>
        <v>1.000048689945997</v>
      </c>
      <c r="F140" s="327">
        <f t="shared" si="34"/>
        <v>9.867924856508269E-3</v>
      </c>
      <c r="G140" s="326">
        <f t="shared" si="35"/>
        <v>1</v>
      </c>
      <c r="H140" s="327">
        <f t="shared" si="36"/>
        <v>0</v>
      </c>
      <c r="I140" s="325">
        <f t="shared" si="37"/>
        <v>10422.837141028016</v>
      </c>
      <c r="J140" s="328">
        <f t="shared" si="38"/>
        <v>1.570700383628175</v>
      </c>
      <c r="K140" s="336">
        <f t="shared" si="39"/>
        <v>2.2094499136103729</v>
      </c>
      <c r="L140" s="337">
        <f t="shared" si="40"/>
        <v>1.1011158967522054</v>
      </c>
      <c r="M140" s="325">
        <f t="shared" si="41"/>
        <v>1.0001805600491065</v>
      </c>
      <c r="N140" s="337">
        <f t="shared" si="42"/>
        <v>1.9001730711477698E-2</v>
      </c>
      <c r="O140" s="343">
        <f t="shared" si="43"/>
        <v>1.0010406319909084</v>
      </c>
      <c r="P140" s="691">
        <f t="shared" si="44"/>
        <v>4.5601104425844301E-2</v>
      </c>
      <c r="Q140" s="336">
        <f t="shared" si="60"/>
        <v>6.3158150854812138</v>
      </c>
      <c r="R140" s="692">
        <f t="shared" si="45"/>
        <v>5.0518815903066637E-2</v>
      </c>
      <c r="S140" s="329">
        <f t="shared" si="46"/>
        <v>1.0010126090607059</v>
      </c>
      <c r="T140" s="330">
        <f t="shared" si="47"/>
        <v>4.6209367746348692E-2</v>
      </c>
      <c r="U140" s="331">
        <f t="shared" si="48"/>
        <v>14.904444802698457</v>
      </c>
      <c r="V140" s="332">
        <f t="shared" si="49"/>
        <v>-108.75615718671209</v>
      </c>
      <c r="W140" s="334">
        <f t="shared" si="50"/>
        <v>71.243842813287912</v>
      </c>
      <c r="Y140" s="307">
        <f t="shared" si="51"/>
        <v>1000000000</v>
      </c>
      <c r="Z140" s="307">
        <f t="shared" si="52"/>
        <v>61668038.409999996</v>
      </c>
      <c r="AB140" s="333">
        <f t="shared" si="53"/>
        <v>24.231620398276455</v>
      </c>
      <c r="AC140" s="334">
        <f t="shared" si="54"/>
        <v>-27.993928228008961</v>
      </c>
      <c r="AE140" s="333">
        <f t="shared" si="55"/>
        <v>33.417221780797789</v>
      </c>
      <c r="AF140" s="334">
        <f t="shared" si="56"/>
        <v>-80.480464845873257</v>
      </c>
      <c r="AH140">
        <f t="shared" si="57"/>
        <v>0</v>
      </c>
      <c r="AI140">
        <f t="shared" si="61"/>
        <v>0</v>
      </c>
    </row>
    <row r="141" spans="1:35" x14ac:dyDescent="0.2">
      <c r="A141" s="335">
        <v>7943.3</v>
      </c>
      <c r="B141" s="352">
        <f t="shared" si="59"/>
        <v>7.9432999999999998</v>
      </c>
      <c r="C141" s="325">
        <f t="shared" ref="C141:C204" si="62">SQRT(1+(A141/pole1)^2)</f>
        <v>5.027396877309914</v>
      </c>
      <c r="D141" s="326">
        <f t="shared" ref="D141:D204" si="63">ATAN(A141/pole1)</f>
        <v>1.3705506576700546</v>
      </c>
      <c r="E141" s="326">
        <f t="shared" ref="E141:E204" si="64">SQRT(1+(A141/Zero1)^2)</f>
        <v>1.0000498173755006</v>
      </c>
      <c r="F141" s="327">
        <f t="shared" ref="F141:F204" si="65">ATAN(A141/Zero1)</f>
        <v>9.981513657372508E-3</v>
      </c>
      <c r="G141" s="326">
        <f t="shared" ref="G141:G204" si="66">IF(VIN_nom&gt;Vout, 1, SQRT(1+(A141/z_RHP)^2))</f>
        <v>1</v>
      </c>
      <c r="H141" s="327">
        <f t="shared" ref="H141:H204" si="67">IF(VIN_nom&gt;Vout, 0, -ATAN(A141/z_RHP))</f>
        <v>0</v>
      </c>
      <c r="I141" s="325">
        <f t="shared" ref="I141:I204" si="68">SQRT(1+(A141/Pole2)^2)</f>
        <v>10542.82141039666</v>
      </c>
      <c r="J141" s="328">
        <f t="shared" ref="J141:J204" si="69">ATAN(A141/Pole2)</f>
        <v>1.5707014755247695</v>
      </c>
      <c r="K141" s="336">
        <f t="shared" ref="K141:K147" si="70">SQRT(1+(A141/Zero2)^2)</f>
        <v>2.2296978055023091</v>
      </c>
      <c r="L141" s="337">
        <f t="shared" ref="L141:L147" si="71">ATAN(A141/Zero2)</f>
        <v>1.1057197235377796</v>
      </c>
      <c r="M141" s="325">
        <f t="shared" ref="M141:M204" si="72">SQRT(1+(A141/pole4)^2)</f>
        <v>1.0001847406862403</v>
      </c>
      <c r="N141" s="337">
        <f t="shared" ref="N141:N204" si="73">ATAN(A141/pole4)</f>
        <v>1.9220418819000221E-2</v>
      </c>
      <c r="O141" s="343">
        <f t="shared" ref="O141:O204" si="74">IF(VOUT_setting=1,1,SQRT(1+(A141*zterm1)^2))</f>
        <v>1.0010647159052775</v>
      </c>
      <c r="P141" s="691">
        <f t="shared" ref="P141:P204" si="75">IF(VOUT_setting=1,0,ATAN(((A141*zterm1))))</f>
        <v>4.6125309310238762E-2</v>
      </c>
      <c r="Q141" s="336">
        <f t="shared" si="60"/>
        <v>6.3159992748010136</v>
      </c>
      <c r="R141" s="692">
        <f t="shared" ref="R141:R204" si="76">IF(VOUT_setting=1,0,ATAN(A141*$Q$4/(1+Afbr-$Q$5*(A141)^2)))</f>
        <v>5.109938420677225E-2</v>
      </c>
      <c r="S141" s="329">
        <f t="shared" ref="S141:S204" si="77">SQRT((1-(Z141/pterm2))^2+(A141/pterm1)^2)</f>
        <v>1.0010360447975655</v>
      </c>
      <c r="T141" s="330">
        <f t="shared" ref="T141:T204" si="78">IF((ATAN((A141/pterm1)/(1-A141^2/pterm2))&gt;0),ATAN((A141/pterm1)/(1-A141^2/pterm2)),PI()+ATAN((A141/pterm1)/(1-A141^2/pterm2)))</f>
        <v>4.6740605211876611E-2</v>
      </c>
      <c r="U141" s="331">
        <f t="shared" ref="U141:U204" si="79">20*LOG10(((E141*K141*G141*O141)/(C141*I141*S141*M141*Q141))*Adc)</f>
        <v>14.788548632745984</v>
      </c>
      <c r="V141" s="332">
        <f t="shared" ref="V141:V204" si="80">((F141+L141+H141+P141)-(D141+J141+T141+N141+R141))*radconv</f>
        <v>-108.66064353915354</v>
      </c>
      <c r="W141" s="334">
        <f t="shared" ref="W141:W204" si="81">IF(V141&gt;0,V141,V141+180)</f>
        <v>71.33935646084646</v>
      </c>
      <c r="Y141" s="307">
        <f t="shared" ref="Y141:Y204" si="82">IF(U141&lt;0,A141,1000000000)</f>
        <v>1000000000</v>
      </c>
      <c r="Z141" s="307">
        <f t="shared" ref="Z141:Z204" si="83">A141^2</f>
        <v>63096014.890000001</v>
      </c>
      <c r="AB141" s="333">
        <f t="shared" ref="AB141:AB204" si="84">20*LOG10((K141/(I141*M141))*AEA)</f>
        <v>24.211403042476562</v>
      </c>
      <c r="AC141" s="334">
        <f t="shared" ref="AC141:AC204" si="85">(L141-(J141+N141))*radconv</f>
        <v>-27.742740849956533</v>
      </c>
      <c r="AE141" s="333">
        <f t="shared" ref="AE141:AE204" si="86">20*LOG10((E141*G141/(C141*S141))*Acs*Am)</f>
        <v>33.321587300962861</v>
      </c>
      <c r="AF141" s="334">
        <f t="shared" ref="AF141:AF204" si="87">(F141+H141-(D141+T141))*radconv</f>
        <v>-80.632909190318017</v>
      </c>
      <c r="AH141">
        <f t="shared" ref="AH141:AH204" si="88">SUM((U142&lt;0)*(U141&gt;0))*A141</f>
        <v>0</v>
      </c>
      <c r="AI141">
        <f t="shared" si="61"/>
        <v>0</v>
      </c>
    </row>
    <row r="142" spans="1:35" x14ac:dyDescent="0.2">
      <c r="A142" s="335">
        <v>8035.8</v>
      </c>
      <c r="B142" s="352">
        <f t="shared" ref="B142:B205" si="89">A142/1000</f>
        <v>8.0358000000000001</v>
      </c>
      <c r="C142" s="325">
        <f t="shared" si="62"/>
        <v>5.083637580793722</v>
      </c>
      <c r="D142" s="326">
        <f t="shared" si="63"/>
        <v>1.3727955757034662</v>
      </c>
      <c r="E142" s="326">
        <f t="shared" si="64"/>
        <v>1.0000509843514094</v>
      </c>
      <c r="F142" s="327">
        <f t="shared" si="65"/>
        <v>1.0097740869485316E-2</v>
      </c>
      <c r="G142" s="326">
        <f t="shared" si="66"/>
        <v>1</v>
      </c>
      <c r="H142" s="327">
        <f t="shared" si="67"/>
        <v>0</v>
      </c>
      <c r="I142" s="325">
        <f t="shared" si="68"/>
        <v>10665.592924973529</v>
      </c>
      <c r="J142" s="328">
        <f t="shared" si="69"/>
        <v>1.5707025673566264</v>
      </c>
      <c r="K142" s="336">
        <f t="shared" si="70"/>
        <v>2.2504640850488213</v>
      </c>
      <c r="L142" s="337">
        <f t="shared" si="71"/>
        <v>1.1103446450423369</v>
      </c>
      <c r="M142" s="325">
        <f t="shared" si="72"/>
        <v>1.0001890679525129</v>
      </c>
      <c r="N142" s="337">
        <f t="shared" si="73"/>
        <v>1.9444185167258429E-2</v>
      </c>
      <c r="O142" s="343">
        <f t="shared" si="74"/>
        <v>1.0010896440200747</v>
      </c>
      <c r="P142" s="691">
        <f t="shared" si="75"/>
        <v>4.6661665261073647E-2</v>
      </c>
      <c r="Q142" s="336">
        <f t="shared" si="60"/>
        <v>6.3161899194202142</v>
      </c>
      <c r="R142" s="692">
        <f t="shared" si="76"/>
        <v>5.1693404129001239E-2</v>
      </c>
      <c r="S142" s="329">
        <f t="shared" si="77"/>
        <v>1.0010603020323674</v>
      </c>
      <c r="T142" s="330">
        <f t="shared" si="78"/>
        <v>4.7284158190771884E-2</v>
      </c>
      <c r="U142" s="331">
        <f t="shared" si="79"/>
        <v>14.671595140135329</v>
      </c>
      <c r="V142" s="332">
        <f t="shared" si="80"/>
        <v>-108.56495067473533</v>
      </c>
      <c r="W142" s="334">
        <f t="shared" si="81"/>
        <v>71.435049325264671</v>
      </c>
      <c r="Y142" s="307">
        <f t="shared" si="82"/>
        <v>1000000000</v>
      </c>
      <c r="Z142" s="307">
        <f t="shared" si="83"/>
        <v>64574081.640000001</v>
      </c>
      <c r="AB142" s="333">
        <f t="shared" si="84"/>
        <v>24.19132398394073</v>
      </c>
      <c r="AC142" s="334">
        <f t="shared" si="85"/>
        <v>-27.490635791587625</v>
      </c>
      <c r="AE142" s="333">
        <f t="shared" si="86"/>
        <v>33.224758751387242</v>
      </c>
      <c r="AF142" s="334">
        <f t="shared" si="87"/>
        <v>-80.786017482074087</v>
      </c>
      <c r="AH142">
        <f t="shared" si="88"/>
        <v>0</v>
      </c>
      <c r="AI142">
        <f t="shared" si="61"/>
        <v>0</v>
      </c>
    </row>
    <row r="143" spans="1:35" x14ac:dyDescent="0.2">
      <c r="A143" s="335">
        <v>8128.3</v>
      </c>
      <c r="B143" s="352">
        <f t="shared" si="89"/>
        <v>8.1282999999999994</v>
      </c>
      <c r="C143" s="325">
        <f t="shared" si="62"/>
        <v>5.1399033433304968</v>
      </c>
      <c r="D143" s="326">
        <f t="shared" si="63"/>
        <v>1.3749913550297794</v>
      </c>
      <c r="E143" s="326">
        <f t="shared" si="64"/>
        <v>1.0000521648367402</v>
      </c>
      <c r="F143" s="327">
        <f t="shared" si="65"/>
        <v>1.0213967808773476E-2</v>
      </c>
      <c r="G143" s="326">
        <f t="shared" si="66"/>
        <v>1</v>
      </c>
      <c r="H143" s="327">
        <f t="shared" si="67"/>
        <v>0</v>
      </c>
      <c r="I143" s="325">
        <f t="shared" si="68"/>
        <v>10788.364439562823</v>
      </c>
      <c r="J143" s="328">
        <f t="shared" si="69"/>
        <v>1.5707036343384049</v>
      </c>
      <c r="K143" s="336">
        <f t="shared" si="70"/>
        <v>2.2712776209641441</v>
      </c>
      <c r="L143" s="337">
        <f t="shared" si="71"/>
        <v>1.1148848984664201</v>
      </c>
      <c r="M143" s="325">
        <f t="shared" si="72"/>
        <v>1.0001934452991963</v>
      </c>
      <c r="N143" s="337">
        <f t="shared" si="73"/>
        <v>1.9667949568093868E-2</v>
      </c>
      <c r="O143" s="343">
        <f t="shared" si="74"/>
        <v>1.0011148601116537</v>
      </c>
      <c r="P143" s="691">
        <f t="shared" si="75"/>
        <v>4.7197994346713401E-2</v>
      </c>
      <c r="Q143" s="336">
        <f t="shared" ref="Q143:Q206" si="90">IF(VOUT_setting=1,1,SQRT((1+Afbr-$Q$5*(A143)^2)^2+(A143*$Q$4)^2))</f>
        <v>6.3163827653974307</v>
      </c>
      <c r="R143" s="692">
        <f t="shared" si="76"/>
        <v>5.2287388209216537E-2</v>
      </c>
      <c r="S143" s="329">
        <f t="shared" si="77"/>
        <v>1.0010848395120993</v>
      </c>
      <c r="T143" s="330">
        <f t="shared" si="78"/>
        <v>4.7827685408748259E-2</v>
      </c>
      <c r="U143" s="331">
        <f t="shared" si="79"/>
        <v>14.556251264066475</v>
      </c>
      <c r="V143" s="332">
        <f t="shared" si="80"/>
        <v>-108.47128998338485</v>
      </c>
      <c r="W143" s="334">
        <f t="shared" si="81"/>
        <v>71.52871001661515</v>
      </c>
      <c r="Y143" s="307">
        <f t="shared" si="82"/>
        <v>1000000000</v>
      </c>
      <c r="Z143" s="307">
        <f t="shared" si="83"/>
        <v>66069260.890000001</v>
      </c>
      <c r="AB143" s="333">
        <f t="shared" si="84"/>
        <v>24.171836577651909</v>
      </c>
      <c r="AC143" s="334">
        <f t="shared" si="85"/>
        <v>-27.243380321511172</v>
      </c>
      <c r="AE143" s="333">
        <f t="shared" si="86"/>
        <v>33.128948692198279</v>
      </c>
      <c r="AF143" s="334">
        <f t="shared" si="87"/>
        <v>-80.93630887293925</v>
      </c>
      <c r="AH143">
        <f t="shared" si="88"/>
        <v>0</v>
      </c>
      <c r="AI143">
        <f t="shared" si="61"/>
        <v>0</v>
      </c>
    </row>
    <row r="144" spans="1:35" x14ac:dyDescent="0.2">
      <c r="A144" s="335">
        <v>8222.9500000000007</v>
      </c>
      <c r="B144" s="352">
        <f t="shared" si="89"/>
        <v>8.2229500000000009</v>
      </c>
      <c r="C144" s="325">
        <f t="shared" si="62"/>
        <v>5.1975019952183388</v>
      </c>
      <c r="D144" s="326">
        <f t="shared" si="63"/>
        <v>1.377188949202323</v>
      </c>
      <c r="E144" s="326">
        <f t="shared" si="64"/>
        <v>1.0000533867444041</v>
      </c>
      <c r="F144" s="327">
        <f t="shared" si="65"/>
        <v>1.0332895953397946E-2</v>
      </c>
      <c r="G144" s="326">
        <f t="shared" si="66"/>
        <v>1</v>
      </c>
      <c r="H144" s="327">
        <f t="shared" si="67"/>
        <v>0</v>
      </c>
      <c r="I144" s="325">
        <f t="shared" si="68"/>
        <v>10913.989562341483</v>
      </c>
      <c r="J144" s="328">
        <f t="shared" si="69"/>
        <v>1.5707047012719211</v>
      </c>
      <c r="K144" s="336">
        <f t="shared" si="70"/>
        <v>2.2926225050699576</v>
      </c>
      <c r="L144" s="337">
        <f t="shared" si="71"/>
        <v>1.1194452521756197</v>
      </c>
      <c r="M144" s="325">
        <f t="shared" si="72"/>
        <v>1.0001979762289126</v>
      </c>
      <c r="N144" s="337">
        <f t="shared" si="73"/>
        <v>1.9896912940133484E-2</v>
      </c>
      <c r="O144" s="343">
        <f t="shared" si="74"/>
        <v>1.0011409603791253</v>
      </c>
      <c r="P144" s="691">
        <f t="shared" si="75"/>
        <v>4.7746761330911727E-2</v>
      </c>
      <c r="Q144" s="336">
        <f t="shared" si="90"/>
        <v>6.316582372233003</v>
      </c>
      <c r="R144" s="692">
        <f t="shared" si="76"/>
        <v>5.2895140878805882E-2</v>
      </c>
      <c r="S144" s="329">
        <f t="shared" si="77"/>
        <v>1.0011102373923422</v>
      </c>
      <c r="T144" s="330">
        <f t="shared" si="78"/>
        <v>4.8383818989365723E-2</v>
      </c>
      <c r="U144" s="331">
        <f t="shared" si="79"/>
        <v>14.43984796587312</v>
      </c>
      <c r="V144" s="332">
        <f t="shared" si="80"/>
        <v>-108.37752325657861</v>
      </c>
      <c r="W144" s="334">
        <f t="shared" si="81"/>
        <v>71.622476743421387</v>
      </c>
      <c r="Y144" s="307">
        <f t="shared" si="82"/>
        <v>1000000000</v>
      </c>
      <c r="Z144" s="307">
        <f t="shared" si="83"/>
        <v>67616906.702500015</v>
      </c>
      <c r="AB144" s="333">
        <f t="shared" si="84"/>
        <v>24.152485314164565</v>
      </c>
      <c r="AC144" s="334">
        <f t="shared" si="85"/>
        <v>-26.995271066272149</v>
      </c>
      <c r="AE144" s="333">
        <f t="shared" si="86"/>
        <v>33.031944691207769</v>
      </c>
      <c r="AF144" s="334">
        <f t="shared" si="87"/>
        <v>-81.087271770543623</v>
      </c>
      <c r="AH144">
        <f t="shared" si="88"/>
        <v>0</v>
      </c>
      <c r="AI144">
        <f t="shared" si="61"/>
        <v>0</v>
      </c>
    </row>
    <row r="145" spans="1:35" x14ac:dyDescent="0.2">
      <c r="A145" s="335">
        <v>8270.2750000000015</v>
      </c>
      <c r="B145" s="352">
        <f t="shared" si="89"/>
        <v>8.2702750000000016</v>
      </c>
      <c r="C145" s="325">
        <f t="shared" si="62"/>
        <v>5.2263105783883228</v>
      </c>
      <c r="D145" s="326">
        <f t="shared" si="63"/>
        <v>1.378269579081852</v>
      </c>
      <c r="E145" s="326">
        <f t="shared" si="64"/>
        <v>1.0000540030024734</v>
      </c>
      <c r="F145" s="327">
        <f t="shared" si="65"/>
        <v>1.0392359916306132E-2</v>
      </c>
      <c r="G145" s="326">
        <f t="shared" si="66"/>
        <v>1</v>
      </c>
      <c r="H145" s="327">
        <f t="shared" si="67"/>
        <v>0</v>
      </c>
      <c r="I145" s="325">
        <f t="shared" si="68"/>
        <v>10976.802123735393</v>
      </c>
      <c r="J145" s="328">
        <f t="shared" si="69"/>
        <v>1.5707052255807077</v>
      </c>
      <c r="K145" s="336">
        <f t="shared" si="70"/>
        <v>2.3033125782114827</v>
      </c>
      <c r="L145" s="337">
        <f t="shared" si="71"/>
        <v>1.1216937099505564</v>
      </c>
      <c r="M145" s="325">
        <f t="shared" si="72"/>
        <v>1.0002002613566137</v>
      </c>
      <c r="N145" s="337">
        <f t="shared" si="73"/>
        <v>2.0011393845245584E-2</v>
      </c>
      <c r="O145" s="343">
        <f t="shared" si="74"/>
        <v>1.0011541235667296</v>
      </c>
      <c r="P145" s="691">
        <f t="shared" si="75"/>
        <v>4.8021134051857775E-2</v>
      </c>
      <c r="Q145" s="336">
        <f t="shared" si="90"/>
        <v>6.3166830398337277</v>
      </c>
      <c r="R145" s="692">
        <f t="shared" si="76"/>
        <v>5.319900284391265E-2</v>
      </c>
      <c r="S145" s="329">
        <f t="shared" si="77"/>
        <v>1.0011230463514258</v>
      </c>
      <c r="T145" s="330">
        <f t="shared" si="78"/>
        <v>4.8661875451208994E-2</v>
      </c>
      <c r="U145" s="331">
        <f t="shared" si="79"/>
        <v>14.382247656627356</v>
      </c>
      <c r="V145" s="332">
        <f t="shared" si="80"/>
        <v>-108.33141499715346</v>
      </c>
      <c r="W145" s="334">
        <f t="shared" si="81"/>
        <v>71.668585002846541</v>
      </c>
      <c r="Y145" s="307">
        <f t="shared" si="82"/>
        <v>1000000000</v>
      </c>
      <c r="Z145" s="307">
        <f t="shared" si="83"/>
        <v>68397448.575625017</v>
      </c>
      <c r="AB145" s="333">
        <f t="shared" si="84"/>
        <v>24.14302600471359</v>
      </c>
      <c r="AC145" s="334">
        <f t="shared" si="85"/>
        <v>-26.873033238593621</v>
      </c>
      <c r="AE145" s="333">
        <f t="shared" si="86"/>
        <v>32.983827914703724</v>
      </c>
      <c r="AF145" s="334">
        <f t="shared" si="87"/>
        <v>-81.161711729563621</v>
      </c>
      <c r="AH145">
        <f t="shared" si="88"/>
        <v>0</v>
      </c>
      <c r="AI145">
        <f t="shared" si="61"/>
        <v>0</v>
      </c>
    </row>
    <row r="146" spans="1:35" x14ac:dyDescent="0.2">
      <c r="A146" s="335">
        <v>8317.6</v>
      </c>
      <c r="B146" s="352">
        <f t="shared" si="89"/>
        <v>8.3176000000000005</v>
      </c>
      <c r="C146" s="325">
        <f t="shared" si="62"/>
        <v>5.255125197721358</v>
      </c>
      <c r="D146" s="326">
        <f t="shared" si="63"/>
        <v>1.3793383596950215</v>
      </c>
      <c r="E146" s="326">
        <f t="shared" si="64"/>
        <v>1.000054622796692</v>
      </c>
      <c r="F146" s="327">
        <f t="shared" si="65"/>
        <v>1.0451823805717762E-2</v>
      </c>
      <c r="G146" s="326">
        <f t="shared" si="66"/>
        <v>1</v>
      </c>
      <c r="H146" s="327">
        <f t="shared" si="67"/>
        <v>0</v>
      </c>
      <c r="I146" s="325">
        <f t="shared" si="68"/>
        <v>11039.614685132283</v>
      </c>
      <c r="J146" s="328">
        <f t="shared" si="69"/>
        <v>1.5707057439231309</v>
      </c>
      <c r="K146" s="336">
        <f t="shared" si="70"/>
        <v>2.3140141882704524</v>
      </c>
      <c r="L146" s="337">
        <f t="shared" si="71"/>
        <v>1.123921382037752</v>
      </c>
      <c r="M146" s="325">
        <f t="shared" si="72"/>
        <v>1.0002025595927571</v>
      </c>
      <c r="N146" s="337">
        <f t="shared" si="73"/>
        <v>2.0125874225756301E-2</v>
      </c>
      <c r="O146" s="343">
        <f t="shared" si="74"/>
        <v>1.0011673621196218</v>
      </c>
      <c r="P146" s="691">
        <f t="shared" si="75"/>
        <v>4.8295499537332663E-2</v>
      </c>
      <c r="Q146" s="336">
        <f t="shared" si="90"/>
        <v>6.3167842835197447</v>
      </c>
      <c r="R146" s="692">
        <f t="shared" si="76"/>
        <v>5.3502855156392755E-2</v>
      </c>
      <c r="S146" s="329">
        <f t="shared" si="77"/>
        <v>1.0011359286527473</v>
      </c>
      <c r="T146" s="330">
        <f t="shared" si="78"/>
        <v>4.893992497494104E-2</v>
      </c>
      <c r="U146" s="331">
        <f t="shared" si="79"/>
        <v>14.325041062669893</v>
      </c>
      <c r="V146" s="332">
        <f t="shared" si="80"/>
        <v>-108.28581785324687</v>
      </c>
      <c r="W146" s="334">
        <f t="shared" si="81"/>
        <v>71.714182146753132</v>
      </c>
      <c r="Y146" s="307">
        <f t="shared" si="82"/>
        <v>1000000000</v>
      </c>
      <c r="Z146" s="307">
        <f t="shared" si="83"/>
        <v>69182469.760000005</v>
      </c>
      <c r="AB146" s="333">
        <f t="shared" si="84"/>
        <v>24.133707207957229</v>
      </c>
      <c r="AC146" s="334">
        <f t="shared" si="85"/>
        <v>-26.751985971193413</v>
      </c>
      <c r="AE146" s="333">
        <f t="shared" si="86"/>
        <v>32.935964478383227</v>
      </c>
      <c r="AF146" s="334">
        <f t="shared" si="87"/>
        <v>-81.235472382316658</v>
      </c>
      <c r="AH146">
        <f t="shared" si="88"/>
        <v>0</v>
      </c>
      <c r="AI146">
        <f t="shared" si="61"/>
        <v>0</v>
      </c>
    </row>
    <row r="147" spans="1:35" x14ac:dyDescent="0.2">
      <c r="A147" s="335">
        <v>8366.0499999999993</v>
      </c>
      <c r="B147" s="352">
        <f t="shared" si="89"/>
        <v>8.3660499999999995</v>
      </c>
      <c r="C147" s="325">
        <f t="shared" si="62"/>
        <v>5.284630942165184</v>
      </c>
      <c r="D147" s="326">
        <f t="shared" si="63"/>
        <v>1.3804204718603703</v>
      </c>
      <c r="E147" s="326">
        <f t="shared" si="64"/>
        <v>1.0000552609877618</v>
      </c>
      <c r="F147" s="327">
        <f t="shared" si="65"/>
        <v>1.051270118169215E-2</v>
      </c>
      <c r="G147" s="326">
        <f t="shared" si="66"/>
        <v>1</v>
      </c>
      <c r="H147" s="327">
        <f t="shared" si="67"/>
        <v>0</v>
      </c>
      <c r="I147" s="325">
        <f t="shared" si="68"/>
        <v>11103.920413601867</v>
      </c>
      <c r="J147" s="328">
        <f t="shared" si="69"/>
        <v>1.5707062685124069</v>
      </c>
      <c r="K147" s="336">
        <f t="shared" si="70"/>
        <v>2.3249819799785412</v>
      </c>
      <c r="L147" s="337">
        <f t="shared" si="71"/>
        <v>1.1261807539230226</v>
      </c>
      <c r="M147" s="325">
        <f t="shared" si="72"/>
        <v>1.0002049260415573</v>
      </c>
      <c r="N147" s="337">
        <f t="shared" si="73"/>
        <v>2.0243075463339089E-2</v>
      </c>
      <c r="O147" s="343">
        <f t="shared" si="74"/>
        <v>1.0011809934474363</v>
      </c>
      <c r="P147" s="691">
        <f t="shared" si="75"/>
        <v>4.857637964338804E-2</v>
      </c>
      <c r="Q147" s="336">
        <f t="shared" si="90"/>
        <v>6.3168885307104983</v>
      </c>
      <c r="R147" s="692">
        <f t="shared" si="76"/>
        <v>5.3813920525913488E-2</v>
      </c>
      <c r="S147" s="329">
        <f t="shared" si="77"/>
        <v>1.0011491931646685</v>
      </c>
      <c r="T147" s="330">
        <f t="shared" si="78"/>
        <v>4.9224577005237004E-2</v>
      </c>
      <c r="U147" s="331">
        <f t="shared" si="79"/>
        <v>14.266876943442707</v>
      </c>
      <c r="V147" s="332">
        <f t="shared" si="80"/>
        <v>-108.23966186432524</v>
      </c>
      <c r="W147" s="334">
        <f t="shared" si="81"/>
        <v>71.760338135674758</v>
      </c>
      <c r="Y147" s="307">
        <f t="shared" si="82"/>
        <v>1000000000</v>
      </c>
      <c r="Z147" s="307">
        <f t="shared" si="83"/>
        <v>69990792.602499992</v>
      </c>
      <c r="AB147" s="333">
        <f t="shared" si="84"/>
        <v>24.124309634799896</v>
      </c>
      <c r="AC147" s="334">
        <f t="shared" si="85"/>
        <v>-26.629278690695372</v>
      </c>
      <c r="AE147" s="333">
        <f t="shared" si="86"/>
        <v>32.887223014805265</v>
      </c>
      <c r="AF147" s="334">
        <f t="shared" si="87"/>
        <v>-81.310294185691049</v>
      </c>
      <c r="AH147">
        <f t="shared" si="88"/>
        <v>0</v>
      </c>
      <c r="AI147">
        <f t="shared" si="61"/>
        <v>0</v>
      </c>
    </row>
    <row r="148" spans="1:35" x14ac:dyDescent="0.2">
      <c r="A148" s="338">
        <v>8414.5</v>
      </c>
      <c r="B148" s="352">
        <f t="shared" si="89"/>
        <v>8.4145000000000003</v>
      </c>
      <c r="C148" s="325">
        <f t="shared" si="62"/>
        <v>5.3141428060151252</v>
      </c>
      <c r="D148" s="326">
        <f t="shared" si="63"/>
        <v>1.3814905663403183</v>
      </c>
      <c r="E148" s="326">
        <f t="shared" si="64"/>
        <v>1.0000559028850866</v>
      </c>
      <c r="F148" s="327">
        <f t="shared" si="65"/>
        <v>1.0573578479742472E-2</v>
      </c>
      <c r="G148" s="326">
        <f t="shared" si="66"/>
        <v>1</v>
      </c>
      <c r="H148" s="327">
        <f t="shared" si="67"/>
        <v>0</v>
      </c>
      <c r="I148" s="325">
        <f t="shared" si="68"/>
        <v>11168.226142074474</v>
      </c>
      <c r="J148" s="328">
        <f t="shared" si="69"/>
        <v>1.5707067870605991</v>
      </c>
      <c r="K148" s="336">
        <f t="shared" ref="K148:K157" si="91">SQRT(1+(A148/Zero2)^2)</f>
        <v>2.3359615286799471</v>
      </c>
      <c r="L148" s="337">
        <f t="shared" ref="L148:L157" si="92">ATAN(A148/Zero2)</f>
        <v>1.1284188980241621</v>
      </c>
      <c r="M148" s="325">
        <f t="shared" si="72"/>
        <v>1.0002073062292376</v>
      </c>
      <c r="N148" s="337">
        <f t="shared" si="73"/>
        <v>2.0360276144725513E-2</v>
      </c>
      <c r="O148" s="343">
        <f t="shared" si="74"/>
        <v>1.0011947037599029</v>
      </c>
      <c r="P148" s="691">
        <f t="shared" si="75"/>
        <v>4.8857252078884451E-2</v>
      </c>
      <c r="Q148" s="336">
        <f t="shared" si="90"/>
        <v>6.316993381642332</v>
      </c>
      <c r="R148" s="692">
        <f t="shared" si="76"/>
        <v>5.4124975662602791E-2</v>
      </c>
      <c r="S148" s="329">
        <f t="shared" si="77"/>
        <v>1.0011625345412214</v>
      </c>
      <c r="T148" s="330">
        <f t="shared" si="78"/>
        <v>4.9509221680193116E-2</v>
      </c>
      <c r="U148" s="331">
        <f t="shared" si="79"/>
        <v>14.209114439460384</v>
      </c>
      <c r="V148" s="332">
        <f t="shared" si="80"/>
        <v>-108.19403263342143</v>
      </c>
      <c r="W148" s="334">
        <f t="shared" si="81"/>
        <v>71.805967366578571</v>
      </c>
      <c r="Y148" s="307">
        <f t="shared" si="82"/>
        <v>1000000000</v>
      </c>
      <c r="Z148" s="307">
        <f t="shared" si="83"/>
        <v>70803810.25</v>
      </c>
      <c r="AB148" s="333">
        <f t="shared" si="84"/>
        <v>24.11505368356551</v>
      </c>
      <c r="AC148" s="334">
        <f t="shared" si="85"/>
        <v>-26.507787294641535</v>
      </c>
      <c r="AE148" s="333">
        <f t="shared" si="86"/>
        <v>32.838741688706747</v>
      </c>
      <c r="AF148" s="334">
        <f t="shared" si="87"/>
        <v>-81.384427009446426</v>
      </c>
      <c r="AH148">
        <f t="shared" si="88"/>
        <v>0</v>
      </c>
      <c r="AI148">
        <f t="shared" si="61"/>
        <v>0</v>
      </c>
    </row>
    <row r="149" spans="1:35" x14ac:dyDescent="0.2">
      <c r="A149" s="338">
        <v>8462.9500000000007</v>
      </c>
      <c r="B149" s="352">
        <f t="shared" si="89"/>
        <v>8.4629500000000011</v>
      </c>
      <c r="C149" s="325">
        <f t="shared" si="62"/>
        <v>5.3436606878827764</v>
      </c>
      <c r="D149" s="326">
        <f t="shared" si="63"/>
        <v>1.3825488398173158</v>
      </c>
      <c r="E149" s="326">
        <f t="shared" si="64"/>
        <v>1.0000565484886592</v>
      </c>
      <c r="F149" s="327">
        <f t="shared" si="65"/>
        <v>1.0634455699417652E-2</v>
      </c>
      <c r="G149" s="326">
        <f t="shared" si="66"/>
        <v>1</v>
      </c>
      <c r="H149" s="327">
        <f t="shared" si="67"/>
        <v>0</v>
      </c>
      <c r="I149" s="325">
        <f t="shared" si="68"/>
        <v>11232.53187055005</v>
      </c>
      <c r="J149" s="328">
        <f t="shared" si="69"/>
        <v>1.5707072996714622</v>
      </c>
      <c r="K149" s="336">
        <f t="shared" si="91"/>
        <v>2.3469526693694558</v>
      </c>
      <c r="L149" s="337">
        <f t="shared" si="92"/>
        <v>1.1306360899985461</v>
      </c>
      <c r="M149" s="325">
        <f t="shared" si="72"/>
        <v>1.0002097001556998</v>
      </c>
      <c r="N149" s="337">
        <f t="shared" si="73"/>
        <v>2.0477476266699816E-2</v>
      </c>
      <c r="O149" s="343">
        <f t="shared" si="74"/>
        <v>1.0012084930537772</v>
      </c>
      <c r="P149" s="691">
        <f t="shared" si="75"/>
        <v>4.9138116799822239E-2</v>
      </c>
      <c r="Q149" s="336">
        <f t="shared" si="90"/>
        <v>6.3170988362851856</v>
      </c>
      <c r="R149" s="692">
        <f t="shared" si="76"/>
        <v>5.4436020507882925E-2</v>
      </c>
      <c r="S149" s="329">
        <f t="shared" si="77"/>
        <v>1.0011759527793427</v>
      </c>
      <c r="T149" s="330">
        <f t="shared" si="78"/>
        <v>4.9793858957606692E-2</v>
      </c>
      <c r="U149" s="331">
        <f t="shared" si="79"/>
        <v>14.151748124273331</v>
      </c>
      <c r="V149" s="332">
        <f t="shared" si="80"/>
        <v>-108.14892563813855</v>
      </c>
      <c r="W149" s="334">
        <f t="shared" si="81"/>
        <v>71.85107436186145</v>
      </c>
      <c r="Y149" s="307">
        <f t="shared" si="82"/>
        <v>1000000000</v>
      </c>
      <c r="Z149" s="307">
        <f t="shared" si="83"/>
        <v>71621522.702500015</v>
      </c>
      <c r="AB149" s="333">
        <f t="shared" si="84"/>
        <v>24.105936595732302</v>
      </c>
      <c r="AC149" s="334">
        <f t="shared" si="85"/>
        <v>-26.387495994788129</v>
      </c>
      <c r="AE149" s="333">
        <f t="shared" si="86"/>
        <v>32.790517832133503</v>
      </c>
      <c r="AF149" s="334">
        <f t="shared" si="87"/>
        <v>-81.457882120264983</v>
      </c>
      <c r="AH149">
        <f t="shared" si="88"/>
        <v>0</v>
      </c>
      <c r="AI149">
        <f t="shared" si="61"/>
        <v>0</v>
      </c>
    </row>
    <row r="150" spans="1:35" x14ac:dyDescent="0.2">
      <c r="A150" s="338">
        <v>8511.4</v>
      </c>
      <c r="B150" s="352">
        <f t="shared" si="89"/>
        <v>8.5114000000000001</v>
      </c>
      <c r="C150" s="325">
        <f t="shared" si="62"/>
        <v>5.37318448858721</v>
      </c>
      <c r="D150" s="326">
        <f t="shared" si="63"/>
        <v>1.3835954847582412</v>
      </c>
      <c r="E150" s="326">
        <f t="shared" si="64"/>
        <v>1.0000571977984725</v>
      </c>
      <c r="F150" s="327">
        <f t="shared" si="65"/>
        <v>1.069533284026661E-2</v>
      </c>
      <c r="G150" s="326">
        <f t="shared" si="66"/>
        <v>1</v>
      </c>
      <c r="H150" s="327">
        <f t="shared" si="67"/>
        <v>0</v>
      </c>
      <c r="I150" s="325">
        <f t="shared" si="68"/>
        <v>11296.837599028542</v>
      </c>
      <c r="J150" s="328">
        <f t="shared" si="69"/>
        <v>1.5707078064463884</v>
      </c>
      <c r="K150" s="336">
        <f t="shared" si="91"/>
        <v>2.3579552399458121</v>
      </c>
      <c r="L150" s="337">
        <f t="shared" si="92"/>
        <v>1.1328326011906693</v>
      </c>
      <c r="M150" s="325">
        <f t="shared" si="72"/>
        <v>1.000212107820845</v>
      </c>
      <c r="N150" s="337">
        <f t="shared" si="73"/>
        <v>2.0594675826046325E-2</v>
      </c>
      <c r="O150" s="343">
        <f t="shared" si="74"/>
        <v>1.0012223613257958</v>
      </c>
      <c r="P150" s="691">
        <f t="shared" si="75"/>
        <v>4.9418973762209037E-2</v>
      </c>
      <c r="Q150" s="336">
        <f t="shared" si="90"/>
        <v>6.3172048946088317</v>
      </c>
      <c r="R150" s="692">
        <f t="shared" si="76"/>
        <v>5.4747055003187904E-2</v>
      </c>
      <c r="S150" s="329">
        <f t="shared" si="77"/>
        <v>1.0011894478759515</v>
      </c>
      <c r="T150" s="330">
        <f t="shared" si="78"/>
        <v>5.007848879528181E-2</v>
      </c>
      <c r="U150" s="331">
        <f t="shared" si="79"/>
        <v>14.094772675004936</v>
      </c>
      <c r="V150" s="332">
        <f t="shared" si="80"/>
        <v>-108.10433636152035</v>
      </c>
      <c r="W150" s="334">
        <f t="shared" si="81"/>
        <v>71.895663638479647</v>
      </c>
      <c r="Y150" s="307">
        <f t="shared" si="82"/>
        <v>1000000000</v>
      </c>
      <c r="Z150" s="307">
        <f t="shared" si="83"/>
        <v>72443929.959999993</v>
      </c>
      <c r="AB150" s="333">
        <f t="shared" si="84"/>
        <v>24.096955677614371</v>
      </c>
      <c r="AC150" s="334">
        <f t="shared" si="85"/>
        <v>-26.268389249865908</v>
      </c>
      <c r="AE150" s="333">
        <f t="shared" si="86"/>
        <v>32.742548815868332</v>
      </c>
      <c r="AF150" s="334">
        <f t="shared" si="87"/>
        <v>-81.530670543294704</v>
      </c>
      <c r="AH150">
        <f t="shared" si="88"/>
        <v>0</v>
      </c>
      <c r="AI150">
        <f t="shared" si="61"/>
        <v>0</v>
      </c>
    </row>
    <row r="151" spans="1:35" x14ac:dyDescent="0.2">
      <c r="A151" s="338">
        <v>8560.9500000000007</v>
      </c>
      <c r="B151" s="352">
        <f t="shared" si="89"/>
        <v>8.5609500000000001</v>
      </c>
      <c r="C151" s="325">
        <f t="shared" si="62"/>
        <v>5.4033846131236878</v>
      </c>
      <c r="D151" s="326">
        <f t="shared" si="63"/>
        <v>1.3846540612606457</v>
      </c>
      <c r="E151" s="326">
        <f t="shared" si="64"/>
        <v>1.0000578656835049</v>
      </c>
      <c r="F151" s="327">
        <f t="shared" si="65"/>
        <v>1.0757592042663158E-2</v>
      </c>
      <c r="G151" s="326">
        <f t="shared" si="66"/>
        <v>1</v>
      </c>
      <c r="H151" s="327">
        <f t="shared" si="67"/>
        <v>0</v>
      </c>
      <c r="I151" s="325">
        <f t="shared" si="68"/>
        <v>11362.603313089494</v>
      </c>
      <c r="J151" s="328">
        <f t="shared" si="69"/>
        <v>1.5707083187941122</v>
      </c>
      <c r="K151" s="336">
        <f t="shared" si="91"/>
        <v>2.3692192670204464</v>
      </c>
      <c r="L151" s="337">
        <f t="shared" si="92"/>
        <v>1.1350578694982796</v>
      </c>
      <c r="M151" s="325">
        <f t="shared" si="72"/>
        <v>1.0002145843591839</v>
      </c>
      <c r="N151" s="337">
        <f t="shared" si="73"/>
        <v>2.0714535677616656E-2</v>
      </c>
      <c r="O151" s="343">
        <f t="shared" si="74"/>
        <v>1.0012366261452808</v>
      </c>
      <c r="P151" s="691">
        <f t="shared" si="75"/>
        <v>4.9706199179445409E-2</v>
      </c>
      <c r="Q151" s="336">
        <f t="shared" si="90"/>
        <v>6.3173139852248799</v>
      </c>
      <c r="R151" s="692">
        <f t="shared" si="76"/>
        <v>5.5065140403040724E-2</v>
      </c>
      <c r="S151" s="329">
        <f t="shared" si="77"/>
        <v>1.0012033288553217</v>
      </c>
      <c r="T151" s="330">
        <f t="shared" si="78"/>
        <v>5.0369573078105523E-2</v>
      </c>
      <c r="U151" s="331">
        <f t="shared" si="79"/>
        <v>14.036902502132119</v>
      </c>
      <c r="V151" s="332">
        <f t="shared" si="80"/>
        <v>-108.05926552214331</v>
      </c>
      <c r="W151" s="334">
        <f t="shared" si="81"/>
        <v>71.940734477856694</v>
      </c>
      <c r="Y151" s="307">
        <f t="shared" si="82"/>
        <v>1000000000</v>
      </c>
      <c r="Z151" s="307">
        <f t="shared" si="83"/>
        <v>73289864.902500018</v>
      </c>
      <c r="AB151" s="333">
        <f t="shared" si="84"/>
        <v>24.087908959422215</v>
      </c>
      <c r="AC151" s="334">
        <f t="shared" si="85"/>
        <v>-26.147787586408075</v>
      </c>
      <c r="AE151" s="333">
        <f t="shared" si="86"/>
        <v>32.693751604379983</v>
      </c>
      <c r="AF151" s="334">
        <f t="shared" si="87"/>
        <v>-81.6044332206137</v>
      </c>
      <c r="AH151">
        <f t="shared" si="88"/>
        <v>0</v>
      </c>
      <c r="AI151">
        <f t="shared" si="61"/>
        <v>0</v>
      </c>
    </row>
    <row r="152" spans="1:35" x14ac:dyDescent="0.2">
      <c r="A152" s="338">
        <v>8610.5</v>
      </c>
      <c r="B152" s="352">
        <f t="shared" si="89"/>
        <v>8.6105</v>
      </c>
      <c r="C152" s="325">
        <f t="shared" si="62"/>
        <v>5.4335907252964146</v>
      </c>
      <c r="D152" s="326">
        <f t="shared" si="63"/>
        <v>1.3857008693672508</v>
      </c>
      <c r="E152" s="326">
        <f t="shared" si="64"/>
        <v>1.0000585374449646</v>
      </c>
      <c r="F152" s="327">
        <f t="shared" si="65"/>
        <v>1.0819851161659266E-2</v>
      </c>
      <c r="G152" s="326">
        <f t="shared" si="66"/>
        <v>1</v>
      </c>
      <c r="H152" s="327">
        <f t="shared" si="67"/>
        <v>0</v>
      </c>
      <c r="I152" s="325">
        <f t="shared" si="68"/>
        <v>11428.369027153392</v>
      </c>
      <c r="J152" s="328">
        <f t="shared" si="69"/>
        <v>1.5707088252451216</v>
      </c>
      <c r="K152" s="336">
        <f t="shared" si="91"/>
        <v>2.3804949149800079</v>
      </c>
      <c r="L152" s="337">
        <f t="shared" si="92"/>
        <v>1.1372620678570236</v>
      </c>
      <c r="M152" s="325">
        <f t="shared" si="72"/>
        <v>1.0002170752669182</v>
      </c>
      <c r="N152" s="337">
        <f t="shared" si="73"/>
        <v>2.0834394933918844E-2</v>
      </c>
      <c r="O152" s="343">
        <f t="shared" si="74"/>
        <v>1.0012509735628683</v>
      </c>
      <c r="P152" s="691">
        <f t="shared" si="75"/>
        <v>4.9993416388787675E-2</v>
      </c>
      <c r="Q152" s="336">
        <f t="shared" si="90"/>
        <v>6.3174237071801143</v>
      </c>
      <c r="R152" s="692">
        <f t="shared" si="76"/>
        <v>5.5383214853751646E-2</v>
      </c>
      <c r="S152" s="329">
        <f t="shared" si="77"/>
        <v>1.0012172902161851</v>
      </c>
      <c r="T152" s="330">
        <f t="shared" si="78"/>
        <v>5.0660649490287521E-2</v>
      </c>
      <c r="U152" s="331">
        <f t="shared" si="79"/>
        <v>13.979430204970399</v>
      </c>
      <c r="V152" s="332">
        <f t="shared" si="80"/>
        <v>-108.01472664729933</v>
      </c>
      <c r="W152" s="334">
        <f t="shared" si="81"/>
        <v>71.985273352700673</v>
      </c>
      <c r="Y152" s="307">
        <f t="shared" si="82"/>
        <v>1000000000</v>
      </c>
      <c r="Z152" s="307">
        <f t="shared" si="83"/>
        <v>74140710.25</v>
      </c>
      <c r="AB152" s="333">
        <f t="shared" si="84"/>
        <v>24.078999165565573</v>
      </c>
      <c r="AC152" s="334">
        <f t="shared" si="85"/>
        <v>-26.028392770133021</v>
      </c>
      <c r="AE152" s="333">
        <f t="shared" si="86"/>
        <v>32.645215494933161</v>
      </c>
      <c r="AF152" s="334">
        <f t="shared" si="87"/>
        <v>-81.677521172344925</v>
      </c>
      <c r="AH152">
        <f t="shared" si="88"/>
        <v>0</v>
      </c>
      <c r="AI152">
        <f t="shared" si="61"/>
        <v>0</v>
      </c>
    </row>
    <row r="153" spans="1:35" x14ac:dyDescent="0.2">
      <c r="A153" s="338">
        <v>8660.0499999999993</v>
      </c>
      <c r="B153" s="352">
        <f t="shared" si="89"/>
        <v>8.66005</v>
      </c>
      <c r="C153" s="325">
        <f t="shared" si="62"/>
        <v>5.463802725799165</v>
      </c>
      <c r="D153" s="326">
        <f t="shared" si="63"/>
        <v>1.3867361019840316</v>
      </c>
      <c r="E153" s="326">
        <f t="shared" si="64"/>
        <v>1.0000592130828441</v>
      </c>
      <c r="F153" s="327">
        <f t="shared" si="65"/>
        <v>1.0882110196772446E-2</v>
      </c>
      <c r="G153" s="326">
        <f t="shared" si="66"/>
        <v>1</v>
      </c>
      <c r="H153" s="327">
        <f t="shared" si="67"/>
        <v>0</v>
      </c>
      <c r="I153" s="325">
        <f t="shared" si="68"/>
        <v>11494.134741220189</v>
      </c>
      <c r="J153" s="328">
        <f t="shared" si="69"/>
        <v>1.5707093259006339</v>
      </c>
      <c r="K153" s="336">
        <f t="shared" si="91"/>
        <v>2.3917820194704706</v>
      </c>
      <c r="L153" s="337">
        <f t="shared" si="92"/>
        <v>1.1394454729909167</v>
      </c>
      <c r="M153" s="325">
        <f t="shared" si="72"/>
        <v>1.0002195805439409</v>
      </c>
      <c r="N153" s="337">
        <f t="shared" si="73"/>
        <v>2.0954253591513511E-2</v>
      </c>
      <c r="O153" s="343">
        <f t="shared" si="74"/>
        <v>1.0012654035750075</v>
      </c>
      <c r="P153" s="691">
        <f t="shared" si="75"/>
        <v>5.0280625343202469E-2</v>
      </c>
      <c r="Q153" s="336">
        <f t="shared" si="90"/>
        <v>6.3175340604416439</v>
      </c>
      <c r="R153" s="692">
        <f t="shared" si="76"/>
        <v>5.5701278292713069E-2</v>
      </c>
      <c r="S153" s="329">
        <f t="shared" si="77"/>
        <v>1.00123133195519</v>
      </c>
      <c r="T153" s="330">
        <f t="shared" si="78"/>
        <v>5.0951717986714426E-2</v>
      </c>
      <c r="U153" s="331">
        <f t="shared" si="79"/>
        <v>13.922350410090802</v>
      </c>
      <c r="V153" s="332">
        <f t="shared" si="80"/>
        <v>-107.97071493672124</v>
      </c>
      <c r="W153" s="334">
        <f t="shared" si="81"/>
        <v>72.029285063278763</v>
      </c>
      <c r="Y153" s="307">
        <f t="shared" si="82"/>
        <v>1000000000</v>
      </c>
      <c r="Z153" s="307">
        <f t="shared" si="83"/>
        <v>74996466.002499983</v>
      </c>
      <c r="AB153" s="333">
        <f t="shared" si="84"/>
        <v>24.07022361377031</v>
      </c>
      <c r="AC153" s="334">
        <f t="shared" si="85"/>
        <v>-25.910188951524802</v>
      </c>
      <c r="AE153" s="333">
        <f t="shared" si="86"/>
        <v>32.596937796344228</v>
      </c>
      <c r="AF153" s="334">
        <f t="shared" si="87"/>
        <v>-81.749945448629447</v>
      </c>
      <c r="AH153">
        <f t="shared" si="88"/>
        <v>0</v>
      </c>
      <c r="AI153">
        <f t="shared" si="61"/>
        <v>0</v>
      </c>
    </row>
    <row r="154" spans="1:35" x14ac:dyDescent="0.2">
      <c r="A154" s="338">
        <v>8709.6</v>
      </c>
      <c r="B154" s="352">
        <f t="shared" si="89"/>
        <v>8.7096</v>
      </c>
      <c r="C154" s="325">
        <f t="shared" si="62"/>
        <v>5.4940205174909353</v>
      </c>
      <c r="D154" s="326">
        <f t="shared" si="63"/>
        <v>1.3877599478734262</v>
      </c>
      <c r="E154" s="326">
        <f t="shared" si="64"/>
        <v>1.0000598925971351</v>
      </c>
      <c r="F154" s="327">
        <f t="shared" si="65"/>
        <v>1.0944369147520212E-2</v>
      </c>
      <c r="G154" s="326">
        <f t="shared" si="66"/>
        <v>1</v>
      </c>
      <c r="H154" s="327">
        <f t="shared" si="67"/>
        <v>0</v>
      </c>
      <c r="I154" s="325">
        <f t="shared" si="68"/>
        <v>11559.900455289833</v>
      </c>
      <c r="J154" s="328">
        <f t="shared" si="69"/>
        <v>1.5707098208595631</v>
      </c>
      <c r="K154" s="336">
        <f t="shared" si="91"/>
        <v>2.4030804190602115</v>
      </c>
      <c r="L154" s="337">
        <f t="shared" si="92"/>
        <v>1.1416083572207107</v>
      </c>
      <c r="M154" s="325">
        <f t="shared" si="72"/>
        <v>1.0002221001901437</v>
      </c>
      <c r="N154" s="337">
        <f t="shared" si="73"/>
        <v>2.1074111646961359E-2</v>
      </c>
      <c r="O154" s="343">
        <f t="shared" si="74"/>
        <v>1.0012799161781274</v>
      </c>
      <c r="P154" s="691">
        <f t="shared" si="75"/>
        <v>5.0567825995664582E-2</v>
      </c>
      <c r="Q154" s="336">
        <f t="shared" si="90"/>
        <v>6.317645044976393</v>
      </c>
      <c r="R154" s="692">
        <f t="shared" si="76"/>
        <v>5.6019330657330536E-2</v>
      </c>
      <c r="S154" s="329">
        <f t="shared" si="77"/>
        <v>1.0012454540689646</v>
      </c>
      <c r="T154" s="330">
        <f t="shared" si="78"/>
        <v>5.1242778522280492E-2</v>
      </c>
      <c r="U154" s="331">
        <f t="shared" si="79"/>
        <v>13.865657846911308</v>
      </c>
      <c r="V154" s="332">
        <f t="shared" si="80"/>
        <v>-107.9272256048918</v>
      </c>
      <c r="W154" s="334">
        <f t="shared" si="81"/>
        <v>72.072774395108198</v>
      </c>
      <c r="Y154" s="307">
        <f t="shared" si="82"/>
        <v>1000000000</v>
      </c>
      <c r="Z154" s="307">
        <f t="shared" si="83"/>
        <v>75857132.160000011</v>
      </c>
      <c r="AB154" s="333">
        <f t="shared" si="84"/>
        <v>24.06157968522605</v>
      </c>
      <c r="AC154" s="334">
        <f t="shared" si="85"/>
        <v>-25.793160533223951</v>
      </c>
      <c r="AE154" s="333">
        <f t="shared" si="86"/>
        <v>32.548915856812563</v>
      </c>
      <c r="AF154" s="334">
        <f t="shared" si="87"/>
        <v>-81.821716862201569</v>
      </c>
      <c r="AH154">
        <f t="shared" si="88"/>
        <v>0</v>
      </c>
      <c r="AI154">
        <f t="shared" ref="AI154:AI217" si="93">IF(AH154&gt;0,W154,0)</f>
        <v>0</v>
      </c>
    </row>
    <row r="155" spans="1:35" x14ac:dyDescent="0.2">
      <c r="A155" s="338">
        <v>8760.3250000000007</v>
      </c>
      <c r="B155" s="352">
        <f t="shared" si="89"/>
        <v>8.7603249999999999</v>
      </c>
      <c r="C155" s="325">
        <f t="shared" si="62"/>
        <v>5.5249607759965631</v>
      </c>
      <c r="D155" s="326">
        <f t="shared" si="63"/>
        <v>1.3887964705339457</v>
      </c>
      <c r="E155" s="326">
        <f t="shared" si="64"/>
        <v>1.0000605922404124</v>
      </c>
      <c r="F155" s="327">
        <f t="shared" si="65"/>
        <v>1.1008104383071069E-2</v>
      </c>
      <c r="G155" s="326">
        <f t="shared" si="66"/>
        <v>1</v>
      </c>
      <c r="H155" s="327">
        <f t="shared" si="67"/>
        <v>0</v>
      </c>
      <c r="I155" s="325">
        <f t="shared" si="68"/>
        <v>11627.225699413475</v>
      </c>
      <c r="J155" s="328">
        <f t="shared" si="69"/>
        <v>1.5707103217557683</v>
      </c>
      <c r="K155" s="336">
        <f t="shared" si="91"/>
        <v>2.4146582768610614</v>
      </c>
      <c r="L155" s="337">
        <f t="shared" si="92"/>
        <v>1.1438015539990734</v>
      </c>
      <c r="M155" s="325">
        <f t="shared" si="72"/>
        <v>1.0002246944699977</v>
      </c>
      <c r="N155" s="337">
        <f t="shared" si="73"/>
        <v>2.1196811319587557E-2</v>
      </c>
      <c r="O155" s="343">
        <f t="shared" si="74"/>
        <v>1.0012948584729369</v>
      </c>
      <c r="P155" s="691">
        <f t="shared" si="75"/>
        <v>5.0861828509372847E-2</v>
      </c>
      <c r="Q155" s="336">
        <f t="shared" si="90"/>
        <v>6.3177593152045644</v>
      </c>
      <c r="R155" s="692">
        <f t="shared" si="76"/>
        <v>5.6344913594791823E-2</v>
      </c>
      <c r="S155" s="329">
        <f t="shared" si="77"/>
        <v>1.0012599943191351</v>
      </c>
      <c r="T155" s="330">
        <f t="shared" si="78"/>
        <v>5.1540732805448769E-2</v>
      </c>
      <c r="U155" s="331">
        <f t="shared" si="79"/>
        <v>13.808016626304854</v>
      </c>
      <c r="V155" s="332">
        <f t="shared" si="80"/>
        <v>-107.88324112015113</v>
      </c>
      <c r="W155" s="334">
        <f t="shared" si="81"/>
        <v>72.116758879848874</v>
      </c>
      <c r="Y155" s="307">
        <f t="shared" si="82"/>
        <v>1000000000</v>
      </c>
      <c r="Z155" s="307">
        <f t="shared" si="83"/>
        <v>76743294.105625018</v>
      </c>
      <c r="AB155" s="333">
        <f t="shared" si="84"/>
        <v>24.052864452353454</v>
      </c>
      <c r="AC155" s="334">
        <f t="shared" si="85"/>
        <v>-25.674558486674215</v>
      </c>
      <c r="AE155" s="333">
        <f t="shared" si="86"/>
        <v>32.500017353191765</v>
      </c>
      <c r="AF155" s="334">
        <f t="shared" si="87"/>
        <v>-81.894524999012262</v>
      </c>
      <c r="AH155">
        <f t="shared" si="88"/>
        <v>0</v>
      </c>
      <c r="AI155">
        <f t="shared" si="93"/>
        <v>0</v>
      </c>
    </row>
    <row r="156" spans="1:35" x14ac:dyDescent="0.2">
      <c r="A156" s="338">
        <v>8811.0499999999993</v>
      </c>
      <c r="B156" s="352">
        <f t="shared" si="89"/>
        <v>8.8110499999999998</v>
      </c>
      <c r="C156" s="325">
        <f t="shared" si="62"/>
        <v>5.5559069042887401</v>
      </c>
      <c r="D156" s="326">
        <f t="shared" si="63"/>
        <v>1.3898214475249662</v>
      </c>
      <c r="E156" s="326">
        <f t="shared" si="64"/>
        <v>1.0000612959461104</v>
      </c>
      <c r="F156" s="327">
        <f t="shared" si="65"/>
        <v>1.107183952918463E-2</v>
      </c>
      <c r="G156" s="326">
        <f t="shared" si="66"/>
        <v>1</v>
      </c>
      <c r="H156" s="327">
        <f t="shared" si="67"/>
        <v>0</v>
      </c>
      <c r="I156" s="325">
        <f t="shared" si="68"/>
        <v>11694.550943539998</v>
      </c>
      <c r="J156" s="328">
        <f t="shared" si="69"/>
        <v>1.5707108168846788</v>
      </c>
      <c r="K156" s="336">
        <f t="shared" si="91"/>
        <v>2.4262476385569611</v>
      </c>
      <c r="L156" s="337">
        <f t="shared" si="92"/>
        <v>1.1459738088296061</v>
      </c>
      <c r="M156" s="325">
        <f t="shared" si="72"/>
        <v>1.000227303808366</v>
      </c>
      <c r="N156" s="337">
        <f t="shared" si="73"/>
        <v>2.1319510353876591E-2</v>
      </c>
      <c r="O156" s="343">
        <f t="shared" si="74"/>
        <v>1.0013098873145609</v>
      </c>
      <c r="P156" s="691">
        <f t="shared" si="75"/>
        <v>5.1155822223018482E-2</v>
      </c>
      <c r="Q156" s="336">
        <f t="shared" si="90"/>
        <v>6.317874246929482</v>
      </c>
      <c r="R156" s="692">
        <f t="shared" si="76"/>
        <v>5.6670484793750982E-2</v>
      </c>
      <c r="S156" s="329">
        <f t="shared" si="77"/>
        <v>1.0012746187939825</v>
      </c>
      <c r="T156" s="330">
        <f t="shared" si="78"/>
        <v>5.1838678650084034E-2</v>
      </c>
      <c r="U156" s="331">
        <f t="shared" si="79"/>
        <v>13.750770361975722</v>
      </c>
      <c r="V156" s="332">
        <f t="shared" si="80"/>
        <v>-107.8397939887587</v>
      </c>
      <c r="W156" s="334">
        <f t="shared" si="81"/>
        <v>72.1602060112413</v>
      </c>
      <c r="Y156" s="307">
        <f t="shared" si="82"/>
        <v>1000000000</v>
      </c>
      <c r="Z156" s="307">
        <f t="shared" si="83"/>
        <v>77634602.102499992</v>
      </c>
      <c r="AB156" s="333">
        <f t="shared" si="84"/>
        <v>24.044281801467832</v>
      </c>
      <c r="AC156" s="334">
        <f t="shared" si="85"/>
        <v>-25.557155958335613</v>
      </c>
      <c r="AE156" s="333">
        <f t="shared" si="86"/>
        <v>32.451381381635123</v>
      </c>
      <c r="AF156" s="334">
        <f t="shared" si="87"/>
        <v>-81.966671139320297</v>
      </c>
      <c r="AH156">
        <f t="shared" si="88"/>
        <v>0</v>
      </c>
      <c r="AI156">
        <f t="shared" si="93"/>
        <v>0</v>
      </c>
    </row>
    <row r="157" spans="1:35" x14ac:dyDescent="0.2">
      <c r="A157" s="338">
        <v>8861.7749999999996</v>
      </c>
      <c r="B157" s="352">
        <f t="shared" si="89"/>
        <v>8.8617749999999997</v>
      </c>
      <c r="C157" s="325">
        <f t="shared" si="62"/>
        <v>5.5868588048275969</v>
      </c>
      <c r="D157" s="326">
        <f t="shared" si="63"/>
        <v>1.3908350685681443</v>
      </c>
      <c r="E157" s="326">
        <f t="shared" si="64"/>
        <v>1.0000620037142205</v>
      </c>
      <c r="F157" s="327">
        <f t="shared" si="65"/>
        <v>1.1135574585343281E-2</v>
      </c>
      <c r="G157" s="326">
        <f t="shared" si="66"/>
        <v>1</v>
      </c>
      <c r="H157" s="327">
        <f t="shared" si="67"/>
        <v>0</v>
      </c>
      <c r="I157" s="325">
        <f t="shared" si="68"/>
        <v>11761.876187669359</v>
      </c>
      <c r="J157" s="328">
        <f t="shared" si="69"/>
        <v>1.5707113063453315</v>
      </c>
      <c r="K157" s="336">
        <f t="shared" si="91"/>
        <v>2.437848340081763</v>
      </c>
      <c r="L157" s="337">
        <f t="shared" si="92"/>
        <v>1.1481254000265031</v>
      </c>
      <c r="M157" s="325">
        <f t="shared" si="72"/>
        <v>1.0002299282051306</v>
      </c>
      <c r="N157" s="337">
        <f t="shared" si="73"/>
        <v>2.1442208746139002E-2</v>
      </c>
      <c r="O157" s="343">
        <f t="shared" si="74"/>
        <v>1.0013250026991032</v>
      </c>
      <c r="P157" s="691">
        <f t="shared" si="75"/>
        <v>5.1449807086177801E-2</v>
      </c>
      <c r="Q157" s="336">
        <f t="shared" si="90"/>
        <v>6.3179898401150494</v>
      </c>
      <c r="R157" s="692">
        <f t="shared" si="76"/>
        <v>5.6996044187097535E-2</v>
      </c>
      <c r="S157" s="329">
        <f t="shared" si="77"/>
        <v>1.0012893274898274</v>
      </c>
      <c r="T157" s="330">
        <f t="shared" si="78"/>
        <v>5.2136616007820047E-2</v>
      </c>
      <c r="U157" s="331">
        <f t="shared" si="79"/>
        <v>13.69391371848312</v>
      </c>
      <c r="V157" s="332">
        <f t="shared" si="80"/>
        <v>-107.79687913650146</v>
      </c>
      <c r="W157" s="334">
        <f t="shared" si="81"/>
        <v>72.20312086349854</v>
      </c>
      <c r="Y157" s="307">
        <f t="shared" si="82"/>
        <v>1000000000</v>
      </c>
      <c r="Z157" s="307">
        <f t="shared" si="83"/>
        <v>78531056.15062499</v>
      </c>
      <c r="AB157" s="333">
        <f t="shared" si="84"/>
        <v>24.035829118457663</v>
      </c>
      <c r="AC157" s="334">
        <f t="shared" si="85"/>
        <v>-25.440937007442429</v>
      </c>
      <c r="AE157" s="333">
        <f t="shared" si="86"/>
        <v>32.403005220781729</v>
      </c>
      <c r="AF157" s="334">
        <f t="shared" si="87"/>
        <v>-82.038166150634382</v>
      </c>
      <c r="AH157">
        <f t="shared" si="88"/>
        <v>0</v>
      </c>
      <c r="AI157">
        <f t="shared" si="93"/>
        <v>0</v>
      </c>
    </row>
    <row r="158" spans="1:35" x14ac:dyDescent="0.2">
      <c r="A158" s="335">
        <v>8912.5</v>
      </c>
      <c r="B158" s="352">
        <f t="shared" si="89"/>
        <v>8.9124999999999996</v>
      </c>
      <c r="C158" s="325">
        <f t="shared" si="62"/>
        <v>5.6178163822048832</v>
      </c>
      <c r="D158" s="326">
        <f t="shared" si="63"/>
        <v>1.3918375192977241</v>
      </c>
      <c r="E158" s="326">
        <f t="shared" si="64"/>
        <v>1.0000627155447341</v>
      </c>
      <c r="F158" s="327">
        <f t="shared" si="65"/>
        <v>1.1199309551029409E-2</v>
      </c>
      <c r="G158" s="326">
        <f t="shared" si="66"/>
        <v>1</v>
      </c>
      <c r="H158" s="327">
        <f t="shared" si="67"/>
        <v>0</v>
      </c>
      <c r="I158" s="325">
        <f t="shared" si="68"/>
        <v>11829.201431801504</v>
      </c>
      <c r="J158" s="328">
        <f t="shared" si="69"/>
        <v>1.5707117902345078</v>
      </c>
      <c r="K158" s="336">
        <f t="shared" ref="K158:K214" si="94">SQRT(1+(A158/Zero2)^2)</f>
        <v>2.449460220318378</v>
      </c>
      <c r="L158" s="337">
        <f t="shared" ref="L158:L214" si="95">ATAN(A158/Zero2)</f>
        <v>1.1502566013994959</v>
      </c>
      <c r="M158" s="325">
        <f t="shared" si="72"/>
        <v>1.0002325676601729</v>
      </c>
      <c r="N158" s="337">
        <f t="shared" si="73"/>
        <v>2.1564906492685422E-2</v>
      </c>
      <c r="O158" s="343">
        <f t="shared" si="74"/>
        <v>1.0013402046226441</v>
      </c>
      <c r="P158" s="691">
        <f t="shared" si="75"/>
        <v>5.1743783048436222E-2</v>
      </c>
      <c r="Q158" s="336">
        <f t="shared" si="90"/>
        <v>6.3181060947249676</v>
      </c>
      <c r="R158" s="692">
        <f t="shared" si="76"/>
        <v>5.7321591707735722E-2</v>
      </c>
      <c r="S158" s="329">
        <f t="shared" si="77"/>
        <v>1.00130412040297</v>
      </c>
      <c r="T158" s="330">
        <f t="shared" si="78"/>
        <v>5.2434544830299079E-2</v>
      </c>
      <c r="U158" s="331">
        <f t="shared" si="79"/>
        <v>13.637441462855699</v>
      </c>
      <c r="V158" s="332">
        <f t="shared" si="80"/>
        <v>-107.75449151293317</v>
      </c>
      <c r="W158" s="334">
        <f t="shared" si="81"/>
        <v>72.245508487066829</v>
      </c>
      <c r="Y158" s="307">
        <f t="shared" si="82"/>
        <v>1000000000</v>
      </c>
      <c r="Z158" s="307">
        <f t="shared" si="83"/>
        <v>79432656.25</v>
      </c>
      <c r="AB158" s="333">
        <f t="shared" si="84"/>
        <v>24.027503851521441</v>
      </c>
      <c r="AC158" s="334">
        <f t="shared" si="85"/>
        <v>-25.325885951186422</v>
      </c>
      <c r="AE158" s="333">
        <f t="shared" si="86"/>
        <v>32.35488618942999</v>
      </c>
      <c r="AF158" s="334">
        <f t="shared" si="87"/>
        <v>-82.109020666272201</v>
      </c>
      <c r="AH158">
        <f t="shared" si="88"/>
        <v>0</v>
      </c>
      <c r="AI158">
        <f t="shared" si="93"/>
        <v>0</v>
      </c>
    </row>
    <row r="159" spans="1:35" x14ac:dyDescent="0.2">
      <c r="A159" s="335">
        <v>8964.4</v>
      </c>
      <c r="B159" s="352">
        <f t="shared" si="89"/>
        <v>8.9643999999999995</v>
      </c>
      <c r="C159" s="325">
        <f t="shared" si="62"/>
        <v>5.649496842901554</v>
      </c>
      <c r="D159" s="326">
        <f t="shared" si="63"/>
        <v>1.3928518189241679</v>
      </c>
      <c r="E159" s="326">
        <f t="shared" si="64"/>
        <v>1.0000634480688126</v>
      </c>
      <c r="F159" s="327">
        <f t="shared" si="65"/>
        <v>1.1264520786944976E-2</v>
      </c>
      <c r="G159" s="326">
        <f t="shared" si="66"/>
        <v>1</v>
      </c>
      <c r="H159" s="327">
        <f t="shared" si="67"/>
        <v>0</v>
      </c>
      <c r="I159" s="325">
        <f t="shared" si="68"/>
        <v>11898.086205987844</v>
      </c>
      <c r="J159" s="328">
        <f t="shared" si="69"/>
        <v>1.5707122796646384</v>
      </c>
      <c r="K159" s="336">
        <f t="shared" si="94"/>
        <v>2.4613524846557664</v>
      </c>
      <c r="L159" s="337">
        <f t="shared" si="95"/>
        <v>1.1524163473591928</v>
      </c>
      <c r="M159" s="325">
        <f t="shared" si="72"/>
        <v>1.0002352838412807</v>
      </c>
      <c r="N159" s="337">
        <f t="shared" si="73"/>
        <v>2.1690445752414741E-2</v>
      </c>
      <c r="O159" s="343">
        <f t="shared" si="74"/>
        <v>1.001355848250375</v>
      </c>
      <c r="P159" s="691">
        <f t="shared" si="75"/>
        <v>5.204455944010259E-2</v>
      </c>
      <c r="Q159" s="336">
        <f t="shared" si="90"/>
        <v>6.3182257268163458</v>
      </c>
      <c r="R159" s="692">
        <f t="shared" si="76"/>
        <v>5.7654667891900512E-2</v>
      </c>
      <c r="S159" s="329">
        <f t="shared" si="77"/>
        <v>1.0013193431431715</v>
      </c>
      <c r="T159" s="330">
        <f t="shared" si="78"/>
        <v>5.273936602730693E-2</v>
      </c>
      <c r="U159" s="331">
        <f t="shared" si="79"/>
        <v>13.580053570982669</v>
      </c>
      <c r="V159" s="332">
        <f t="shared" si="80"/>
        <v>-107.7116624656458</v>
      </c>
      <c r="W159" s="334">
        <f t="shared" si="81"/>
        <v>72.288337534354199</v>
      </c>
      <c r="Y159" s="307">
        <f t="shared" si="82"/>
        <v>1000000000</v>
      </c>
      <c r="Z159" s="307">
        <f t="shared" si="83"/>
        <v>80360467.359999999</v>
      </c>
      <c r="AB159" s="333">
        <f t="shared" si="84"/>
        <v>24.019115016583417</v>
      </c>
      <c r="AC159" s="334">
        <f t="shared" si="85"/>
        <v>-25.209362534768744</v>
      </c>
      <c r="AE159" s="333">
        <f t="shared" si="86"/>
        <v>32.305915900640841</v>
      </c>
      <c r="AF159" s="334">
        <f t="shared" si="87"/>
        <v>-82.180864393611103</v>
      </c>
      <c r="AH159">
        <f t="shared" si="88"/>
        <v>0</v>
      </c>
      <c r="AI159">
        <f t="shared" si="93"/>
        <v>0</v>
      </c>
    </row>
    <row r="160" spans="1:35" x14ac:dyDescent="0.2">
      <c r="A160" s="335">
        <v>9016.2999999999993</v>
      </c>
      <c r="B160" s="352">
        <f t="shared" si="89"/>
        <v>9.0162999999999993</v>
      </c>
      <c r="C160" s="325">
        <f t="shared" si="62"/>
        <v>5.6811830509958101</v>
      </c>
      <c r="D160" s="326">
        <f t="shared" si="63"/>
        <v>1.3938548052713913</v>
      </c>
      <c r="E160" s="326">
        <f t="shared" si="64"/>
        <v>1.00006418484566</v>
      </c>
      <c r="F160" s="327">
        <f t="shared" si="65"/>
        <v>1.1329731927051766E-2</v>
      </c>
      <c r="G160" s="326">
        <f t="shared" si="66"/>
        <v>1</v>
      </c>
      <c r="H160" s="327">
        <f t="shared" si="67"/>
        <v>0</v>
      </c>
      <c r="I160" s="325">
        <f t="shared" si="68"/>
        <v>11966.970980176999</v>
      </c>
      <c r="J160" s="328">
        <f t="shared" si="69"/>
        <v>1.5707127634602132</v>
      </c>
      <c r="K160" s="336">
        <f t="shared" si="94"/>
        <v>2.4732561195381448</v>
      </c>
      <c r="L160" s="337">
        <f t="shared" si="95"/>
        <v>1.1545553137580711</v>
      </c>
      <c r="M160" s="325">
        <f t="shared" si="72"/>
        <v>1.0002380157861162</v>
      </c>
      <c r="N160" s="337">
        <f t="shared" si="73"/>
        <v>2.1815984328353105E-2</v>
      </c>
      <c r="O160" s="343">
        <f t="shared" si="74"/>
        <v>1.0013715824643674</v>
      </c>
      <c r="P160" s="691">
        <f t="shared" si="75"/>
        <v>5.2345326406981536E-2</v>
      </c>
      <c r="Q160" s="336">
        <f t="shared" si="90"/>
        <v>6.3183460512520657</v>
      </c>
      <c r="R160" s="692">
        <f t="shared" si="76"/>
        <v>5.7987731504885016E-2</v>
      </c>
      <c r="S160" s="329">
        <f t="shared" si="77"/>
        <v>1.0013346540395947</v>
      </c>
      <c r="T160" s="330">
        <f t="shared" si="78"/>
        <v>5.3044178186661461E-2</v>
      </c>
      <c r="U160" s="331">
        <f t="shared" si="79"/>
        <v>13.523057315842186</v>
      </c>
      <c r="V160" s="332">
        <f t="shared" si="80"/>
        <v>-107.66937474172276</v>
      </c>
      <c r="W160" s="334">
        <f t="shared" si="81"/>
        <v>72.330625258277237</v>
      </c>
      <c r="Y160" s="307">
        <f t="shared" si="82"/>
        <v>1000000000</v>
      </c>
      <c r="Z160" s="307">
        <f t="shared" si="83"/>
        <v>81293665.689999983</v>
      </c>
      <c r="AB160" s="333">
        <f t="shared" si="84"/>
        <v>24.010854356756475</v>
      </c>
      <c r="AC160" s="334">
        <f t="shared" si="85"/>
        <v>-25.094029337472872</v>
      </c>
      <c r="AE160" s="333">
        <f t="shared" si="86"/>
        <v>32.257209238506761</v>
      </c>
      <c r="AF160" s="334">
        <f t="shared" si="87"/>
        <v>-82.25205940546752</v>
      </c>
      <c r="AH160">
        <f t="shared" si="88"/>
        <v>0</v>
      </c>
      <c r="AI160">
        <f t="shared" si="93"/>
        <v>0</v>
      </c>
    </row>
    <row r="161" spans="1:35" x14ac:dyDescent="0.2">
      <c r="A161" s="335">
        <v>9068.2000000000007</v>
      </c>
      <c r="B161" s="352">
        <f t="shared" si="89"/>
        <v>9.0682000000000009</v>
      </c>
      <c r="C161" s="325">
        <f t="shared" si="62"/>
        <v>5.7128749108545973</v>
      </c>
      <c r="D161" s="326">
        <f t="shared" si="63"/>
        <v>1.3948466645838336</v>
      </c>
      <c r="E161" s="326">
        <f t="shared" si="64"/>
        <v>1.000064925875267</v>
      </c>
      <c r="F161" s="327">
        <f t="shared" si="65"/>
        <v>1.1394942970795371E-2</v>
      </c>
      <c r="G161" s="326">
        <f t="shared" si="66"/>
        <v>1</v>
      </c>
      <c r="H161" s="327">
        <f t="shared" si="67"/>
        <v>0</v>
      </c>
      <c r="I161" s="325">
        <f t="shared" si="68"/>
        <v>12035.855754368928</v>
      </c>
      <c r="J161" s="328">
        <f t="shared" si="69"/>
        <v>1.5707132417179765</v>
      </c>
      <c r="K161" s="336">
        <f t="shared" si="94"/>
        <v>2.4851709615753732</v>
      </c>
      <c r="L161" s="337">
        <f t="shared" si="95"/>
        <v>1.1566737797571076</v>
      </c>
      <c r="M161" s="325">
        <f t="shared" si="72"/>
        <v>1.0002407634945507</v>
      </c>
      <c r="N161" s="337">
        <f t="shared" si="73"/>
        <v>2.194152221654919E-2</v>
      </c>
      <c r="O161" s="343">
        <f t="shared" si="74"/>
        <v>1.001387407260351</v>
      </c>
      <c r="P161" s="691">
        <f t="shared" si="75"/>
        <v>5.2646083895103397E-2</v>
      </c>
      <c r="Q161" s="336">
        <f t="shared" si="90"/>
        <v>6.3184670679925805</v>
      </c>
      <c r="R161" s="692">
        <f t="shared" si="76"/>
        <v>5.832078247487063E-2</v>
      </c>
      <c r="S161" s="329">
        <f t="shared" si="77"/>
        <v>1.0013500530882082</v>
      </c>
      <c r="T161" s="330">
        <f t="shared" si="78"/>
        <v>5.3348981256594069E-2</v>
      </c>
      <c r="U161" s="331">
        <f t="shared" si="79"/>
        <v>13.466447409514879</v>
      </c>
      <c r="V161" s="332">
        <f t="shared" si="80"/>
        <v>-107.62762301879818</v>
      </c>
      <c r="W161" s="334">
        <f t="shared" si="81"/>
        <v>72.372376981201825</v>
      </c>
      <c r="Y161" s="307">
        <f t="shared" si="82"/>
        <v>1000000000</v>
      </c>
      <c r="Z161" s="307">
        <f t="shared" si="83"/>
        <v>82232251.24000001</v>
      </c>
      <c r="AB161" s="333">
        <f t="shared" si="84"/>
        <v>24.002719330222128</v>
      </c>
      <c r="AC161" s="334">
        <f t="shared" si="85"/>
        <v>-24.979870369869637</v>
      </c>
      <c r="AE161" s="333">
        <f t="shared" si="86"/>
        <v>32.208763456892257</v>
      </c>
      <c r="AF161" s="334">
        <f t="shared" si="87"/>
        <v>-82.322616369927459</v>
      </c>
      <c r="AH161">
        <f t="shared" si="88"/>
        <v>0</v>
      </c>
      <c r="AI161">
        <f t="shared" si="93"/>
        <v>0</v>
      </c>
    </row>
    <row r="162" spans="1:35" x14ac:dyDescent="0.2">
      <c r="A162" s="335">
        <v>9120.1</v>
      </c>
      <c r="B162" s="352">
        <f t="shared" si="89"/>
        <v>9.1201000000000008</v>
      </c>
      <c r="C162" s="325">
        <f t="shared" si="62"/>
        <v>5.7445723289383475</v>
      </c>
      <c r="D162" s="326">
        <f t="shared" si="63"/>
        <v>1.3958275790839705</v>
      </c>
      <c r="E162" s="326">
        <f t="shared" si="64"/>
        <v>1.0000656711576239</v>
      </c>
      <c r="F162" s="327">
        <f t="shared" si="65"/>
        <v>1.1460153917621384E-2</v>
      </c>
      <c r="G162" s="326">
        <f t="shared" si="66"/>
        <v>1</v>
      </c>
      <c r="H162" s="327">
        <f t="shared" si="67"/>
        <v>0</v>
      </c>
      <c r="I162" s="325">
        <f t="shared" si="68"/>
        <v>12104.740528563574</v>
      </c>
      <c r="J162" s="328">
        <f t="shared" si="69"/>
        <v>1.5707137145324712</v>
      </c>
      <c r="K162" s="336">
        <f t="shared" si="94"/>
        <v>2.4970968503433864</v>
      </c>
      <c r="L162" s="337">
        <f t="shared" si="95"/>
        <v>1.1587720199278697</v>
      </c>
      <c r="M162" s="325">
        <f t="shared" si="72"/>
        <v>1.0002435269664545</v>
      </c>
      <c r="N162" s="337">
        <f t="shared" si="73"/>
        <v>2.2067059413051766E-2</v>
      </c>
      <c r="O162" s="343">
        <f t="shared" si="74"/>
        <v>1.001403322634032</v>
      </c>
      <c r="P162" s="691">
        <f t="shared" si="75"/>
        <v>5.294683185050874E-2</v>
      </c>
      <c r="Q162" s="336">
        <f t="shared" si="90"/>
        <v>6.3185887769981184</v>
      </c>
      <c r="R162" s="692">
        <f t="shared" si="76"/>
        <v>5.8653820730055276E-2</v>
      </c>
      <c r="S162" s="329">
        <f t="shared" si="77"/>
        <v>1.0013655402849577</v>
      </c>
      <c r="T162" s="330">
        <f t="shared" si="78"/>
        <v>5.3653775185345712E-2</v>
      </c>
      <c r="U162" s="331">
        <f t="shared" si="79"/>
        <v>13.410218665897244</v>
      </c>
      <c r="V162" s="332">
        <f t="shared" si="80"/>
        <v>-107.58640200689322</v>
      </c>
      <c r="W162" s="334">
        <f t="shared" si="81"/>
        <v>72.413597993106777</v>
      </c>
      <c r="Y162" s="307">
        <f t="shared" si="82"/>
        <v>1000000000</v>
      </c>
      <c r="Z162" s="307">
        <f t="shared" si="83"/>
        <v>83176224.010000005</v>
      </c>
      <c r="AB162" s="333">
        <f t="shared" si="84"/>
        <v>23.994707456152483</v>
      </c>
      <c r="AC162" s="334">
        <f t="shared" si="85"/>
        <v>-24.866869905357589</v>
      </c>
      <c r="AE162" s="333">
        <f t="shared" si="86"/>
        <v>32.160575850486914</v>
      </c>
      <c r="AF162" s="334">
        <f t="shared" si="87"/>
        <v>-82.392545724635895</v>
      </c>
      <c r="AH162">
        <f t="shared" si="88"/>
        <v>0</v>
      </c>
      <c r="AI162">
        <f t="shared" si="93"/>
        <v>0</v>
      </c>
    </row>
    <row r="163" spans="1:35" x14ac:dyDescent="0.2">
      <c r="A163" s="335">
        <v>9173.2000000000007</v>
      </c>
      <c r="B163" s="352">
        <f t="shared" si="89"/>
        <v>9.1732000000000014</v>
      </c>
      <c r="C163" s="325">
        <f t="shared" si="62"/>
        <v>5.7770082923645703</v>
      </c>
      <c r="D163" s="326">
        <f t="shared" si="63"/>
        <v>1.3968200322996362</v>
      </c>
      <c r="E163" s="326">
        <f t="shared" si="64"/>
        <v>1.000066438073314</v>
      </c>
      <c r="F163" s="327">
        <f t="shared" si="65"/>
        <v>1.1526872531121071E-2</v>
      </c>
      <c r="G163" s="326">
        <f t="shared" si="66"/>
        <v>1</v>
      </c>
      <c r="H163" s="327">
        <f t="shared" si="67"/>
        <v>0</v>
      </c>
      <c r="I163" s="325">
        <f t="shared" si="68"/>
        <v>12175.218014303062</v>
      </c>
      <c r="J163" s="328">
        <f t="shared" si="69"/>
        <v>1.5707141927419417</v>
      </c>
      <c r="K163" s="336">
        <f t="shared" si="94"/>
        <v>2.5093097507456421</v>
      </c>
      <c r="L163" s="337">
        <f t="shared" si="95"/>
        <v>1.1608981232459559</v>
      </c>
      <c r="M163" s="325">
        <f t="shared" si="72"/>
        <v>1.0002463706479183</v>
      </c>
      <c r="N163" s="337">
        <f t="shared" si="73"/>
        <v>2.2195498483704699E-2</v>
      </c>
      <c r="O163" s="343">
        <f t="shared" si="74"/>
        <v>1.0014196997320586</v>
      </c>
      <c r="P163" s="691">
        <f t="shared" si="75"/>
        <v>5.3254523593721757E-2</v>
      </c>
      <c r="Q163" s="336">
        <f t="shared" si="90"/>
        <v>6.3187140165022511</v>
      </c>
      <c r="R163" s="692">
        <f t="shared" si="76"/>
        <v>5.8994546057676109E-2</v>
      </c>
      <c r="S163" s="329">
        <f t="shared" si="77"/>
        <v>1.0013814767917872</v>
      </c>
      <c r="T163" s="330">
        <f t="shared" si="78"/>
        <v>5.3965606857935319E-2</v>
      </c>
      <c r="U163" s="331">
        <f t="shared" si="79"/>
        <v>13.353079015313069</v>
      </c>
      <c r="V163" s="332">
        <f t="shared" si="80"/>
        <v>-107.5447716853479</v>
      </c>
      <c r="W163" s="334">
        <f t="shared" si="81"/>
        <v>72.455228314652103</v>
      </c>
      <c r="Y163" s="307">
        <f t="shared" si="82"/>
        <v>1000000000</v>
      </c>
      <c r="Z163" s="307">
        <f t="shared" si="83"/>
        <v>84147598.24000001</v>
      </c>
      <c r="AB163" s="333">
        <f t="shared" si="84"/>
        <v>23.986635267869822</v>
      </c>
      <c r="AC163" s="334">
        <f t="shared" si="85"/>
        <v>-24.752439574349108</v>
      </c>
      <c r="AE163" s="333">
        <f t="shared" si="86"/>
        <v>32.111538498625585</v>
      </c>
      <c r="AF163" s="334">
        <f t="shared" si="87"/>
        <v>-82.463453049128134</v>
      </c>
      <c r="AH163">
        <f t="shared" si="88"/>
        <v>0</v>
      </c>
      <c r="AI163">
        <f t="shared" si="93"/>
        <v>0</v>
      </c>
    </row>
    <row r="164" spans="1:35" x14ac:dyDescent="0.2">
      <c r="A164" s="335">
        <v>9226.2999999999993</v>
      </c>
      <c r="B164" s="352">
        <f t="shared" si="89"/>
        <v>9.2262999999999984</v>
      </c>
      <c r="C164" s="325">
        <f t="shared" si="62"/>
        <v>5.8094498823895311</v>
      </c>
      <c r="D164" s="326">
        <f t="shared" si="63"/>
        <v>1.397801402201281</v>
      </c>
      <c r="E164" s="326">
        <f t="shared" si="64"/>
        <v>1.000067209440666</v>
      </c>
      <c r="F164" s="327">
        <f t="shared" si="65"/>
        <v>1.1593591041995545E-2</v>
      </c>
      <c r="G164" s="326">
        <f t="shared" si="66"/>
        <v>1</v>
      </c>
      <c r="H164" s="327">
        <f t="shared" si="67"/>
        <v>0</v>
      </c>
      <c r="I164" s="325">
        <f t="shared" si="68"/>
        <v>12245.695500045302</v>
      </c>
      <c r="J164" s="328">
        <f t="shared" si="69"/>
        <v>1.5707146654469473</v>
      </c>
      <c r="K164" s="336">
        <f t="shared" si="94"/>
        <v>2.5215338841124089</v>
      </c>
      <c r="L164" s="337">
        <f t="shared" si="95"/>
        <v>1.1630036217504165</v>
      </c>
      <c r="M164" s="325">
        <f t="shared" si="72"/>
        <v>1.0002492308299473</v>
      </c>
      <c r="N164" s="337">
        <f t="shared" si="73"/>
        <v>2.2323936821941233E-2</v>
      </c>
      <c r="O164" s="343">
        <f t="shared" si="74"/>
        <v>1.0014361716355971</v>
      </c>
      <c r="P164" s="691">
        <f t="shared" si="75"/>
        <v>5.3562205244062994E-2</v>
      </c>
      <c r="Q164" s="336">
        <f t="shared" si="90"/>
        <v>6.3188399805687983</v>
      </c>
      <c r="R164" s="692">
        <f t="shared" si="76"/>
        <v>5.9335257923725133E-2</v>
      </c>
      <c r="S164" s="329">
        <f t="shared" si="77"/>
        <v>1.0013975055614315</v>
      </c>
      <c r="T164" s="330">
        <f t="shared" si="78"/>
        <v>5.4277428852161358E-2</v>
      </c>
      <c r="U164" s="331">
        <f t="shared" si="79"/>
        <v>13.296327690122604</v>
      </c>
      <c r="V164" s="332">
        <f t="shared" si="80"/>
        <v>-107.50368580653655</v>
      </c>
      <c r="W164" s="334">
        <f t="shared" si="81"/>
        <v>72.496314193463448</v>
      </c>
      <c r="Y164" s="307">
        <f t="shared" si="82"/>
        <v>1000000000</v>
      </c>
      <c r="Z164" s="307">
        <f t="shared" si="83"/>
        <v>85124611.689999983</v>
      </c>
      <c r="AB164" s="333">
        <f t="shared" si="84"/>
        <v>23.978686927226814</v>
      </c>
      <c r="AC164" s="334">
        <f t="shared" si="85"/>
        <v>-24.639189454853401</v>
      </c>
      <c r="AE164" s="333">
        <f t="shared" si="86"/>
        <v>32.062765797124754</v>
      </c>
      <c r="AF164" s="334">
        <f t="shared" si="87"/>
        <v>-82.53372479785385</v>
      </c>
      <c r="AH164">
        <f t="shared" si="88"/>
        <v>0</v>
      </c>
      <c r="AI164">
        <f t="shared" si="93"/>
        <v>0</v>
      </c>
    </row>
    <row r="165" spans="1:35" x14ac:dyDescent="0.2">
      <c r="A165" s="335">
        <v>9279.4</v>
      </c>
      <c r="B165" s="352">
        <f t="shared" si="89"/>
        <v>9.279399999999999</v>
      </c>
      <c r="C165" s="325">
        <f t="shared" si="62"/>
        <v>5.8418970052752872</v>
      </c>
      <c r="D165" s="326">
        <f t="shared" si="63"/>
        <v>1.3987718715598569</v>
      </c>
      <c r="E165" s="326">
        <f t="shared" si="64"/>
        <v>1.0000679852596703</v>
      </c>
      <c r="F165" s="327">
        <f t="shared" si="65"/>
        <v>1.1660309449651067E-2</v>
      </c>
      <c r="G165" s="326">
        <f t="shared" si="66"/>
        <v>1</v>
      </c>
      <c r="H165" s="327">
        <f t="shared" si="67"/>
        <v>0</v>
      </c>
      <c r="I165" s="325">
        <f t="shared" si="68"/>
        <v>12316.172985790248</v>
      </c>
      <c r="J165" s="328">
        <f t="shared" si="69"/>
        <v>1.5707151327419833</v>
      </c>
      <c r="K165" s="336">
        <f t="shared" si="94"/>
        <v>2.5337690878638539</v>
      </c>
      <c r="L165" s="337">
        <f t="shared" si="95"/>
        <v>1.1650887951301565</v>
      </c>
      <c r="M165" s="325">
        <f t="shared" si="72"/>
        <v>1.0002521075124</v>
      </c>
      <c r="N165" s="337">
        <f t="shared" si="73"/>
        <v>2.2452374423530139E-2</v>
      </c>
      <c r="O165" s="343">
        <f t="shared" si="74"/>
        <v>1.001452738339969</v>
      </c>
      <c r="P165" s="691">
        <f t="shared" si="75"/>
        <v>5.3869876743776711E-2</v>
      </c>
      <c r="Q165" s="336">
        <f t="shared" si="90"/>
        <v>6.3189666691544355</v>
      </c>
      <c r="R165" s="692">
        <f t="shared" si="76"/>
        <v>5.9675956251358291E-2</v>
      </c>
      <c r="S165" s="329">
        <f t="shared" si="77"/>
        <v>1.0014136265894733</v>
      </c>
      <c r="T165" s="330">
        <f t="shared" si="78"/>
        <v>5.4589241112622401E-2</v>
      </c>
      <c r="U165" s="331">
        <f t="shared" si="79"/>
        <v>13.239959451152551</v>
      </c>
      <c r="V165" s="332">
        <f t="shared" si="80"/>
        <v>-107.4631388184073</v>
      </c>
      <c r="W165" s="334">
        <f t="shared" si="81"/>
        <v>72.536861181592698</v>
      </c>
      <c r="Y165" s="307">
        <f t="shared" si="82"/>
        <v>1000000000</v>
      </c>
      <c r="Z165" s="307">
        <f t="shared" si="83"/>
        <v>86107264.359999999</v>
      </c>
      <c r="AB165" s="333">
        <f t="shared" si="84"/>
        <v>23.970859964597039</v>
      </c>
      <c r="AC165" s="334">
        <f t="shared" si="85"/>
        <v>-24.527103527048368</v>
      </c>
      <c r="AE165" s="333">
        <f t="shared" si="86"/>
        <v>32.014254976399641</v>
      </c>
      <c r="AF165" s="334">
        <f t="shared" si="87"/>
        <v>-82.603371439676962</v>
      </c>
      <c r="AH165">
        <f t="shared" si="88"/>
        <v>0</v>
      </c>
      <c r="AI165">
        <f t="shared" si="93"/>
        <v>0</v>
      </c>
    </row>
    <row r="166" spans="1:35" x14ac:dyDescent="0.2">
      <c r="A166" s="335">
        <v>9332.5</v>
      </c>
      <c r="B166" s="352">
        <f t="shared" si="89"/>
        <v>9.3324999999999996</v>
      </c>
      <c r="C166" s="325">
        <f t="shared" si="62"/>
        <v>5.8743495693391345</v>
      </c>
      <c r="D166" s="326">
        <f t="shared" si="63"/>
        <v>1.3997316191906453</v>
      </c>
      <c r="E166" s="326">
        <f t="shared" si="64"/>
        <v>1.0000687655303162</v>
      </c>
      <c r="F166" s="327">
        <f t="shared" si="65"/>
        <v>1.1727027753493904E-2</v>
      </c>
      <c r="G166" s="326">
        <f t="shared" si="66"/>
        <v>1</v>
      </c>
      <c r="H166" s="327">
        <f t="shared" si="67"/>
        <v>0</v>
      </c>
      <c r="I166" s="325">
        <f t="shared" si="68"/>
        <v>12386.650471537854</v>
      </c>
      <c r="J166" s="328">
        <f t="shared" si="69"/>
        <v>1.5707155947193945</v>
      </c>
      <c r="K166" s="336">
        <f t="shared" si="94"/>
        <v>2.5460152023995062</v>
      </c>
      <c r="L166" s="337">
        <f t="shared" si="95"/>
        <v>1.167153918407263</v>
      </c>
      <c r="M166" s="325">
        <f t="shared" si="72"/>
        <v>1.0002550006951341</v>
      </c>
      <c r="N166" s="337">
        <f t="shared" si="73"/>
        <v>2.2580811284240325E-2</v>
      </c>
      <c r="O166" s="343">
        <f t="shared" si="74"/>
        <v>1.0014693998404696</v>
      </c>
      <c r="P166" s="691">
        <f t="shared" si="75"/>
        <v>5.4177538035118662E-2</v>
      </c>
      <c r="Q166" s="336">
        <f t="shared" si="90"/>
        <v>6.3190940822155941</v>
      </c>
      <c r="R166" s="692">
        <f t="shared" si="76"/>
        <v>6.0016640963749979E-2</v>
      </c>
      <c r="S166" s="329">
        <f t="shared" si="77"/>
        <v>1.0014298398714709</v>
      </c>
      <c r="T166" s="330">
        <f t="shared" si="78"/>
        <v>5.4901043583927736E-2</v>
      </c>
      <c r="U166" s="331">
        <f t="shared" si="79"/>
        <v>13.183969160327365</v>
      </c>
      <c r="V166" s="332">
        <f t="shared" si="80"/>
        <v>-107.42312520953179</v>
      </c>
      <c r="W166" s="334">
        <f t="shared" si="81"/>
        <v>72.57687479046821</v>
      </c>
      <c r="Y166" s="307">
        <f t="shared" si="82"/>
        <v>1000000000</v>
      </c>
      <c r="Z166" s="307">
        <f t="shared" si="83"/>
        <v>87095556.25</v>
      </c>
      <c r="AB166" s="333">
        <f t="shared" si="84"/>
        <v>23.963151969992001</v>
      </c>
      <c r="AC166" s="334">
        <f t="shared" si="85"/>
        <v>-24.416166038377668</v>
      </c>
      <c r="AE166" s="333">
        <f t="shared" si="86"/>
        <v>31.966003308325078</v>
      </c>
      <c r="AF166" s="334">
        <f t="shared" si="87"/>
        <v>-82.672403216818765</v>
      </c>
      <c r="AH166">
        <f t="shared" si="88"/>
        <v>0</v>
      </c>
      <c r="AI166">
        <f t="shared" si="93"/>
        <v>0</v>
      </c>
    </row>
    <row r="167" spans="1:35" x14ac:dyDescent="0.2">
      <c r="A167" s="335">
        <v>9386.85</v>
      </c>
      <c r="B167" s="352">
        <f t="shared" si="89"/>
        <v>9.3868500000000008</v>
      </c>
      <c r="C167" s="325">
        <f t="shared" si="62"/>
        <v>5.9075716238774687</v>
      </c>
      <c r="D167" s="326">
        <f t="shared" si="63"/>
        <v>1.4007030390501516</v>
      </c>
      <c r="E167" s="326">
        <f t="shared" si="64"/>
        <v>1.00006956877897</v>
      </c>
      <c r="F167" s="327">
        <f t="shared" si="65"/>
        <v>1.1795316530750465E-2</v>
      </c>
      <c r="G167" s="326">
        <f t="shared" si="66"/>
        <v>1</v>
      </c>
      <c r="H167" s="327">
        <f t="shared" si="67"/>
        <v>0</v>
      </c>
      <c r="I167" s="325">
        <f t="shared" si="68"/>
        <v>12458.787031811415</v>
      </c>
      <c r="J167" s="328">
        <f t="shared" si="69"/>
        <v>1.5707160621593008</v>
      </c>
      <c r="K167" s="336">
        <f t="shared" si="94"/>
        <v>2.5585607320254504</v>
      </c>
      <c r="L167" s="337">
        <f t="shared" si="95"/>
        <v>1.1692471742925796</v>
      </c>
      <c r="M167" s="325">
        <f t="shared" si="72"/>
        <v>1.0002579790721469</v>
      </c>
      <c r="N167" s="337">
        <f t="shared" si="73"/>
        <v>2.2712270839878854E-2</v>
      </c>
      <c r="O167" s="343">
        <f t="shared" si="74"/>
        <v>1.0014865517256277</v>
      </c>
      <c r="P167" s="691">
        <f t="shared" si="75"/>
        <v>5.4492431191981036E-2</v>
      </c>
      <c r="Q167" s="336">
        <f t="shared" si="90"/>
        <v>6.319225244854886</v>
      </c>
      <c r="R167" s="692">
        <f t="shared" si="76"/>
        <v>6.0365331381142563E-2</v>
      </c>
      <c r="S167" s="329">
        <f t="shared" si="77"/>
        <v>1.0014465303544751</v>
      </c>
      <c r="T167" s="330">
        <f t="shared" si="78"/>
        <v>5.5220175842748132E-2</v>
      </c>
      <c r="U167" s="331">
        <f t="shared" si="79"/>
        <v>13.127046969996179</v>
      </c>
      <c r="V167" s="332">
        <f t="shared" si="80"/>
        <v>-107.38271631314898</v>
      </c>
      <c r="W167" s="334">
        <f t="shared" si="81"/>
        <v>72.617283686851025</v>
      </c>
      <c r="Y167" s="307">
        <f t="shared" si="82"/>
        <v>1000000000</v>
      </c>
      <c r="Z167" s="307">
        <f t="shared" si="83"/>
        <v>88112952.922499999</v>
      </c>
      <c r="AB167" s="333">
        <f t="shared" si="84"/>
        <v>23.955383272760812</v>
      </c>
      <c r="AC167" s="334">
        <f t="shared" si="85"/>
        <v>-24.303790170628261</v>
      </c>
      <c r="AE167" s="333">
        <f t="shared" si="86"/>
        <v>31.916881343002608</v>
      </c>
      <c r="AF167" s="334">
        <f t="shared" si="87"/>
        <v>-82.742433747795673</v>
      </c>
      <c r="AH167">
        <f t="shared" si="88"/>
        <v>0</v>
      </c>
      <c r="AI167">
        <f t="shared" si="93"/>
        <v>0</v>
      </c>
    </row>
    <row r="168" spans="1:35" x14ac:dyDescent="0.2">
      <c r="A168" s="335">
        <v>9441.2000000000007</v>
      </c>
      <c r="B168" s="352">
        <f t="shared" si="89"/>
        <v>9.4412000000000003</v>
      </c>
      <c r="C168" s="325">
        <f t="shared" si="62"/>
        <v>5.9407991907816458</v>
      </c>
      <c r="D168" s="326">
        <f t="shared" si="63"/>
        <v>1.4016635932837014</v>
      </c>
      <c r="E168" s="326">
        <f t="shared" si="64"/>
        <v>1.0000703766912979</v>
      </c>
      <c r="F168" s="327">
        <f t="shared" si="65"/>
        <v>1.1863605197990554E-2</v>
      </c>
      <c r="G168" s="326">
        <f t="shared" si="66"/>
        <v>1</v>
      </c>
      <c r="H168" s="327">
        <f t="shared" si="67"/>
        <v>0</v>
      </c>
      <c r="I168" s="325">
        <f t="shared" si="68"/>
        <v>12530.923592087667</v>
      </c>
      <c r="J168" s="328">
        <f t="shared" si="69"/>
        <v>1.5707165242173999</v>
      </c>
      <c r="K168" s="336">
        <f t="shared" si="94"/>
        <v>2.5711173631150728</v>
      </c>
      <c r="L168" s="337">
        <f t="shared" si="95"/>
        <v>1.171319993412919</v>
      </c>
      <c r="M168" s="325">
        <f t="shared" si="72"/>
        <v>1.0002609747351296</v>
      </c>
      <c r="N168" s="337">
        <f t="shared" si="73"/>
        <v>2.2843729610377641E-2</v>
      </c>
      <c r="O168" s="343">
        <f t="shared" si="74"/>
        <v>1.0015038029124819</v>
      </c>
      <c r="P168" s="691">
        <f t="shared" si="75"/>
        <v>5.4807313531817774E-2</v>
      </c>
      <c r="Q168" s="336">
        <f t="shared" si="90"/>
        <v>6.3193571663870332</v>
      </c>
      <c r="R168" s="692">
        <f t="shared" si="76"/>
        <v>6.0714007371924845E-2</v>
      </c>
      <c r="S168" s="329">
        <f t="shared" si="77"/>
        <v>1.0014633174764678</v>
      </c>
      <c r="T168" s="330">
        <f t="shared" si="78"/>
        <v>5.5539297728715138E-2</v>
      </c>
      <c r="U168" s="331">
        <f t="shared" si="79"/>
        <v>13.07051015294681</v>
      </c>
      <c r="V168" s="332">
        <f t="shared" si="80"/>
        <v>-107.34285465446658</v>
      </c>
      <c r="W168" s="334">
        <f t="shared" si="81"/>
        <v>72.657145345533422</v>
      </c>
      <c r="Y168" s="307">
        <f t="shared" si="82"/>
        <v>1000000000</v>
      </c>
      <c r="Z168" s="307">
        <f t="shared" si="83"/>
        <v>89136257.440000013</v>
      </c>
      <c r="AB168" s="333">
        <f t="shared" si="84"/>
        <v>23.947734285810739</v>
      </c>
      <c r="AC168" s="334">
        <f t="shared" si="85"/>
        <v>-24.192584889920251</v>
      </c>
      <c r="AE168" s="333">
        <f t="shared" si="86"/>
        <v>31.868025221348283</v>
      </c>
      <c r="AF168" s="334">
        <f t="shared" si="87"/>
        <v>-82.811841136245548</v>
      </c>
      <c r="AH168">
        <f t="shared" si="88"/>
        <v>0</v>
      </c>
      <c r="AI168">
        <f t="shared" si="93"/>
        <v>0</v>
      </c>
    </row>
    <row r="169" spans="1:35" x14ac:dyDescent="0.2">
      <c r="A169" s="335">
        <v>9495.5499999999993</v>
      </c>
      <c r="B169" s="352">
        <f t="shared" si="89"/>
        <v>9.4955499999999997</v>
      </c>
      <c r="C169" s="325">
        <f t="shared" si="62"/>
        <v>5.9740321780723287</v>
      </c>
      <c r="D169" s="326">
        <f t="shared" si="63"/>
        <v>1.4026134614372132</v>
      </c>
      <c r="E169" s="326">
        <f t="shared" si="64"/>
        <v>1.0000711892672884</v>
      </c>
      <c r="F169" s="327">
        <f t="shared" si="65"/>
        <v>1.1931893754577531E-2</v>
      </c>
      <c r="G169" s="326">
        <f t="shared" si="66"/>
        <v>1</v>
      </c>
      <c r="H169" s="327">
        <f t="shared" si="67"/>
        <v>0</v>
      </c>
      <c r="I169" s="325">
        <f t="shared" si="68"/>
        <v>12603.060152366559</v>
      </c>
      <c r="J169" s="328">
        <f t="shared" si="69"/>
        <v>1.5707169809861041</v>
      </c>
      <c r="K169" s="336">
        <f t="shared" si="94"/>
        <v>2.5836849338100394</v>
      </c>
      <c r="L169" s="337">
        <f t="shared" si="95"/>
        <v>1.173372656051072</v>
      </c>
      <c r="M169" s="325">
        <f t="shared" si="72"/>
        <v>1.000263987683927</v>
      </c>
      <c r="N169" s="337">
        <f t="shared" si="73"/>
        <v>2.2975187591200159E-2</v>
      </c>
      <c r="O169" s="343">
        <f t="shared" si="74"/>
        <v>1.0015211533959008</v>
      </c>
      <c r="P169" s="691">
        <f t="shared" si="75"/>
        <v>5.5122184992747729E-2</v>
      </c>
      <c r="Q169" s="336">
        <f t="shared" si="90"/>
        <v>6.319489846764518</v>
      </c>
      <c r="R169" s="692">
        <f t="shared" si="76"/>
        <v>6.1062668853778104E-2</v>
      </c>
      <c r="S169" s="329">
        <f t="shared" si="77"/>
        <v>1.0014802012326041</v>
      </c>
      <c r="T169" s="330">
        <f t="shared" si="78"/>
        <v>5.5858409182468774E-2</v>
      </c>
      <c r="U169" s="331">
        <f t="shared" si="79"/>
        <v>13.014353512827883</v>
      </c>
      <c r="V169" s="332">
        <f t="shared" si="80"/>
        <v>-107.30353446218628</v>
      </c>
      <c r="W169" s="334">
        <f t="shared" si="81"/>
        <v>72.696465537813722</v>
      </c>
      <c r="Y169" s="307">
        <f t="shared" si="82"/>
        <v>1000000000</v>
      </c>
      <c r="Z169" s="307">
        <f t="shared" si="83"/>
        <v>90165469.80249998</v>
      </c>
      <c r="AB169" s="333">
        <f t="shared" si="84"/>
        <v>23.940202608241101</v>
      </c>
      <c r="AC169" s="334">
        <f t="shared" si="85"/>
        <v>-24.082534142267551</v>
      </c>
      <c r="AE169" s="333">
        <f t="shared" si="86"/>
        <v>31.819432147869847</v>
      </c>
      <c r="AF169" s="334">
        <f t="shared" si="87"/>
        <v>-82.880635666027146</v>
      </c>
      <c r="AH169">
        <f t="shared" si="88"/>
        <v>0</v>
      </c>
      <c r="AI169">
        <f t="shared" si="93"/>
        <v>0</v>
      </c>
    </row>
    <row r="170" spans="1:35" x14ac:dyDescent="0.2">
      <c r="A170" s="335">
        <v>9549.9</v>
      </c>
      <c r="B170" s="352">
        <f t="shared" si="89"/>
        <v>9.5498999999999992</v>
      </c>
      <c r="C170" s="325">
        <f t="shared" si="62"/>
        <v>6.007270495790709</v>
      </c>
      <c r="D170" s="326">
        <f t="shared" si="63"/>
        <v>1.4035528191609934</v>
      </c>
      <c r="E170" s="326">
        <f t="shared" si="64"/>
        <v>1.0000720065069304</v>
      </c>
      <c r="F170" s="327">
        <f t="shared" si="65"/>
        <v>1.2000182199874766E-2</v>
      </c>
      <c r="G170" s="326">
        <f t="shared" si="66"/>
        <v>1</v>
      </c>
      <c r="H170" s="327">
        <f t="shared" si="67"/>
        <v>0</v>
      </c>
      <c r="I170" s="325">
        <f t="shared" si="68"/>
        <v>12675.196712648054</v>
      </c>
      <c r="J170" s="328">
        <f t="shared" si="69"/>
        <v>1.5707174325557216</v>
      </c>
      <c r="K170" s="336">
        <f t="shared" si="94"/>
        <v>2.5962632852463479</v>
      </c>
      <c r="L170" s="337">
        <f t="shared" si="95"/>
        <v>1.1754054377447163</v>
      </c>
      <c r="M170" s="325">
        <f t="shared" si="72"/>
        <v>1.000267017918383</v>
      </c>
      <c r="N170" s="337">
        <f t="shared" si="73"/>
        <v>2.3106644777810083E-2</v>
      </c>
      <c r="O170" s="343">
        <f t="shared" si="74"/>
        <v>1.0015386031707236</v>
      </c>
      <c r="P170" s="691">
        <f t="shared" si="75"/>
        <v>5.543704551290269E-2</v>
      </c>
      <c r="Q170" s="336">
        <f t="shared" si="90"/>
        <v>6.3196232859395503</v>
      </c>
      <c r="R170" s="692">
        <f t="shared" si="76"/>
        <v>6.1411315744404456E-2</v>
      </c>
      <c r="S170" s="329">
        <f t="shared" si="77"/>
        <v>1.0014971816180114</v>
      </c>
      <c r="T170" s="330">
        <f t="shared" si="78"/>
        <v>5.6177510144661047E-2</v>
      </c>
      <c r="U170" s="331">
        <f t="shared" si="79"/>
        <v>12.958571953787644</v>
      </c>
      <c r="V170" s="332">
        <f t="shared" si="80"/>
        <v>-107.26475001356314</v>
      </c>
      <c r="W170" s="334">
        <f t="shared" si="81"/>
        <v>72.735249986436855</v>
      </c>
      <c r="Y170" s="307">
        <f t="shared" si="82"/>
        <v>1000000000</v>
      </c>
      <c r="Z170" s="307">
        <f t="shared" si="83"/>
        <v>91200590.00999999</v>
      </c>
      <c r="AB170" s="333">
        <f t="shared" si="84"/>
        <v>23.932785897512019</v>
      </c>
      <c r="AC170" s="334">
        <f t="shared" si="85"/>
        <v>-23.973622145438483</v>
      </c>
      <c r="AE170" s="333">
        <f t="shared" si="86"/>
        <v>31.771099369213633</v>
      </c>
      <c r="AF170" s="334">
        <f t="shared" si="87"/>
        <v>-82.948827397797842</v>
      </c>
      <c r="AH170">
        <f t="shared" si="88"/>
        <v>0</v>
      </c>
      <c r="AI170">
        <f t="shared" si="93"/>
        <v>0</v>
      </c>
    </row>
    <row r="171" spans="1:35" x14ac:dyDescent="0.2">
      <c r="A171" s="335">
        <v>9605.5249999999996</v>
      </c>
      <c r="B171" s="352">
        <f t="shared" si="89"/>
        <v>9.6055250000000001</v>
      </c>
      <c r="C171" s="325">
        <f t="shared" si="62"/>
        <v>6.0412939809035171</v>
      </c>
      <c r="D171" s="326">
        <f t="shared" si="63"/>
        <v>1.4045035094887715</v>
      </c>
      <c r="E171" s="326">
        <f t="shared" si="64"/>
        <v>1.0000728477472776</v>
      </c>
      <c r="F171" s="327">
        <f t="shared" si="65"/>
        <v>1.2070072512118507E-2</v>
      </c>
      <c r="G171" s="326">
        <f t="shared" si="66"/>
        <v>1</v>
      </c>
      <c r="H171" s="327">
        <f t="shared" si="67"/>
        <v>0</v>
      </c>
      <c r="I171" s="325">
        <f t="shared" si="68"/>
        <v>12749.025528946158</v>
      </c>
      <c r="J171" s="328">
        <f t="shared" si="69"/>
        <v>1.5707178894273697</v>
      </c>
      <c r="K171" s="336">
        <f t="shared" si="94"/>
        <v>2.6091477133609984</v>
      </c>
      <c r="L171" s="337">
        <f t="shared" si="95"/>
        <v>1.1774656032471038</v>
      </c>
      <c r="M171" s="325">
        <f t="shared" si="72"/>
        <v>1.0002701371378047</v>
      </c>
      <c r="N171" s="337">
        <f t="shared" si="73"/>
        <v>2.3241184999551238E-2</v>
      </c>
      <c r="O171" s="343">
        <f t="shared" si="74"/>
        <v>1.001556565108124</v>
      </c>
      <c r="P171" s="691">
        <f t="shared" si="75"/>
        <v>5.5759280972081576E-2</v>
      </c>
      <c r="Q171" s="336">
        <f t="shared" si="90"/>
        <v>6.319760641129621</v>
      </c>
      <c r="R171" s="692">
        <f t="shared" si="76"/>
        <v>6.1768126369380248E-2</v>
      </c>
      <c r="S171" s="329">
        <f t="shared" si="77"/>
        <v>1.0015146603983212</v>
      </c>
      <c r="T171" s="330">
        <f t="shared" si="78"/>
        <v>5.6504085990441946E-2</v>
      </c>
      <c r="U171" s="331">
        <f t="shared" si="79"/>
        <v>12.901864979648662</v>
      </c>
      <c r="V171" s="332">
        <f t="shared" si="80"/>
        <v>-107.22560454104637</v>
      </c>
      <c r="W171" s="334">
        <f t="shared" si="81"/>
        <v>72.774395458953634</v>
      </c>
      <c r="Y171" s="307">
        <f t="shared" si="82"/>
        <v>1000000000</v>
      </c>
      <c r="Z171" s="307">
        <f t="shared" si="83"/>
        <v>92266110.52562499</v>
      </c>
      <c r="AB171" s="333">
        <f t="shared" si="84"/>
        <v>23.925311856639905</v>
      </c>
      <c r="AC171" s="334">
        <f t="shared" si="85"/>
        <v>-23.863318120624925</v>
      </c>
      <c r="AE171" s="333">
        <f t="shared" si="86"/>
        <v>31.721899444870139</v>
      </c>
      <c r="AF171" s="334">
        <f t="shared" si="87"/>
        <v>-83.018004939016222</v>
      </c>
      <c r="AH171">
        <f t="shared" si="88"/>
        <v>0</v>
      </c>
      <c r="AI171">
        <f t="shared" si="93"/>
        <v>0</v>
      </c>
    </row>
    <row r="172" spans="1:35" x14ac:dyDescent="0.2">
      <c r="A172" s="335">
        <v>9661.15</v>
      </c>
      <c r="B172" s="352">
        <f t="shared" si="89"/>
        <v>9.6611499999999992</v>
      </c>
      <c r="C172" s="325">
        <f t="shared" si="62"/>
        <v>6.0753228650508673</v>
      </c>
      <c r="D172" s="326">
        <f t="shared" si="63"/>
        <v>1.4054435507119933</v>
      </c>
      <c r="E172" s="326">
        <f t="shared" si="64"/>
        <v>1.000073693872628</v>
      </c>
      <c r="F172" s="327">
        <f t="shared" si="65"/>
        <v>1.2139962706440421E-2</v>
      </c>
      <c r="G172" s="326">
        <f t="shared" si="66"/>
        <v>1</v>
      </c>
      <c r="H172" s="327">
        <f t="shared" si="67"/>
        <v>0</v>
      </c>
      <c r="I172" s="325">
        <f t="shared" si="68"/>
        <v>12822.854345246891</v>
      </c>
      <c r="J172" s="328">
        <f t="shared" si="69"/>
        <v>1.5707183410380527</v>
      </c>
      <c r="K172" s="336">
        <f t="shared" si="94"/>
        <v>2.6220431065743957</v>
      </c>
      <c r="L172" s="337">
        <f t="shared" si="95"/>
        <v>1.1795055132577112</v>
      </c>
      <c r="M172" s="325">
        <f t="shared" si="72"/>
        <v>1.000273274463074</v>
      </c>
      <c r="N172" s="337">
        <f t="shared" si="73"/>
        <v>2.3375724379765445E-2</v>
      </c>
      <c r="O172" s="343">
        <f t="shared" si="74"/>
        <v>1.0015746310391063</v>
      </c>
      <c r="P172" s="691">
        <f t="shared" si="75"/>
        <v>5.608150484005521E-2</v>
      </c>
      <c r="Q172" s="336">
        <f t="shared" si="90"/>
        <v>6.3198987910340332</v>
      </c>
      <c r="R172" s="692">
        <f t="shared" si="76"/>
        <v>6.2124921536142338E-2</v>
      </c>
      <c r="S172" s="329">
        <f t="shared" si="77"/>
        <v>1.0015322403843285</v>
      </c>
      <c r="T172" s="330">
        <f t="shared" si="78"/>
        <v>5.6830650720893619E-2</v>
      </c>
      <c r="U172" s="331">
        <f t="shared" si="79"/>
        <v>12.845540402317797</v>
      </c>
      <c r="V172" s="332">
        <f t="shared" si="80"/>
        <v>-107.1870082726592</v>
      </c>
      <c r="W172" s="334">
        <f t="shared" si="81"/>
        <v>72.812991727340801</v>
      </c>
      <c r="Y172" s="307">
        <f t="shared" si="82"/>
        <v>1000000000</v>
      </c>
      <c r="Z172" s="307">
        <f t="shared" si="83"/>
        <v>93337819.32249999</v>
      </c>
      <c r="AB172" s="333">
        <f t="shared" si="84"/>
        <v>23.917953455042831</v>
      </c>
      <c r="AC172" s="334">
        <f t="shared" si="85"/>
        <v>-23.754174300356617</v>
      </c>
      <c r="AE172" s="333">
        <f t="shared" si="86"/>
        <v>31.672966467126521</v>
      </c>
      <c r="AF172" s="334">
        <f t="shared" si="87"/>
        <v>-83.086571701382198</v>
      </c>
      <c r="AH172">
        <f t="shared" si="88"/>
        <v>0</v>
      </c>
      <c r="AI172">
        <f t="shared" si="93"/>
        <v>0</v>
      </c>
    </row>
    <row r="173" spans="1:35" x14ac:dyDescent="0.2">
      <c r="A173" s="335">
        <v>9716.7749999999996</v>
      </c>
      <c r="B173" s="352">
        <f t="shared" si="89"/>
        <v>9.7167750000000002</v>
      </c>
      <c r="C173" s="325">
        <f t="shared" si="62"/>
        <v>6.1093570580155134</v>
      </c>
      <c r="D173" s="326">
        <f t="shared" si="63"/>
        <v>1.4063731191283078</v>
      </c>
      <c r="E173" s="326">
        <f t="shared" si="64"/>
        <v>1.0000745448829693</v>
      </c>
      <c r="F173" s="327">
        <f t="shared" si="65"/>
        <v>1.2209852782158033E-2</v>
      </c>
      <c r="G173" s="326">
        <f t="shared" si="66"/>
        <v>1</v>
      </c>
      <c r="H173" s="327">
        <f t="shared" si="67"/>
        <v>0</v>
      </c>
      <c r="I173" s="325">
        <f t="shared" si="68"/>
        <v>12896.683161550212</v>
      </c>
      <c r="J173" s="328">
        <f t="shared" si="69"/>
        <v>1.5707187874781223</v>
      </c>
      <c r="K173" s="336">
        <f t="shared" si="94"/>
        <v>2.6349493038975726</v>
      </c>
      <c r="L173" s="337">
        <f t="shared" si="95"/>
        <v>1.1815254483129431</v>
      </c>
      <c r="M173" s="325">
        <f t="shared" si="72"/>
        <v>1.0002764298940212</v>
      </c>
      <c r="N173" s="337">
        <f t="shared" si="73"/>
        <v>2.3510262913590093E-2</v>
      </c>
      <c r="O173" s="343">
        <f t="shared" si="74"/>
        <v>1.0015928009580428</v>
      </c>
      <c r="P173" s="691">
        <f t="shared" si="75"/>
        <v>5.6403717050540793E-2</v>
      </c>
      <c r="Q173" s="336">
        <f t="shared" si="90"/>
        <v>6.3200377356006774</v>
      </c>
      <c r="R173" s="692">
        <f t="shared" si="76"/>
        <v>6.2481701156532524E-2</v>
      </c>
      <c r="S173" s="329">
        <f t="shared" si="77"/>
        <v>1.0015499215707206</v>
      </c>
      <c r="T173" s="330">
        <f t="shared" si="78"/>
        <v>5.7157204272432184E-2</v>
      </c>
      <c r="U173" s="331">
        <f t="shared" si="79"/>
        <v>12.789593070009527</v>
      </c>
      <c r="V173" s="332">
        <f t="shared" si="80"/>
        <v>-107.14895523600158</v>
      </c>
      <c r="W173" s="334">
        <f t="shared" si="81"/>
        <v>72.851044763998416</v>
      </c>
      <c r="Y173" s="307">
        <f t="shared" si="82"/>
        <v>1000000000</v>
      </c>
      <c r="Z173" s="307">
        <f t="shared" si="83"/>
        <v>94415716.40062499</v>
      </c>
      <c r="AB173" s="333">
        <f t="shared" si="84"/>
        <v>23.910708360691885</v>
      </c>
      <c r="AC173" s="334">
        <f t="shared" si="85"/>
        <v>-23.646174615979724</v>
      </c>
      <c r="AE173" s="333">
        <f t="shared" si="86"/>
        <v>31.62429761618062</v>
      </c>
      <c r="AF173" s="334">
        <f t="shared" si="87"/>
        <v>-83.15453778240304</v>
      </c>
      <c r="AH173">
        <f t="shared" si="88"/>
        <v>0</v>
      </c>
      <c r="AI173">
        <f t="shared" si="93"/>
        <v>0</v>
      </c>
    </row>
    <row r="174" spans="1:35" x14ac:dyDescent="0.2">
      <c r="A174" s="335">
        <v>9772.4</v>
      </c>
      <c r="B174" s="352">
        <f t="shared" si="89"/>
        <v>9.7723999999999993</v>
      </c>
      <c r="C174" s="325">
        <f t="shared" si="62"/>
        <v>6.1433964715654934</v>
      </c>
      <c r="D174" s="326">
        <f t="shared" si="63"/>
        <v>1.4072923872013481</v>
      </c>
      <c r="E174" s="326">
        <f t="shared" si="64"/>
        <v>1.0000754007782893</v>
      </c>
      <c r="F174" s="327">
        <f t="shared" si="65"/>
        <v>1.2279742738588874E-2</v>
      </c>
      <c r="G174" s="326">
        <f t="shared" si="66"/>
        <v>1</v>
      </c>
      <c r="H174" s="327">
        <f t="shared" si="67"/>
        <v>0</v>
      </c>
      <c r="I174" s="325">
        <f t="shared" si="68"/>
        <v>12970.511977856073</v>
      </c>
      <c r="J174" s="328">
        <f t="shared" si="69"/>
        <v>1.5707192288358724</v>
      </c>
      <c r="K174" s="336">
        <f t="shared" si="94"/>
        <v>2.6478661473467482</v>
      </c>
      <c r="L174" s="337">
        <f t="shared" si="95"/>
        <v>1.1835256841340396</v>
      </c>
      <c r="M174" s="325">
        <f t="shared" si="72"/>
        <v>1.0002796034304744</v>
      </c>
      <c r="N174" s="337">
        <f t="shared" si="73"/>
        <v>2.3644800596162755E-2</v>
      </c>
      <c r="O174" s="343">
        <f t="shared" si="74"/>
        <v>1.0016110748592748</v>
      </c>
      <c r="P174" s="691">
        <f t="shared" si="75"/>
        <v>5.6725917537269945E-2</v>
      </c>
      <c r="Q174" s="336">
        <f t="shared" si="90"/>
        <v>6.3201774747771529</v>
      </c>
      <c r="R174" s="692">
        <f t="shared" si="76"/>
        <v>6.2838465142416006E-2</v>
      </c>
      <c r="S174" s="329">
        <f t="shared" si="77"/>
        <v>1.001567703952154</v>
      </c>
      <c r="T174" s="330">
        <f t="shared" si="78"/>
        <v>5.7483746581487305E-2</v>
      </c>
      <c r="U174" s="331">
        <f t="shared" si="79"/>
        <v>12.734017930764121</v>
      </c>
      <c r="V174" s="332">
        <f t="shared" si="80"/>
        <v>-107.11143951477283</v>
      </c>
      <c r="W174" s="334">
        <f t="shared" si="81"/>
        <v>72.888560485227174</v>
      </c>
      <c r="Y174" s="307">
        <f t="shared" si="82"/>
        <v>1000000000</v>
      </c>
      <c r="Z174" s="307">
        <f t="shared" si="83"/>
        <v>95499801.75999999</v>
      </c>
      <c r="AB174" s="333">
        <f t="shared" si="84"/>
        <v>23.903574298602109</v>
      </c>
      <c r="AC174" s="334">
        <f t="shared" si="85"/>
        <v>-23.539303274611111</v>
      </c>
      <c r="AE174" s="333">
        <f t="shared" si="86"/>
        <v>31.575890115011845</v>
      </c>
      <c r="AF174" s="334">
        <f t="shared" si="87"/>
        <v>-83.221913059913845</v>
      </c>
      <c r="AH174">
        <f t="shared" si="88"/>
        <v>0</v>
      </c>
      <c r="AI174">
        <f t="shared" si="93"/>
        <v>0</v>
      </c>
    </row>
    <row r="175" spans="1:35" x14ac:dyDescent="0.2">
      <c r="A175" s="335">
        <v>9829.2999999999993</v>
      </c>
      <c r="B175" s="352">
        <f t="shared" si="89"/>
        <v>9.8292999999999999</v>
      </c>
      <c r="C175" s="325">
        <f t="shared" si="62"/>
        <v>6.1782214258594976</v>
      </c>
      <c r="D175" s="326">
        <f t="shared" si="63"/>
        <v>1.4082222448323458</v>
      </c>
      <c r="E175" s="326">
        <f t="shared" si="64"/>
        <v>1.0000762813460879</v>
      </c>
      <c r="F175" s="327">
        <f t="shared" si="65"/>
        <v>1.2351234542923828E-2</v>
      </c>
      <c r="G175" s="326">
        <f t="shared" si="66"/>
        <v>1</v>
      </c>
      <c r="H175" s="327">
        <f t="shared" si="67"/>
        <v>0</v>
      </c>
      <c r="I175" s="325">
        <f t="shared" si="68"/>
        <v>13046.033050178719</v>
      </c>
      <c r="J175" s="328">
        <f t="shared" si="69"/>
        <v>1.5707196751416981</v>
      </c>
      <c r="K175" s="336">
        <f t="shared" si="94"/>
        <v>2.6610899155967491</v>
      </c>
      <c r="L175" s="337">
        <f t="shared" si="95"/>
        <v>1.1855516688519352</v>
      </c>
      <c r="M175" s="325">
        <f t="shared" si="72"/>
        <v>1.0002828684412488</v>
      </c>
      <c r="N175" s="337">
        <f t="shared" si="73"/>
        <v>2.3782421178006601E-2</v>
      </c>
      <c r="O175" s="343">
        <f t="shared" si="74"/>
        <v>1.0016298752017607</v>
      </c>
      <c r="P175" s="691">
        <f t="shared" si="75"/>
        <v>5.7055491094587144E-2</v>
      </c>
      <c r="Q175" s="336">
        <f t="shared" si="90"/>
        <v>6.320321239047888</v>
      </c>
      <c r="R175" s="692">
        <f t="shared" si="76"/>
        <v>6.3203390371865911E-2</v>
      </c>
      <c r="S175" s="329">
        <f t="shared" si="77"/>
        <v>1.0015859986250588</v>
      </c>
      <c r="T175" s="330">
        <f t="shared" si="78"/>
        <v>5.7817761982310575E-2</v>
      </c>
      <c r="U175" s="331">
        <f t="shared" si="79"/>
        <v>12.677548857147949</v>
      </c>
      <c r="V175" s="332">
        <f t="shared" si="80"/>
        <v>-107.07361370450766</v>
      </c>
      <c r="W175" s="334">
        <f t="shared" si="81"/>
        <v>72.926386295492335</v>
      </c>
      <c r="Y175" s="307">
        <f t="shared" si="82"/>
        <v>1000000000</v>
      </c>
      <c r="Z175" s="307">
        <f t="shared" si="83"/>
        <v>96615138.48999998</v>
      </c>
      <c r="AB175" s="333">
        <f t="shared" si="84"/>
        <v>23.896389279445508</v>
      </c>
      <c r="AC175" s="334">
        <f t="shared" si="85"/>
        <v>-23.431133550748061</v>
      </c>
      <c r="AE175" s="333">
        <f t="shared" si="86"/>
        <v>31.526640601620425</v>
      </c>
      <c r="AF175" s="334">
        <f t="shared" si="87"/>
        <v>-83.290231471897499</v>
      </c>
      <c r="AH175">
        <f t="shared" si="88"/>
        <v>0</v>
      </c>
      <c r="AI175">
        <f t="shared" si="93"/>
        <v>0</v>
      </c>
    </row>
    <row r="176" spans="1:35" x14ac:dyDescent="0.2">
      <c r="A176" s="335">
        <v>9886.2000000000007</v>
      </c>
      <c r="B176" s="352">
        <f t="shared" si="89"/>
        <v>9.8862000000000005</v>
      </c>
      <c r="C176" s="325">
        <f t="shared" si="62"/>
        <v>6.2130516621744691</v>
      </c>
      <c r="D176" s="326">
        <f t="shared" si="63"/>
        <v>1.4091416777264507</v>
      </c>
      <c r="E176" s="326">
        <f t="shared" si="64"/>
        <v>1.0000771670253457</v>
      </c>
      <c r="F176" s="327">
        <f t="shared" si="65"/>
        <v>1.242272622099634E-2</v>
      </c>
      <c r="G176" s="326">
        <f t="shared" si="66"/>
        <v>1</v>
      </c>
      <c r="H176" s="327">
        <f t="shared" si="67"/>
        <v>0</v>
      </c>
      <c r="I176" s="325">
        <f t="shared" si="68"/>
        <v>13121.554122503936</v>
      </c>
      <c r="J176" s="328">
        <f t="shared" si="69"/>
        <v>1.5707201163100994</v>
      </c>
      <c r="K176" s="336">
        <f t="shared" si="94"/>
        <v>2.6743244985481667</v>
      </c>
      <c r="L176" s="337">
        <f t="shared" si="95"/>
        <v>1.1875576095222666</v>
      </c>
      <c r="M176" s="325">
        <f t="shared" si="72"/>
        <v>1.0002861523966813</v>
      </c>
      <c r="N176" s="337">
        <f t="shared" si="73"/>
        <v>2.3920040858835735E-2</v>
      </c>
      <c r="O176" s="343">
        <f t="shared" si="74"/>
        <v>1.0016487843359203</v>
      </c>
      <c r="P176" s="691">
        <f t="shared" si="75"/>
        <v>5.7385052244314977E-2</v>
      </c>
      <c r="Q176" s="336">
        <f t="shared" si="90"/>
        <v>6.3204658346611247</v>
      </c>
      <c r="R176" s="692">
        <f t="shared" si="76"/>
        <v>6.3568299055385621E-2</v>
      </c>
      <c r="S176" s="329">
        <f t="shared" si="77"/>
        <v>1.0016043991738186</v>
      </c>
      <c r="T176" s="330">
        <f t="shared" si="78"/>
        <v>5.815176548484087E-2</v>
      </c>
      <c r="U176" s="331">
        <f t="shared" si="79"/>
        <v>12.621458850198518</v>
      </c>
      <c r="V176" s="332">
        <f t="shared" si="80"/>
        <v>-107.03633778257219</v>
      </c>
      <c r="W176" s="334">
        <f t="shared" si="81"/>
        <v>72.96366221742781</v>
      </c>
      <c r="Y176" s="307">
        <f t="shared" si="82"/>
        <v>1000000000</v>
      </c>
      <c r="Z176" s="307">
        <f t="shared" si="83"/>
        <v>97736950.440000013</v>
      </c>
      <c r="AB176" s="333">
        <f t="shared" si="84"/>
        <v>23.889315801187188</v>
      </c>
      <c r="AC176" s="334">
        <f t="shared" si="85"/>
        <v>-23.324111920239037</v>
      </c>
      <c r="AE176" s="333">
        <f t="shared" si="86"/>
        <v>31.47765881163755</v>
      </c>
      <c r="AF176" s="334">
        <f t="shared" si="87"/>
        <v>-83.357951915966282</v>
      </c>
      <c r="AH176">
        <f t="shared" si="88"/>
        <v>0</v>
      </c>
      <c r="AI176">
        <f t="shared" si="93"/>
        <v>0</v>
      </c>
    </row>
    <row r="177" spans="1:35" x14ac:dyDescent="0.2">
      <c r="A177" s="335">
        <v>9943.1</v>
      </c>
      <c r="B177" s="352">
        <f t="shared" si="89"/>
        <v>9.9431000000000012</v>
      </c>
      <c r="C177" s="325">
        <f t="shared" si="62"/>
        <v>6.247887092173003</v>
      </c>
      <c r="D177" s="326">
        <f t="shared" si="63"/>
        <v>1.4100508586870617</v>
      </c>
      <c r="E177" s="326">
        <f t="shared" si="64"/>
        <v>1.0000780578160486</v>
      </c>
      <c r="F177" s="327">
        <f t="shared" si="65"/>
        <v>1.249421777207594E-2</v>
      </c>
      <c r="G177" s="326">
        <f t="shared" si="66"/>
        <v>1</v>
      </c>
      <c r="H177" s="327">
        <f t="shared" si="67"/>
        <v>0</v>
      </c>
      <c r="I177" s="325">
        <f t="shared" si="68"/>
        <v>13197.075194831677</v>
      </c>
      <c r="J177" s="328">
        <f t="shared" si="69"/>
        <v>1.5707205524292744</v>
      </c>
      <c r="K177" s="336">
        <f t="shared" si="94"/>
        <v>2.6875697364342903</v>
      </c>
      <c r="L177" s="337">
        <f t="shared" si="95"/>
        <v>1.1895437862329745</v>
      </c>
      <c r="M177" s="325">
        <f t="shared" si="72"/>
        <v>1.0002894552965853</v>
      </c>
      <c r="N177" s="337">
        <f t="shared" si="73"/>
        <v>2.4057659633446239E-2</v>
      </c>
      <c r="O177" s="343">
        <f t="shared" si="74"/>
        <v>1.0016678022555925</v>
      </c>
      <c r="P177" s="691">
        <f t="shared" si="75"/>
        <v>5.7714600915570499E-2</v>
      </c>
      <c r="Q177" s="336">
        <f t="shared" si="90"/>
        <v>6.3206112615598151</v>
      </c>
      <c r="R177" s="692">
        <f t="shared" si="76"/>
        <v>6.3933191098716549E-2</v>
      </c>
      <c r="S177" s="329">
        <f t="shared" si="77"/>
        <v>1.0016229055926162</v>
      </c>
      <c r="T177" s="330">
        <f t="shared" si="78"/>
        <v>5.8485757021079832E-2</v>
      </c>
      <c r="U177" s="331">
        <f t="shared" si="79"/>
        <v>12.565742810995991</v>
      </c>
      <c r="V177" s="332">
        <f t="shared" si="80"/>
        <v>-106.99960560157675</v>
      </c>
      <c r="W177" s="334">
        <f t="shared" si="81"/>
        <v>73.000394398423254</v>
      </c>
      <c r="Y177" s="307">
        <f t="shared" si="82"/>
        <v>1000000000</v>
      </c>
      <c r="Z177" s="307">
        <f t="shared" si="83"/>
        <v>98865237.610000014</v>
      </c>
      <c r="AB177" s="333">
        <f t="shared" si="84"/>
        <v>23.882351603623952</v>
      </c>
      <c r="AC177" s="334">
        <f t="shared" si="85"/>
        <v>-23.218222339982336</v>
      </c>
      <c r="AE177" s="333">
        <f t="shared" si="86"/>
        <v>31.428941906296703</v>
      </c>
      <c r="AF177" s="334">
        <f t="shared" si="87"/>
        <v>-83.425084289171537</v>
      </c>
      <c r="AH177">
        <f t="shared" si="88"/>
        <v>0</v>
      </c>
      <c r="AI177">
        <f t="shared" si="93"/>
        <v>0</v>
      </c>
    </row>
    <row r="178" spans="1:35" x14ac:dyDescent="0.2">
      <c r="A178" s="335">
        <v>10000</v>
      </c>
      <c r="B178" s="352">
        <f t="shared" si="89"/>
        <v>10</v>
      </c>
      <c r="C178" s="325">
        <f t="shared" si="62"/>
        <v>6.2827276294638663</v>
      </c>
      <c r="D178" s="326">
        <f t="shared" si="63"/>
        <v>1.4109499567531443</v>
      </c>
      <c r="E178" s="326">
        <f t="shared" si="64"/>
        <v>1.0000789537181833</v>
      </c>
      <c r="F178" s="327">
        <f t="shared" si="65"/>
        <v>1.2565709195432186E-2</v>
      </c>
      <c r="G178" s="326">
        <f t="shared" si="66"/>
        <v>1</v>
      </c>
      <c r="H178" s="327">
        <f t="shared" si="67"/>
        <v>0</v>
      </c>
      <c r="I178" s="325">
        <f t="shared" si="68"/>
        <v>13272.596267161898</v>
      </c>
      <c r="J178" s="328">
        <f t="shared" si="69"/>
        <v>1.5707209835854132</v>
      </c>
      <c r="K178" s="336">
        <f t="shared" si="94"/>
        <v>2.7008254724951115</v>
      </c>
      <c r="L178" s="337">
        <f t="shared" si="95"/>
        <v>1.191510474203666</v>
      </c>
      <c r="M178" s="325">
        <f t="shared" si="72"/>
        <v>1.0002927771407728</v>
      </c>
      <c r="N178" s="337">
        <f t="shared" si="73"/>
        <v>2.4195277496634415E-2</v>
      </c>
      <c r="O178" s="343">
        <f t="shared" si="74"/>
        <v>1.0016869289545809</v>
      </c>
      <c r="P178" s="691">
        <f t="shared" si="75"/>
        <v>5.8044137037487016E-2</v>
      </c>
      <c r="Q178" s="336">
        <f t="shared" si="90"/>
        <v>6.3207575196865911</v>
      </c>
      <c r="R178" s="692">
        <f t="shared" si="76"/>
        <v>6.4298066407626253E-2</v>
      </c>
      <c r="S178" s="329">
        <f t="shared" si="77"/>
        <v>1.0016415178756015</v>
      </c>
      <c r="T178" s="330">
        <f t="shared" si="78"/>
        <v>5.8819736523044251E-2</v>
      </c>
      <c r="U178" s="331">
        <f t="shared" si="79"/>
        <v>12.510395739528061</v>
      </c>
      <c r="V178" s="332">
        <f t="shared" si="80"/>
        <v>-106.96341107726674</v>
      </c>
      <c r="W178" s="334">
        <f t="shared" si="81"/>
        <v>73.036588922733259</v>
      </c>
      <c r="Y178" s="307">
        <f t="shared" si="82"/>
        <v>1000000000</v>
      </c>
      <c r="Z178" s="307">
        <f t="shared" si="83"/>
        <v>100000000</v>
      </c>
      <c r="AB178" s="333">
        <f t="shared" si="84"/>
        <v>23.875494482147765</v>
      </c>
      <c r="AC178" s="334">
        <f t="shared" si="85"/>
        <v>-23.113449045696193</v>
      </c>
      <c r="AE178" s="333">
        <f t="shared" si="86"/>
        <v>31.38048709014349</v>
      </c>
      <c r="AF178" s="334">
        <f t="shared" si="87"/>
        <v>-83.491638272879243</v>
      </c>
      <c r="AH178">
        <f t="shared" si="88"/>
        <v>0</v>
      </c>
      <c r="AI178">
        <f t="shared" si="93"/>
        <v>0</v>
      </c>
    </row>
    <row r="179" spans="1:35" x14ac:dyDescent="0.2">
      <c r="A179" s="335">
        <v>10058.25</v>
      </c>
      <c r="B179" s="352">
        <f t="shared" si="89"/>
        <v>10.058249999999999</v>
      </c>
      <c r="C179" s="325">
        <f t="shared" si="62"/>
        <v>6.3183999898689933</v>
      </c>
      <c r="D179" s="326">
        <f t="shared" si="63"/>
        <v>1.4118601147415561</v>
      </c>
      <c r="E179" s="326">
        <f t="shared" si="64"/>
        <v>1.0000798761711098</v>
      </c>
      <c r="F179" s="327">
        <f t="shared" si="65"/>
        <v>1.2638896679420995E-2</v>
      </c>
      <c r="G179" s="326">
        <f t="shared" si="66"/>
        <v>1</v>
      </c>
      <c r="H179" s="327">
        <f t="shared" si="67"/>
        <v>0</v>
      </c>
      <c r="I179" s="325">
        <f t="shared" si="68"/>
        <v>13349.909139980511</v>
      </c>
      <c r="J179" s="328">
        <f t="shared" si="69"/>
        <v>1.5707214199179695</v>
      </c>
      <c r="K179" s="336">
        <f t="shared" si="94"/>
        <v>2.714406426125858</v>
      </c>
      <c r="L179" s="337">
        <f t="shared" si="95"/>
        <v>1.1935039180187086</v>
      </c>
      <c r="M179" s="325">
        <f t="shared" si="72"/>
        <v>1.0002961974221092</v>
      </c>
      <c r="N179" s="337">
        <f t="shared" si="73"/>
        <v>2.4336159508961831E-2</v>
      </c>
      <c r="O179" s="343">
        <f t="shared" si="74"/>
        <v>1.0017066221252171</v>
      </c>
      <c r="P179" s="691">
        <f t="shared" si="75"/>
        <v>5.8381478605533478E-2</v>
      </c>
      <c r="Q179" s="336">
        <f t="shared" si="90"/>
        <v>6.3209081088936969</v>
      </c>
      <c r="R179" s="692">
        <f t="shared" si="76"/>
        <v>6.467158125479168E-2</v>
      </c>
      <c r="S179" s="329">
        <f t="shared" si="77"/>
        <v>1.0016606814059534</v>
      </c>
      <c r="T179" s="330">
        <f t="shared" si="78"/>
        <v>5.9161627430588906E-2</v>
      </c>
      <c r="U179" s="331">
        <f t="shared" si="79"/>
        <v>12.454112596250983</v>
      </c>
      <c r="V179" s="332">
        <f t="shared" si="80"/>
        <v>-106.92690846441751</v>
      </c>
      <c r="W179" s="334">
        <f t="shared" si="81"/>
        <v>73.073091535582492</v>
      </c>
      <c r="Y179" s="307">
        <f t="shared" si="82"/>
        <v>1000000000</v>
      </c>
      <c r="Z179" s="307">
        <f t="shared" si="83"/>
        <v>101168393.0625</v>
      </c>
      <c r="AB179" s="333">
        <f t="shared" si="84"/>
        <v>23.868583341625449</v>
      </c>
      <c r="AC179" s="334">
        <f t="shared" si="85"/>
        <v>-23.007330073006148</v>
      </c>
      <c r="AE179" s="333">
        <f t="shared" si="86"/>
        <v>31.33115125938015</v>
      </c>
      <c r="AF179" s="334">
        <f t="shared" si="87"/>
        <v>-83.559182056492986</v>
      </c>
      <c r="AH179">
        <f t="shared" si="88"/>
        <v>0</v>
      </c>
      <c r="AI179">
        <f t="shared" si="93"/>
        <v>0</v>
      </c>
    </row>
    <row r="180" spans="1:35" x14ac:dyDescent="0.2">
      <c r="A180" s="335">
        <v>10116.5</v>
      </c>
      <c r="B180" s="352">
        <f t="shared" si="89"/>
        <v>10.1165</v>
      </c>
      <c r="C180" s="325">
        <f t="shared" si="62"/>
        <v>6.3540775255863506</v>
      </c>
      <c r="D180" s="326">
        <f t="shared" si="63"/>
        <v>1.4127600525689301</v>
      </c>
      <c r="E180" s="326">
        <f t="shared" si="64"/>
        <v>1.000080803980862</v>
      </c>
      <c r="F180" s="327">
        <f t="shared" si="65"/>
        <v>1.2712084028004673E-2</v>
      </c>
      <c r="G180" s="326">
        <f t="shared" si="66"/>
        <v>1</v>
      </c>
      <c r="H180" s="327">
        <f t="shared" si="67"/>
        <v>0</v>
      </c>
      <c r="I180" s="325">
        <f t="shared" si="68"/>
        <v>13427.222012801642</v>
      </c>
      <c r="J180" s="328">
        <f t="shared" si="69"/>
        <v>1.5707218512257899</v>
      </c>
      <c r="K180" s="336">
        <f t="shared" si="94"/>
        <v>2.727998058890809</v>
      </c>
      <c r="L180" s="337">
        <f t="shared" si="95"/>
        <v>1.1954775058463931</v>
      </c>
      <c r="M180" s="325">
        <f t="shared" si="72"/>
        <v>1.0002996375569297</v>
      </c>
      <c r="N180" s="337">
        <f t="shared" si="73"/>
        <v>2.4477040555069517E-2</v>
      </c>
      <c r="O180" s="343">
        <f t="shared" si="74"/>
        <v>1.0017264292849097</v>
      </c>
      <c r="P180" s="691">
        <f t="shared" si="75"/>
        <v>5.8718806871441265E-2</v>
      </c>
      <c r="Q180" s="336">
        <f t="shared" si="90"/>
        <v>6.3210595691172466</v>
      </c>
      <c r="R180" s="692">
        <f t="shared" si="76"/>
        <v>6.5045078364267261E-2</v>
      </c>
      <c r="S180" s="329">
        <f t="shared" si="77"/>
        <v>1.0016799558710046</v>
      </c>
      <c r="T180" s="330">
        <f t="shared" si="78"/>
        <v>5.9503505581902018E-2</v>
      </c>
      <c r="U180" s="331">
        <f t="shared" si="79"/>
        <v>12.398205839169133</v>
      </c>
      <c r="V180" s="332">
        <f t="shared" si="80"/>
        <v>-106.89095662323425</v>
      </c>
      <c r="W180" s="334">
        <f t="shared" si="81"/>
        <v>73.109043376765754</v>
      </c>
      <c r="Y180" s="307">
        <f t="shared" si="82"/>
        <v>1000000000</v>
      </c>
      <c r="Z180" s="307">
        <f t="shared" si="83"/>
        <v>102343572.25</v>
      </c>
      <c r="AB180" s="333">
        <f t="shared" si="84"/>
        <v>23.861779914335933</v>
      </c>
      <c r="AC180" s="334">
        <f t="shared" si="85"/>
        <v>-22.902348421334619</v>
      </c>
      <c r="AE180" s="333">
        <f t="shared" si="86"/>
        <v>31.282084308496895</v>
      </c>
      <c r="AF180" s="334">
        <f t="shared" si="87"/>
        <v>-83.626139544892595</v>
      </c>
      <c r="AH180">
        <f t="shared" si="88"/>
        <v>0</v>
      </c>
      <c r="AI180">
        <f t="shared" si="93"/>
        <v>0</v>
      </c>
    </row>
    <row r="181" spans="1:35" x14ac:dyDescent="0.2">
      <c r="A181" s="335">
        <v>10174.75</v>
      </c>
      <c r="B181" s="352">
        <f t="shared" si="89"/>
        <v>10.17475</v>
      </c>
      <c r="C181" s="325">
        <f t="shared" si="62"/>
        <v>6.3897601499261176</v>
      </c>
      <c r="D181" s="326">
        <f t="shared" si="63"/>
        <v>1.4136499399839344</v>
      </c>
      <c r="E181" s="326">
        <f t="shared" si="64"/>
        <v>1.0000817371474247</v>
      </c>
      <c r="F181" s="327">
        <f t="shared" si="65"/>
        <v>1.2785271240399564E-2</v>
      </c>
      <c r="G181" s="326">
        <f t="shared" si="66"/>
        <v>1</v>
      </c>
      <c r="H181" s="327">
        <f t="shared" si="67"/>
        <v>0</v>
      </c>
      <c r="I181" s="325">
        <f t="shared" si="68"/>
        <v>13504.534885625237</v>
      </c>
      <c r="J181" s="328">
        <f t="shared" si="69"/>
        <v>1.5707222775951735</v>
      </c>
      <c r="K181" s="336">
        <f t="shared" si="94"/>
        <v>2.7416002119627958</v>
      </c>
      <c r="L181" s="337">
        <f t="shared" si="95"/>
        <v>1.1974315177369548</v>
      </c>
      <c r="M181" s="325">
        <f t="shared" si="72"/>
        <v>1.0003030975450296</v>
      </c>
      <c r="N181" s="337">
        <f t="shared" si="73"/>
        <v>2.461792062937522E-2</v>
      </c>
      <c r="O181" s="343">
        <f t="shared" si="74"/>
        <v>1.0017463504268971</v>
      </c>
      <c r="P181" s="691">
        <f t="shared" si="75"/>
        <v>5.9056121759232312E-2</v>
      </c>
      <c r="Q181" s="336">
        <f t="shared" si="90"/>
        <v>6.321211900294645</v>
      </c>
      <c r="R181" s="692">
        <f t="shared" si="76"/>
        <v>6.5418557635039093E-2</v>
      </c>
      <c r="S181" s="329">
        <f t="shared" si="77"/>
        <v>1.0016993412643702</v>
      </c>
      <c r="T181" s="330">
        <f t="shared" si="78"/>
        <v>5.9845370904095564E-2</v>
      </c>
      <c r="U181" s="331">
        <f t="shared" si="79"/>
        <v>12.34267041027449</v>
      </c>
      <c r="V181" s="332">
        <f t="shared" si="80"/>
        <v>-106.85554923296171</v>
      </c>
      <c r="W181" s="334">
        <f t="shared" si="81"/>
        <v>73.144450767038293</v>
      </c>
      <c r="Y181" s="307">
        <f t="shared" si="82"/>
        <v>1000000000</v>
      </c>
      <c r="Z181" s="307">
        <f t="shared" si="83"/>
        <v>103525537.5625</v>
      </c>
      <c r="AB181" s="333">
        <f t="shared" si="84"/>
        <v>23.855082005795026</v>
      </c>
      <c r="AC181" s="334">
        <f t="shared" si="85"/>
        <v>-22.798488049609777</v>
      </c>
      <c r="AE181" s="333">
        <f t="shared" si="86"/>
        <v>31.233283373915214</v>
      </c>
      <c r="AF181" s="334">
        <f t="shared" si="87"/>
        <v>-83.692520459829012</v>
      </c>
      <c r="AH181">
        <f t="shared" si="88"/>
        <v>0</v>
      </c>
      <c r="AI181">
        <f t="shared" si="93"/>
        <v>0</v>
      </c>
    </row>
    <row r="182" spans="1:35" x14ac:dyDescent="0.2">
      <c r="A182" s="335">
        <v>10233</v>
      </c>
      <c r="B182" s="352">
        <f t="shared" si="89"/>
        <v>10.233000000000001</v>
      </c>
      <c r="C182" s="325">
        <f t="shared" si="62"/>
        <v>6.4254477781119146</v>
      </c>
      <c r="D182" s="326">
        <f t="shared" si="63"/>
        <v>1.414529943028509</v>
      </c>
      <c r="E182" s="326">
        <f t="shared" si="64"/>
        <v>1.0000826756707835</v>
      </c>
      <c r="F182" s="327">
        <f t="shared" si="65"/>
        <v>1.2858458315822009E-2</v>
      </c>
      <c r="G182" s="326">
        <f t="shared" si="66"/>
        <v>1</v>
      </c>
      <c r="H182" s="327">
        <f t="shared" si="67"/>
        <v>0</v>
      </c>
      <c r="I182" s="325">
        <f t="shared" si="68"/>
        <v>13581.84775845126</v>
      </c>
      <c r="J182" s="328">
        <f t="shared" si="69"/>
        <v>1.5707226991104541</v>
      </c>
      <c r="K182" s="336">
        <f t="shared" si="94"/>
        <v>2.7552127295293598</v>
      </c>
      <c r="L182" s="337">
        <f t="shared" si="95"/>
        <v>1.19936622881051</v>
      </c>
      <c r="M182" s="325">
        <f t="shared" si="72"/>
        <v>1.000306577386203</v>
      </c>
      <c r="N182" s="337">
        <f t="shared" si="73"/>
        <v>2.4758799726296889E-2</v>
      </c>
      <c r="O182" s="343">
        <f t="shared" si="74"/>
        <v>1.0017663855443792</v>
      </c>
      <c r="P182" s="691">
        <f t="shared" si="75"/>
        <v>5.939342319294675E-2</v>
      </c>
      <c r="Q182" s="336">
        <f t="shared" si="90"/>
        <v>6.3213651023629334</v>
      </c>
      <c r="R182" s="692">
        <f t="shared" si="76"/>
        <v>6.5792018966122662E-2</v>
      </c>
      <c r="S182" s="329">
        <f t="shared" si="77"/>
        <v>1.0017188375796306</v>
      </c>
      <c r="T182" s="330">
        <f t="shared" si="78"/>
        <v>6.0187223324298496E-2</v>
      </c>
      <c r="U182" s="331">
        <f t="shared" si="79"/>
        <v>12.287501349827037</v>
      </c>
      <c r="V182" s="332">
        <f t="shared" si="80"/>
        <v>-106.82068004282874</v>
      </c>
      <c r="W182" s="334">
        <f t="shared" si="81"/>
        <v>73.179319957171259</v>
      </c>
      <c r="Y182" s="307">
        <f t="shared" si="82"/>
        <v>1000000000</v>
      </c>
      <c r="Z182" s="307">
        <f t="shared" si="83"/>
        <v>104714289</v>
      </c>
      <c r="AB182" s="333">
        <f t="shared" si="84"/>
        <v>23.848487475829124</v>
      </c>
      <c r="AC182" s="334">
        <f t="shared" si="85"/>
        <v>-22.69573319912222</v>
      </c>
      <c r="AE182" s="333">
        <f t="shared" si="86"/>
        <v>31.18474563601368</v>
      </c>
      <c r="AF182" s="334">
        <f t="shared" si="87"/>
        <v>-83.758334310674357</v>
      </c>
      <c r="AH182">
        <f t="shared" si="88"/>
        <v>0</v>
      </c>
      <c r="AI182">
        <f t="shared" si="93"/>
        <v>0</v>
      </c>
    </row>
    <row r="183" spans="1:35" x14ac:dyDescent="0.2">
      <c r="A183" s="335">
        <v>10292.5</v>
      </c>
      <c r="B183" s="352">
        <f t="shared" si="89"/>
        <v>10.2925</v>
      </c>
      <c r="C183" s="325">
        <f t="shared" si="62"/>
        <v>6.4619063150895864</v>
      </c>
      <c r="D183" s="326">
        <f t="shared" si="63"/>
        <v>1.4154187943267114</v>
      </c>
      <c r="E183" s="326">
        <f t="shared" si="64"/>
        <v>1.0000836398645712</v>
      </c>
      <c r="F183" s="327">
        <f t="shared" si="65"/>
        <v>1.2933215787115848E-2</v>
      </c>
      <c r="G183" s="326">
        <f t="shared" si="66"/>
        <v>1</v>
      </c>
      <c r="H183" s="327">
        <f t="shared" si="67"/>
        <v>0</v>
      </c>
      <c r="I183" s="325">
        <f t="shared" si="68"/>
        <v>13660.81970580391</v>
      </c>
      <c r="J183" s="328">
        <f t="shared" si="69"/>
        <v>1.5707231247453544</v>
      </c>
      <c r="K183" s="336">
        <f t="shared" si="94"/>
        <v>2.7691279027743914</v>
      </c>
      <c r="L183" s="337">
        <f t="shared" si="95"/>
        <v>1.2013228117791599</v>
      </c>
      <c r="M183" s="325">
        <f t="shared" si="72"/>
        <v>1.000310152398556</v>
      </c>
      <c r="N183" s="337">
        <f t="shared" si="73"/>
        <v>2.4902700964930954E-2</v>
      </c>
      <c r="O183" s="343">
        <f t="shared" si="74"/>
        <v>1.0017869682633709</v>
      </c>
      <c r="P183" s="691">
        <f t="shared" si="75"/>
        <v>5.9737948885642718E-2</v>
      </c>
      <c r="Q183" s="336">
        <f t="shared" si="90"/>
        <v>6.3215224910878058</v>
      </c>
      <c r="R183" s="692">
        <f t="shared" si="76"/>
        <v>6.6173475862610465E-2</v>
      </c>
      <c r="S183" s="329">
        <f t="shared" si="77"/>
        <v>1.0017388667819225</v>
      </c>
      <c r="T183" s="330">
        <f t="shared" si="78"/>
        <v>6.0536398237331826E-2</v>
      </c>
      <c r="U183" s="331">
        <f t="shared" si="79"/>
        <v>12.23152159275805</v>
      </c>
      <c r="V183" s="332">
        <f t="shared" si="80"/>
        <v>-106.78561180848943</v>
      </c>
      <c r="W183" s="334">
        <f t="shared" si="81"/>
        <v>73.214388191510565</v>
      </c>
      <c r="Y183" s="307">
        <f t="shared" si="82"/>
        <v>1000000000</v>
      </c>
      <c r="Z183" s="307">
        <f t="shared" si="83"/>
        <v>105935556.25</v>
      </c>
      <c r="AB183" s="333">
        <f t="shared" si="84"/>
        <v>23.84185599212492</v>
      </c>
      <c r="AC183" s="334">
        <f t="shared" si="85"/>
        <v>-22.591898573356598</v>
      </c>
      <c r="AE183" s="333">
        <f t="shared" si="86"/>
        <v>31.135435158224261</v>
      </c>
      <c r="AF183" s="334">
        <f t="shared" si="87"/>
        <v>-83.82498469998869</v>
      </c>
      <c r="AH183">
        <f t="shared" si="88"/>
        <v>0</v>
      </c>
      <c r="AI183">
        <f t="shared" si="93"/>
        <v>0</v>
      </c>
    </row>
    <row r="184" spans="1:35" x14ac:dyDescent="0.2">
      <c r="A184" s="335">
        <v>10352</v>
      </c>
      <c r="B184" s="352">
        <f t="shared" si="89"/>
        <v>10.352</v>
      </c>
      <c r="C184" s="325">
        <f t="shared" si="62"/>
        <v>6.4983699000514843</v>
      </c>
      <c r="D184" s="326">
        <f t="shared" si="63"/>
        <v>1.4162976712866513</v>
      </c>
      <c r="E184" s="326">
        <f t="shared" si="64"/>
        <v>1.0000846096474949</v>
      </c>
      <c r="F184" s="327">
        <f t="shared" si="65"/>
        <v>1.3007973113842709E-2</v>
      </c>
      <c r="G184" s="326">
        <f t="shared" si="66"/>
        <v>1</v>
      </c>
      <c r="H184" s="327">
        <f t="shared" si="67"/>
        <v>0</v>
      </c>
      <c r="I184" s="325">
        <f t="shared" si="68"/>
        <v>13739.791653159007</v>
      </c>
      <c r="J184" s="328">
        <f t="shared" si="69"/>
        <v>1.5707235454874267</v>
      </c>
      <c r="K184" s="336">
        <f t="shared" si="94"/>
        <v>2.7830535708106576</v>
      </c>
      <c r="L184" s="337">
        <f t="shared" si="95"/>
        <v>1.2032598216483454</v>
      </c>
      <c r="M184" s="325">
        <f t="shared" si="72"/>
        <v>1.0003137481247499</v>
      </c>
      <c r="N184" s="337">
        <f t="shared" si="73"/>
        <v>2.5046601172010501E-2</v>
      </c>
      <c r="O184" s="343">
        <f t="shared" si="74"/>
        <v>1.0018076698875304</v>
      </c>
      <c r="P184" s="691">
        <f t="shared" si="75"/>
        <v>6.0082460380486244E-2</v>
      </c>
      <c r="Q184" s="336">
        <f t="shared" si="90"/>
        <v>6.3216807883479955</v>
      </c>
      <c r="R184" s="692">
        <f t="shared" si="76"/>
        <v>6.6554913828308193E-2</v>
      </c>
      <c r="S184" s="329">
        <f t="shared" si="77"/>
        <v>1.0017590117041277</v>
      </c>
      <c r="T184" s="330">
        <f t="shared" si="78"/>
        <v>6.0885559535058455E-2</v>
      </c>
      <c r="U184" s="331">
        <f t="shared" si="79"/>
        <v>12.175913939140607</v>
      </c>
      <c r="V184" s="332">
        <f t="shared" si="80"/>
        <v>-106.75109216022025</v>
      </c>
      <c r="W184" s="334">
        <f t="shared" si="81"/>
        <v>73.248907839779747</v>
      </c>
      <c r="Y184" s="307">
        <f t="shared" si="82"/>
        <v>1000000000</v>
      </c>
      <c r="Z184" s="307">
        <f t="shared" si="83"/>
        <v>107163904</v>
      </c>
      <c r="AB184" s="333">
        <f t="shared" si="84"/>
        <v>23.835328024097198</v>
      </c>
      <c r="AC184" s="334">
        <f t="shared" si="85"/>
        <v>-22.489185064141431</v>
      </c>
      <c r="AE184" s="333">
        <f t="shared" si="86"/>
        <v>31.086393483872023</v>
      </c>
      <c r="AF184" s="334">
        <f t="shared" si="87"/>
        <v>-83.891062829999953</v>
      </c>
      <c r="AH184">
        <f t="shared" si="88"/>
        <v>0</v>
      </c>
      <c r="AI184">
        <f t="shared" si="93"/>
        <v>0</v>
      </c>
    </row>
    <row r="185" spans="1:35" x14ac:dyDescent="0.2">
      <c r="A185" s="335">
        <v>10411.5</v>
      </c>
      <c r="B185" s="352">
        <f t="shared" si="89"/>
        <v>10.4115</v>
      </c>
      <c r="C185" s="325">
        <f t="shared" si="62"/>
        <v>6.534838448496239</v>
      </c>
      <c r="D185" s="326">
        <f t="shared" si="63"/>
        <v>1.4171667395285295</v>
      </c>
      <c r="E185" s="326">
        <f t="shared" si="64"/>
        <v>1.0000855850195387</v>
      </c>
      <c r="F185" s="327">
        <f t="shared" si="65"/>
        <v>1.3082730295167426E-2</v>
      </c>
      <c r="G185" s="326">
        <f t="shared" si="66"/>
        <v>1</v>
      </c>
      <c r="H185" s="327">
        <f t="shared" si="67"/>
        <v>0</v>
      </c>
      <c r="I185" s="325">
        <f t="shared" si="68"/>
        <v>13818.763600516508</v>
      </c>
      <c r="J185" s="328">
        <f t="shared" si="69"/>
        <v>1.5707239614205561</v>
      </c>
      <c r="K185" s="336">
        <f t="shared" si="94"/>
        <v>2.7969895768835791</v>
      </c>
      <c r="L185" s="337">
        <f t="shared" si="95"/>
        <v>1.2051775363422259</v>
      </c>
      <c r="M185" s="325">
        <f t="shared" si="72"/>
        <v>1.0003173645645611</v>
      </c>
      <c r="N185" s="337">
        <f t="shared" si="73"/>
        <v>2.5190500341587128E-2</v>
      </c>
      <c r="O185" s="343">
        <f t="shared" si="74"/>
        <v>1.001828490409487</v>
      </c>
      <c r="P185" s="691">
        <f t="shared" si="75"/>
        <v>6.0426957596581121E-2</v>
      </c>
      <c r="Q185" s="336">
        <f t="shared" si="90"/>
        <v>6.3218399940752645</v>
      </c>
      <c r="R185" s="692">
        <f t="shared" si="76"/>
        <v>6.6936332755685626E-2</v>
      </c>
      <c r="S185" s="329">
        <f t="shared" si="77"/>
        <v>1.0017792723392862</v>
      </c>
      <c r="T185" s="330">
        <f t="shared" si="78"/>
        <v>6.1234707139870156E-2</v>
      </c>
      <c r="U185" s="331">
        <f t="shared" si="79"/>
        <v>12.120673405056353</v>
      </c>
      <c r="V185" s="332">
        <f t="shared" si="80"/>
        <v>-106.71711466201884</v>
      </c>
      <c r="W185" s="334">
        <f t="shared" si="81"/>
        <v>73.282885337981156</v>
      </c>
      <c r="Y185" s="307">
        <f t="shared" si="82"/>
        <v>1000000000</v>
      </c>
      <c r="Z185" s="307">
        <f t="shared" si="83"/>
        <v>108399332.25</v>
      </c>
      <c r="AB185" s="333">
        <f t="shared" si="84"/>
        <v>23.828901456313339</v>
      </c>
      <c r="AC185" s="334">
        <f t="shared" si="85"/>
        <v>-22.387576752060809</v>
      </c>
      <c r="AE185" s="333">
        <f t="shared" si="86"/>
        <v>31.037617744411637</v>
      </c>
      <c r="AF185" s="334">
        <f t="shared" si="87"/>
        <v>-83.956578185647899</v>
      </c>
      <c r="AH185">
        <f t="shared" si="88"/>
        <v>0</v>
      </c>
      <c r="AI185">
        <f t="shared" si="93"/>
        <v>0</v>
      </c>
    </row>
    <row r="186" spans="1:35" x14ac:dyDescent="0.2">
      <c r="A186" s="335">
        <v>10471</v>
      </c>
      <c r="B186" s="352">
        <f t="shared" si="89"/>
        <v>10.471</v>
      </c>
      <c r="C186" s="325">
        <f t="shared" si="62"/>
        <v>6.5713118777869202</v>
      </c>
      <c r="D186" s="326">
        <f t="shared" si="63"/>
        <v>1.4180261610555323</v>
      </c>
      <c r="E186" s="326">
        <f t="shared" si="64"/>
        <v>1.0000865659806859</v>
      </c>
      <c r="F186" s="327">
        <f t="shared" si="65"/>
        <v>1.315748733025485E-2</v>
      </c>
      <c r="G186" s="326">
        <f t="shared" si="66"/>
        <v>1</v>
      </c>
      <c r="H186" s="327">
        <f t="shared" si="67"/>
        <v>0</v>
      </c>
      <c r="I186" s="325">
        <f t="shared" si="68"/>
        <v>13897.735547876369</v>
      </c>
      <c r="J186" s="328">
        <f t="shared" si="69"/>
        <v>1.5707243726267217</v>
      </c>
      <c r="K186" s="336">
        <f t="shared" si="94"/>
        <v>2.8109357672319715</v>
      </c>
      <c r="L186" s="337">
        <f t="shared" si="95"/>
        <v>1.2070762288432215</v>
      </c>
      <c r="M186" s="325">
        <f t="shared" si="72"/>
        <v>1.0003210017177648</v>
      </c>
      <c r="N186" s="337">
        <f t="shared" si="73"/>
        <v>2.5334398467712686E-2</v>
      </c>
      <c r="O186" s="343">
        <f t="shared" si="74"/>
        <v>1.0018494298218277</v>
      </c>
      <c r="P186" s="691">
        <f t="shared" si="75"/>
        <v>6.0771440453051433E-2</v>
      </c>
      <c r="Q186" s="336">
        <f t="shared" si="90"/>
        <v>6.3220001082009896</v>
      </c>
      <c r="R186" s="692">
        <f t="shared" si="76"/>
        <v>6.7317732537245226E-2</v>
      </c>
      <c r="S186" s="329">
        <f t="shared" si="77"/>
        <v>1.0017996486803993</v>
      </c>
      <c r="T186" s="330">
        <f t="shared" si="78"/>
        <v>6.1583840974177628E-2</v>
      </c>
      <c r="U186" s="331">
        <f t="shared" si="79"/>
        <v>12.065795103330132</v>
      </c>
      <c r="V186" s="332">
        <f t="shared" si="80"/>
        <v>-106.68367295367686</v>
      </c>
      <c r="W186" s="334">
        <f t="shared" si="81"/>
        <v>73.316327046323138</v>
      </c>
      <c r="Y186" s="307">
        <f t="shared" si="82"/>
        <v>1000000000</v>
      </c>
      <c r="Z186" s="307">
        <f t="shared" si="83"/>
        <v>109641841</v>
      </c>
      <c r="AB186" s="333">
        <f t="shared" si="84"/>
        <v>23.822574225891863</v>
      </c>
      <c r="AC186" s="334">
        <f t="shared" si="85"/>
        <v>-22.287058000730404</v>
      </c>
      <c r="AE186" s="333">
        <f t="shared" si="86"/>
        <v>30.989105115489508</v>
      </c>
      <c r="AF186" s="334">
        <f t="shared" si="87"/>
        <v>-84.021540044633682</v>
      </c>
      <c r="AH186">
        <f t="shared" si="88"/>
        <v>0</v>
      </c>
      <c r="AI186">
        <f t="shared" si="93"/>
        <v>0</v>
      </c>
    </row>
    <row r="187" spans="1:35" x14ac:dyDescent="0.2">
      <c r="A187" s="335">
        <v>10532</v>
      </c>
      <c r="B187" s="352">
        <f t="shared" si="89"/>
        <v>10.532</v>
      </c>
      <c r="C187" s="325">
        <f t="shared" si="62"/>
        <v>6.6087097876630141</v>
      </c>
      <c r="D187" s="326">
        <f t="shared" si="63"/>
        <v>1.4188973999862196</v>
      </c>
      <c r="E187" s="326">
        <f t="shared" si="64"/>
        <v>1.0000875774741611</v>
      </c>
      <c r="F187" s="327">
        <f t="shared" si="65"/>
        <v>1.3234128843790906E-2</v>
      </c>
      <c r="G187" s="326">
        <f t="shared" si="66"/>
        <v>1</v>
      </c>
      <c r="H187" s="327">
        <f t="shared" si="67"/>
        <v>0</v>
      </c>
      <c r="I187" s="325">
        <f t="shared" si="68"/>
        <v>13978.698384667887</v>
      </c>
      <c r="J187" s="328">
        <f t="shared" si="69"/>
        <v>1.5707247893760801</v>
      </c>
      <c r="K187" s="336">
        <f t="shared" si="94"/>
        <v>2.8252439569576522</v>
      </c>
      <c r="L187" s="337">
        <f t="shared" si="95"/>
        <v>1.2090033206526487</v>
      </c>
      <c r="M187" s="325">
        <f t="shared" si="72"/>
        <v>1.0003247520669243</v>
      </c>
      <c r="N187" s="337">
        <f t="shared" si="73"/>
        <v>2.5481923188222681E-2</v>
      </c>
      <c r="O187" s="343">
        <f t="shared" si="74"/>
        <v>1.0018710205347281</v>
      </c>
      <c r="P187" s="691">
        <f t="shared" si="75"/>
        <v>6.1124592759438774E-2</v>
      </c>
      <c r="Q187" s="336">
        <f t="shared" si="90"/>
        <v>6.3221652017833607</v>
      </c>
      <c r="R187" s="692">
        <f t="shared" si="76"/>
        <v>6.7708727450945083E-2</v>
      </c>
      <c r="S187" s="329">
        <f t="shared" si="77"/>
        <v>1.0018206588215739</v>
      </c>
      <c r="T187" s="330">
        <f t="shared" si="78"/>
        <v>6.1941762124968575E-2</v>
      </c>
      <c r="U187" s="331">
        <f t="shared" si="79"/>
        <v>12.009904343538125</v>
      </c>
      <c r="V187" s="332">
        <f t="shared" si="80"/>
        <v>-106.64993781950066</v>
      </c>
      <c r="W187" s="334">
        <f t="shared" si="81"/>
        <v>73.350062180499336</v>
      </c>
      <c r="Y187" s="307">
        <f t="shared" si="82"/>
        <v>1000000000</v>
      </c>
      <c r="Z187" s="307">
        <f t="shared" si="83"/>
        <v>110923024</v>
      </c>
      <c r="AB187" s="333">
        <f t="shared" si="84"/>
        <v>23.816188505047084</v>
      </c>
      <c r="AC187" s="334">
        <f t="shared" si="85"/>
        <v>-22.185120195037925</v>
      </c>
      <c r="AE187" s="333">
        <f t="shared" si="86"/>
        <v>30.939639711759384</v>
      </c>
      <c r="AF187" s="334">
        <f t="shared" si="87"/>
        <v>-84.087574494462686</v>
      </c>
      <c r="AH187">
        <f t="shared" si="88"/>
        <v>0</v>
      </c>
      <c r="AI187">
        <f t="shared" si="93"/>
        <v>0</v>
      </c>
    </row>
    <row r="188" spans="1:35" x14ac:dyDescent="0.2">
      <c r="A188" s="335">
        <v>10593</v>
      </c>
      <c r="B188" s="352">
        <f t="shared" si="89"/>
        <v>10.593</v>
      </c>
      <c r="C188" s="325">
        <f t="shared" si="62"/>
        <v>6.6461126574713418</v>
      </c>
      <c r="D188" s="326">
        <f t="shared" si="63"/>
        <v>1.4197588332800062</v>
      </c>
      <c r="E188" s="326">
        <f t="shared" si="64"/>
        <v>1.0000885948420604</v>
      </c>
      <c r="F188" s="327">
        <f t="shared" si="65"/>
        <v>1.3310770201845727E-2</v>
      </c>
      <c r="G188" s="326">
        <f t="shared" si="66"/>
        <v>1</v>
      </c>
      <c r="H188" s="327">
        <f t="shared" si="67"/>
        <v>0</v>
      </c>
      <c r="I188" s="325">
        <f t="shared" si="68"/>
        <v>14059.661221461802</v>
      </c>
      <c r="J188" s="328">
        <f t="shared" si="69"/>
        <v>1.5707252013257198</v>
      </c>
      <c r="K188" s="336">
        <f t="shared" si="94"/>
        <v>2.8395625329844667</v>
      </c>
      <c r="L188" s="337">
        <f t="shared" si="95"/>
        <v>1.2109109846549992</v>
      </c>
      <c r="M188" s="325">
        <f t="shared" si="72"/>
        <v>1.0003285241865312</v>
      </c>
      <c r="N188" s="337">
        <f t="shared" si="73"/>
        <v>2.5629446799347023E-2</v>
      </c>
      <c r="O188" s="343">
        <f t="shared" si="74"/>
        <v>1.0018927361921328</v>
      </c>
      <c r="P188" s="691">
        <f t="shared" si="75"/>
        <v>6.1477729800973269E-2</v>
      </c>
      <c r="Q188" s="336">
        <f t="shared" si="90"/>
        <v>6.3223312499958135</v>
      </c>
      <c r="R188" s="692">
        <f t="shared" si="76"/>
        <v>6.8099702012609661E-2</v>
      </c>
      <c r="S188" s="329">
        <f t="shared" si="77"/>
        <v>1.0018417905611277</v>
      </c>
      <c r="T188" s="330">
        <f t="shared" si="78"/>
        <v>6.2299668637096413E-2</v>
      </c>
      <c r="U188" s="331">
        <f t="shared" si="79"/>
        <v>11.95438420886212</v>
      </c>
      <c r="V188" s="332">
        <f t="shared" si="80"/>
        <v>-106.61675253519989</v>
      </c>
      <c r="W188" s="334">
        <f t="shared" si="81"/>
        <v>73.383247464800107</v>
      </c>
      <c r="Y188" s="307">
        <f t="shared" si="82"/>
        <v>1000000000</v>
      </c>
      <c r="Z188" s="307">
        <f t="shared" si="83"/>
        <v>112211649</v>
      </c>
      <c r="AB188" s="333">
        <f t="shared" si="84"/>
        <v>23.80990296511612</v>
      </c>
      <c r="AC188" s="334">
        <f t="shared" si="85"/>
        <v>-22.084295182130678</v>
      </c>
      <c r="AE188" s="333">
        <f t="shared" si="86"/>
        <v>30.890444978650123</v>
      </c>
      <c r="AF188" s="334">
        <f t="shared" si="87"/>
        <v>-84.153046292856018</v>
      </c>
      <c r="AH188">
        <f t="shared" si="88"/>
        <v>0</v>
      </c>
      <c r="AI188">
        <f t="shared" si="93"/>
        <v>0</v>
      </c>
    </row>
    <row r="189" spans="1:35" x14ac:dyDescent="0.2">
      <c r="A189" s="335">
        <v>10654</v>
      </c>
      <c r="B189" s="352">
        <f t="shared" si="89"/>
        <v>10.654</v>
      </c>
      <c r="C189" s="325">
        <f t="shared" si="62"/>
        <v>6.6835204039403546</v>
      </c>
      <c r="D189" s="326">
        <f t="shared" si="63"/>
        <v>1.4206106242943699</v>
      </c>
      <c r="E189" s="326">
        <f t="shared" si="64"/>
        <v>1.0000896180843659</v>
      </c>
      <c r="F189" s="327">
        <f t="shared" si="65"/>
        <v>1.3387411403519428E-2</v>
      </c>
      <c r="G189" s="326">
        <f t="shared" si="66"/>
        <v>1</v>
      </c>
      <c r="H189" s="327">
        <f t="shared" si="67"/>
        <v>0</v>
      </c>
      <c r="I189" s="325">
        <f t="shared" si="68"/>
        <v>14140.624058258078</v>
      </c>
      <c r="J189" s="328">
        <f t="shared" si="69"/>
        <v>1.5707256085580839</v>
      </c>
      <c r="K189" s="336">
        <f t="shared" si="94"/>
        <v>2.8538913389816161</v>
      </c>
      <c r="L189" s="337">
        <f t="shared" si="95"/>
        <v>1.2127994994893345</v>
      </c>
      <c r="M189" s="325">
        <f t="shared" si="72"/>
        <v>1.0003323180763393</v>
      </c>
      <c r="N189" s="337">
        <f t="shared" si="73"/>
        <v>2.5776969294677123E-2</v>
      </c>
      <c r="O189" s="343">
        <f t="shared" si="74"/>
        <v>1.0019145767859177</v>
      </c>
      <c r="P189" s="691">
        <f t="shared" si="75"/>
        <v>6.1830851490573893E-2</v>
      </c>
      <c r="Q189" s="336">
        <f t="shared" si="90"/>
        <v>6.3224982527631424</v>
      </c>
      <c r="R189" s="692">
        <f t="shared" si="76"/>
        <v>6.8490656106512865E-2</v>
      </c>
      <c r="S189" s="329">
        <f t="shared" si="77"/>
        <v>1.0018630438913905</v>
      </c>
      <c r="T189" s="330">
        <f t="shared" si="78"/>
        <v>6.2657560427017089E-2</v>
      </c>
      <c r="U189" s="331">
        <f t="shared" si="79"/>
        <v>11.899229734244843</v>
      </c>
      <c r="V189" s="332">
        <f t="shared" si="80"/>
        <v>-106.58411049360643</v>
      </c>
      <c r="W189" s="334">
        <f t="shared" si="81"/>
        <v>73.415889506393569</v>
      </c>
      <c r="Y189" s="307">
        <f t="shared" si="82"/>
        <v>1000000000</v>
      </c>
      <c r="Z189" s="307">
        <f t="shared" si="83"/>
        <v>113507716</v>
      </c>
      <c r="AB189" s="333">
        <f t="shared" si="84"/>
        <v>23.803715545384307</v>
      </c>
      <c r="AC189" s="334">
        <f t="shared" si="85"/>
        <v>-21.984567001522866</v>
      </c>
      <c r="AE189" s="333">
        <f t="shared" si="86"/>
        <v>30.841518011753458</v>
      </c>
      <c r="AF189" s="334">
        <f t="shared" si="87"/>
        <v>-84.217964794772513</v>
      </c>
      <c r="AH189">
        <f t="shared" si="88"/>
        <v>0</v>
      </c>
      <c r="AI189">
        <f t="shared" si="93"/>
        <v>0</v>
      </c>
    </row>
    <row r="190" spans="1:35" x14ac:dyDescent="0.2">
      <c r="A190" s="335">
        <v>10715</v>
      </c>
      <c r="B190" s="352">
        <f t="shared" si="89"/>
        <v>10.715</v>
      </c>
      <c r="C190" s="325">
        <f t="shared" si="62"/>
        <v>6.7209329456416773</v>
      </c>
      <c r="D190" s="326">
        <f t="shared" si="63"/>
        <v>1.4214529328061067</v>
      </c>
      <c r="E190" s="326">
        <f t="shared" si="64"/>
        <v>1.0000906472010598</v>
      </c>
      <c r="F190" s="327">
        <f t="shared" si="65"/>
        <v>1.3464052447912126E-2</v>
      </c>
      <c r="G190" s="326">
        <f t="shared" si="66"/>
        <v>1</v>
      </c>
      <c r="H190" s="327">
        <f t="shared" si="67"/>
        <v>0</v>
      </c>
      <c r="I190" s="325">
        <f t="shared" si="68"/>
        <v>14221.586895056669</v>
      </c>
      <c r="J190" s="328">
        <f t="shared" si="69"/>
        <v>1.5707260111537376</v>
      </c>
      <c r="K190" s="336">
        <f t="shared" si="94"/>
        <v>2.8682302216316411</v>
      </c>
      <c r="L190" s="337">
        <f t="shared" si="95"/>
        <v>1.2146691387751629</v>
      </c>
      <c r="M190" s="325">
        <f t="shared" si="72"/>
        <v>1.0003361337361008</v>
      </c>
      <c r="N190" s="337">
        <f t="shared" si="73"/>
        <v>2.5924490667804688E-2</v>
      </c>
      <c r="O190" s="343">
        <f t="shared" si="74"/>
        <v>1.0019365423079123</v>
      </c>
      <c r="P190" s="691">
        <f t="shared" si="75"/>
        <v>6.2183957741182516E-2</v>
      </c>
      <c r="Q190" s="336">
        <f t="shared" si="90"/>
        <v>6.3226662100097206</v>
      </c>
      <c r="R190" s="692">
        <f t="shared" si="76"/>
        <v>6.8881589616965527E-2</v>
      </c>
      <c r="S190" s="329">
        <f t="shared" si="77"/>
        <v>1.0018844188046476</v>
      </c>
      <c r="T190" s="330">
        <f t="shared" si="78"/>
        <v>6.3015437411207909E-2</v>
      </c>
      <c r="U190" s="331">
        <f t="shared" si="79"/>
        <v>11.844436051246095</v>
      </c>
      <c r="V190" s="332">
        <f t="shared" si="80"/>
        <v>-106.55200516988786</v>
      </c>
      <c r="W190" s="334">
        <f t="shared" si="81"/>
        <v>73.447994830112137</v>
      </c>
      <c r="Y190" s="307">
        <f t="shared" si="82"/>
        <v>1000000000</v>
      </c>
      <c r="Z190" s="307">
        <f t="shared" si="83"/>
        <v>114811225</v>
      </c>
      <c r="AB190" s="333">
        <f t="shared" si="84"/>
        <v>23.797624236697633</v>
      </c>
      <c r="AC190" s="334">
        <f t="shared" si="85"/>
        <v>-21.885919980220308</v>
      </c>
      <c r="AE190" s="333">
        <f t="shared" si="86"/>
        <v>30.79285595171719</v>
      </c>
      <c r="AF190" s="334">
        <f t="shared" si="87"/>
        <v>-84.28233915001438</v>
      </c>
      <c r="AH190">
        <f t="shared" si="88"/>
        <v>0</v>
      </c>
      <c r="AI190">
        <f t="shared" si="93"/>
        <v>0</v>
      </c>
    </row>
    <row r="191" spans="1:35" x14ac:dyDescent="0.2">
      <c r="A191" s="335">
        <v>10777.5</v>
      </c>
      <c r="B191" s="352">
        <f t="shared" si="89"/>
        <v>10.7775</v>
      </c>
      <c r="C191" s="325">
        <f t="shared" si="62"/>
        <v>6.7592703581692088</v>
      </c>
      <c r="D191" s="326">
        <f t="shared" si="63"/>
        <v>1.4223062821001351</v>
      </c>
      <c r="E191" s="326">
        <f t="shared" si="64"/>
        <v>1.0000917077167251</v>
      </c>
      <c r="F191" s="327">
        <f t="shared" si="65"/>
        <v>1.3542577944079658E-2</v>
      </c>
      <c r="G191" s="326">
        <f t="shared" si="66"/>
        <v>1</v>
      </c>
      <c r="H191" s="327">
        <f t="shared" si="67"/>
        <v>0</v>
      </c>
      <c r="I191" s="325">
        <f t="shared" si="68"/>
        <v>14304.5406212871</v>
      </c>
      <c r="J191" s="328">
        <f t="shared" si="69"/>
        <v>1.5707264189224741</v>
      </c>
      <c r="K191" s="336">
        <f t="shared" si="94"/>
        <v>2.8829319939104407</v>
      </c>
      <c r="L191" s="337">
        <f t="shared" si="95"/>
        <v>1.216565456263869</v>
      </c>
      <c r="M191" s="325">
        <f t="shared" si="72"/>
        <v>1.0003400658028261</v>
      </c>
      <c r="N191" s="337">
        <f t="shared" si="73"/>
        <v>2.6075638445045971E-2</v>
      </c>
      <c r="O191" s="343">
        <f t="shared" si="74"/>
        <v>1.0019591775310901</v>
      </c>
      <c r="P191" s="691">
        <f t="shared" si="75"/>
        <v>6.2545730828237542E-2</v>
      </c>
      <c r="Q191" s="336">
        <f t="shared" si="90"/>
        <v>6.3228392872470245</v>
      </c>
      <c r="R191" s="692">
        <f t="shared" si="76"/>
        <v>6.9282114776692466E-2</v>
      </c>
      <c r="S191" s="329">
        <f t="shared" si="77"/>
        <v>1.0019064454267856</v>
      </c>
      <c r="T191" s="330">
        <f t="shared" si="78"/>
        <v>6.3382099205472969E-2</v>
      </c>
      <c r="U191" s="331">
        <f t="shared" si="79"/>
        <v>11.7886641994206</v>
      </c>
      <c r="V191" s="332">
        <f t="shared" si="80"/>
        <v>-106.51966031129278</v>
      </c>
      <c r="W191" s="334">
        <f t="shared" si="81"/>
        <v>73.480339688707218</v>
      </c>
      <c r="Y191" s="307">
        <f t="shared" si="82"/>
        <v>1000000000</v>
      </c>
      <c r="Z191" s="307">
        <f t="shared" si="83"/>
        <v>116154506.25</v>
      </c>
      <c r="AB191" s="333">
        <f t="shared" si="84"/>
        <v>23.791480778616162</v>
      </c>
      <c r="AC191" s="334">
        <f t="shared" si="85"/>
        <v>-21.785952484532707</v>
      </c>
      <c r="AE191" s="333">
        <f t="shared" si="86"/>
        <v>30.743269098216295</v>
      </c>
      <c r="AF191" s="334">
        <f t="shared" si="87"/>
        <v>-84.347741456892919</v>
      </c>
      <c r="AH191">
        <f t="shared" si="88"/>
        <v>0</v>
      </c>
      <c r="AI191">
        <f t="shared" si="93"/>
        <v>0</v>
      </c>
    </row>
    <row r="192" spans="1:35" x14ac:dyDescent="0.2">
      <c r="A192" s="335">
        <v>10840</v>
      </c>
      <c r="B192" s="352">
        <f t="shared" si="89"/>
        <v>10.84</v>
      </c>
      <c r="C192" s="325">
        <f t="shared" si="62"/>
        <v>6.7976126373092027</v>
      </c>
      <c r="D192" s="326">
        <f t="shared" si="63"/>
        <v>1.4231500052827832</v>
      </c>
      <c r="E192" s="326">
        <f t="shared" si="64"/>
        <v>1.0000927743991963</v>
      </c>
      <c r="F192" s="327">
        <f t="shared" si="65"/>
        <v>1.3621103273223396E-2</v>
      </c>
      <c r="G192" s="326">
        <f t="shared" si="66"/>
        <v>1</v>
      </c>
      <c r="H192" s="327">
        <f t="shared" si="67"/>
        <v>0</v>
      </c>
      <c r="I192" s="325">
        <f t="shared" si="68"/>
        <v>14387.494347519882</v>
      </c>
      <c r="J192" s="328">
        <f t="shared" si="69"/>
        <v>1.5707268219890804</v>
      </c>
      <c r="K192" s="336">
        <f t="shared" si="94"/>
        <v>2.8976440280498932</v>
      </c>
      <c r="L192" s="337">
        <f t="shared" si="95"/>
        <v>1.2184425243275854</v>
      </c>
      <c r="M192" s="325">
        <f t="shared" si="72"/>
        <v>1.0003440207227912</v>
      </c>
      <c r="N192" s="337">
        <f t="shared" si="73"/>
        <v>2.6226785030596705E-2</v>
      </c>
      <c r="O192" s="343">
        <f t="shared" si="74"/>
        <v>1.0019819438845161</v>
      </c>
      <c r="P192" s="691">
        <f t="shared" si="75"/>
        <v>6.2907487522712482E-2</v>
      </c>
      <c r="Q192" s="336">
        <f t="shared" si="90"/>
        <v>6.3230133663202297</v>
      </c>
      <c r="R192" s="692">
        <f t="shared" si="76"/>
        <v>6.9682618082457404E-2</v>
      </c>
      <c r="S192" s="329">
        <f t="shared" si="77"/>
        <v>1.0019285996683922</v>
      </c>
      <c r="T192" s="330">
        <f t="shared" si="78"/>
        <v>6.3748745279456231E-2</v>
      </c>
      <c r="U192" s="331">
        <f t="shared" si="79"/>
        <v>11.733261054559224</v>
      </c>
      <c r="V192" s="332">
        <f t="shared" si="80"/>
        <v>-106.48786528621191</v>
      </c>
      <c r="W192" s="334">
        <f t="shared" si="81"/>
        <v>73.512134713788086</v>
      </c>
      <c r="Y192" s="307">
        <f t="shared" si="82"/>
        <v>1000000000</v>
      </c>
      <c r="Z192" s="307">
        <f t="shared" si="83"/>
        <v>117505600</v>
      </c>
      <c r="AB192" s="333">
        <f t="shared" si="84"/>
        <v>23.78543410572291</v>
      </c>
      <c r="AC192" s="334">
        <f t="shared" si="85"/>
        <v>-21.687087561965264</v>
      </c>
      <c r="AE192" s="333">
        <f t="shared" si="86"/>
        <v>30.693954403902552</v>
      </c>
      <c r="AF192" s="334">
        <f t="shared" si="87"/>
        <v>-84.412591337079576</v>
      </c>
      <c r="AH192">
        <f t="shared" si="88"/>
        <v>0</v>
      </c>
      <c r="AI192">
        <f t="shared" si="93"/>
        <v>0</v>
      </c>
    </row>
    <row r="193" spans="1:35" x14ac:dyDescent="0.2">
      <c r="A193" s="335">
        <v>10902.5</v>
      </c>
      <c r="B193" s="352">
        <f t="shared" si="89"/>
        <v>10.9025</v>
      </c>
      <c r="C193" s="325">
        <f t="shared" si="62"/>
        <v>6.8359597011724897</v>
      </c>
      <c r="D193" s="326">
        <f t="shared" si="63"/>
        <v>1.4239842631387649</v>
      </c>
      <c r="E193" s="326">
        <f t="shared" si="64"/>
        <v>1.000093847248454</v>
      </c>
      <c r="F193" s="327">
        <f t="shared" si="65"/>
        <v>1.3699628434375468E-2</v>
      </c>
      <c r="G193" s="326">
        <f t="shared" si="66"/>
        <v>1</v>
      </c>
      <c r="H193" s="327">
        <f t="shared" si="67"/>
        <v>0</v>
      </c>
      <c r="I193" s="325">
        <f t="shared" si="68"/>
        <v>14470.448073754973</v>
      </c>
      <c r="J193" s="328">
        <f t="shared" si="69"/>
        <v>1.5707272204344234</v>
      </c>
      <c r="K193" s="336">
        <f t="shared" si="94"/>
        <v>2.9123661685343478</v>
      </c>
      <c r="L193" s="337">
        <f t="shared" si="95"/>
        <v>1.2203006215580068</v>
      </c>
      <c r="M193" s="325">
        <f t="shared" si="72"/>
        <v>1.0003479984957246</v>
      </c>
      <c r="N193" s="337">
        <f t="shared" si="73"/>
        <v>2.6377930417565084E-2</v>
      </c>
      <c r="O193" s="343">
        <f t="shared" si="74"/>
        <v>1.0020048413592524</v>
      </c>
      <c r="P193" s="691">
        <f t="shared" si="75"/>
        <v>6.3269227731043279E-2</v>
      </c>
      <c r="Q193" s="336">
        <f t="shared" si="90"/>
        <v>6.3231884471466051</v>
      </c>
      <c r="R193" s="692">
        <f t="shared" si="76"/>
        <v>7.0083099409947003E-2</v>
      </c>
      <c r="S193" s="329">
        <f t="shared" si="77"/>
        <v>1.0019508815210283</v>
      </c>
      <c r="T193" s="330">
        <f t="shared" si="78"/>
        <v>6.4115375543391223E-2</v>
      </c>
      <c r="U193" s="331">
        <f t="shared" si="79"/>
        <v>11.678221680204759</v>
      </c>
      <c r="V193" s="332">
        <f t="shared" si="80"/>
        <v>-106.45661334219118</v>
      </c>
      <c r="W193" s="334">
        <f t="shared" si="81"/>
        <v>73.543386657808824</v>
      </c>
      <c r="Y193" s="307">
        <f t="shared" si="82"/>
        <v>1000000000</v>
      </c>
      <c r="Z193" s="307">
        <f t="shared" si="83"/>
        <v>118864506.25</v>
      </c>
      <c r="AB193" s="333">
        <f t="shared" si="84"/>
        <v>23.779482215656213</v>
      </c>
      <c r="AC193" s="334">
        <f t="shared" si="85"/>
        <v>-21.589309254628123</v>
      </c>
      <c r="AE193" s="333">
        <f t="shared" si="86"/>
        <v>30.644908934608225</v>
      </c>
      <c r="AF193" s="334">
        <f t="shared" si="87"/>
        <v>-84.47689799777207</v>
      </c>
      <c r="AH193">
        <f t="shared" si="88"/>
        <v>0</v>
      </c>
      <c r="AI193">
        <f t="shared" si="93"/>
        <v>0</v>
      </c>
    </row>
    <row r="194" spans="1:35" x14ac:dyDescent="0.2">
      <c r="A194" s="335">
        <v>10965</v>
      </c>
      <c r="B194" s="352">
        <f t="shared" si="89"/>
        <v>10.965</v>
      </c>
      <c r="C194" s="325">
        <f t="shared" si="62"/>
        <v>6.8743114696870169</v>
      </c>
      <c r="D194" s="326">
        <f t="shared" si="63"/>
        <v>1.4248092129181</v>
      </c>
      <c r="E194" s="326">
        <f t="shared" si="64"/>
        <v>1.0000949262644778</v>
      </c>
      <c r="F194" s="327">
        <f t="shared" si="65"/>
        <v>1.3778153426568006E-2</v>
      </c>
      <c r="G194" s="326">
        <f t="shared" si="66"/>
        <v>1</v>
      </c>
      <c r="H194" s="327">
        <f t="shared" si="67"/>
        <v>0</v>
      </c>
      <c r="I194" s="325">
        <f t="shared" si="68"/>
        <v>14553.401799992334</v>
      </c>
      <c r="J194" s="328">
        <f t="shared" si="69"/>
        <v>1.5707276143375255</v>
      </c>
      <c r="K194" s="336">
        <f t="shared" si="94"/>
        <v>2.927098262871116</v>
      </c>
      <c r="L194" s="337">
        <f t="shared" si="95"/>
        <v>1.2221400214679876</v>
      </c>
      <c r="M194" s="325">
        <f t="shared" si="72"/>
        <v>1.0003519991213543</v>
      </c>
      <c r="N194" s="337">
        <f t="shared" si="73"/>
        <v>2.6529074599059649E-2</v>
      </c>
      <c r="O194" s="343">
        <f t="shared" si="74"/>
        <v>1.0020278699463101</v>
      </c>
      <c r="P194" s="691">
        <f t="shared" si="75"/>
        <v>6.3630951359691629E-2</v>
      </c>
      <c r="Q194" s="336">
        <f t="shared" si="90"/>
        <v>6.3233645296429559</v>
      </c>
      <c r="R194" s="692">
        <f t="shared" si="76"/>
        <v>7.0483558634889601E-2</v>
      </c>
      <c r="S194" s="329">
        <f t="shared" si="77"/>
        <v>1.0019732909762062</v>
      </c>
      <c r="T194" s="330">
        <f t="shared" si="78"/>
        <v>6.4481989907535536E-2</v>
      </c>
      <c r="U194" s="331">
        <f t="shared" si="79"/>
        <v>11.623541236114765</v>
      </c>
      <c r="V194" s="332">
        <f t="shared" si="80"/>
        <v>-106.42589781514653</v>
      </c>
      <c r="W194" s="334">
        <f t="shared" si="81"/>
        <v>73.574102184853473</v>
      </c>
      <c r="Y194" s="307">
        <f t="shared" si="82"/>
        <v>1000000000</v>
      </c>
      <c r="Z194" s="307">
        <f t="shared" si="83"/>
        <v>120231225</v>
      </c>
      <c r="AB194" s="333">
        <f t="shared" si="84"/>
        <v>23.773623156474844</v>
      </c>
      <c r="AC194" s="334">
        <f t="shared" si="85"/>
        <v>-21.492601895521862</v>
      </c>
      <c r="AE194" s="333">
        <f t="shared" si="86"/>
        <v>30.596129801959506</v>
      </c>
      <c r="AF194" s="334">
        <f t="shared" si="87"/>
        <v>-84.540670443646519</v>
      </c>
      <c r="AH194">
        <f t="shared" si="88"/>
        <v>0</v>
      </c>
      <c r="AI194">
        <f t="shared" si="93"/>
        <v>0</v>
      </c>
    </row>
    <row r="195" spans="1:35" x14ac:dyDescent="0.2">
      <c r="A195" s="335">
        <v>11028.75</v>
      </c>
      <c r="B195" s="352">
        <f t="shared" si="89"/>
        <v>11.02875</v>
      </c>
      <c r="C195" s="325">
        <f t="shared" si="62"/>
        <v>6.9134350391050949</v>
      </c>
      <c r="D195" s="326">
        <f t="shared" si="63"/>
        <v>1.4256412320076928</v>
      </c>
      <c r="E195" s="326">
        <f t="shared" si="64"/>
        <v>1.0000960332138042</v>
      </c>
      <c r="F195" s="327">
        <f t="shared" si="65"/>
        <v>1.3858248743538566E-2</v>
      </c>
      <c r="G195" s="326">
        <f t="shared" si="66"/>
        <v>1</v>
      </c>
      <c r="H195" s="327">
        <f t="shared" si="67"/>
        <v>0</v>
      </c>
      <c r="I195" s="325">
        <f t="shared" si="68"/>
        <v>14638.014600756745</v>
      </c>
      <c r="J195" s="328">
        <f t="shared" si="69"/>
        <v>1.5707280115193587</v>
      </c>
      <c r="K195" s="336">
        <f t="shared" si="94"/>
        <v>2.9421350984849766</v>
      </c>
      <c r="L195" s="337">
        <f t="shared" si="95"/>
        <v>1.2239972258677274</v>
      </c>
      <c r="M195" s="325">
        <f t="shared" si="72"/>
        <v>1.0003561033020596</v>
      </c>
      <c r="N195" s="337">
        <f t="shared" si="73"/>
        <v>2.6683240415158387E-2</v>
      </c>
      <c r="O195" s="343">
        <f t="shared" si="74"/>
        <v>1.0020514941676477</v>
      </c>
      <c r="P195" s="691">
        <f t="shared" si="75"/>
        <v>6.3999892283545551E-2</v>
      </c>
      <c r="Q195" s="336">
        <f t="shared" si="90"/>
        <v>6.3235451656228729</v>
      </c>
      <c r="R195" s="692">
        <f t="shared" si="76"/>
        <v>7.0892004145452422E-2</v>
      </c>
      <c r="S195" s="329">
        <f t="shared" si="77"/>
        <v>1.0019962800677744</v>
      </c>
      <c r="T195" s="330">
        <f t="shared" si="78"/>
        <v>6.4855920085954602E-2</v>
      </c>
      <c r="U195" s="331">
        <f t="shared" si="79"/>
        <v>11.568132031204021</v>
      </c>
      <c r="V195" s="332">
        <f t="shared" si="80"/>
        <v>-106.39511377459611</v>
      </c>
      <c r="W195" s="334">
        <f t="shared" si="81"/>
        <v>73.604886225403888</v>
      </c>
      <c r="Y195" s="307">
        <f t="shared" si="82"/>
        <v>1000000000</v>
      </c>
      <c r="Z195" s="307">
        <f t="shared" si="83"/>
        <v>121633326.5625</v>
      </c>
      <c r="AB195" s="333">
        <f t="shared" si="84"/>
        <v>23.76774057718757</v>
      </c>
      <c r="AC195" s="334">
        <f t="shared" si="85"/>
        <v>-21.395047729062565</v>
      </c>
      <c r="AE195" s="333">
        <f t="shared" si="86"/>
        <v>30.546646517997367</v>
      </c>
      <c r="AF195" s="334">
        <f t="shared" si="87"/>
        <v>-84.605177123463022</v>
      </c>
      <c r="AH195">
        <f t="shared" si="88"/>
        <v>0</v>
      </c>
      <c r="AI195">
        <f t="shared" si="93"/>
        <v>0</v>
      </c>
    </row>
    <row r="196" spans="1:35" x14ac:dyDescent="0.2">
      <c r="A196" s="335">
        <v>11092.5</v>
      </c>
      <c r="B196" s="352">
        <f t="shared" si="89"/>
        <v>11.092499999999999</v>
      </c>
      <c r="C196" s="325">
        <f t="shared" si="62"/>
        <v>6.9525633405243319</v>
      </c>
      <c r="D196" s="326">
        <f t="shared" si="63"/>
        <v>1.4264638866281085</v>
      </c>
      <c r="E196" s="326">
        <f t="shared" si="64"/>
        <v>1.0000971465789923</v>
      </c>
      <c r="F196" s="327">
        <f t="shared" si="65"/>
        <v>1.3938343882689604E-2</v>
      </c>
      <c r="G196" s="326">
        <f t="shared" si="66"/>
        <v>1</v>
      </c>
      <c r="H196" s="327">
        <f t="shared" si="67"/>
        <v>0</v>
      </c>
      <c r="I196" s="325">
        <f t="shared" si="68"/>
        <v>14722.627401523438</v>
      </c>
      <c r="J196" s="328">
        <f t="shared" si="69"/>
        <v>1.5707284041358835</v>
      </c>
      <c r="K196" s="336">
        <f t="shared" si="94"/>
        <v>2.9571819789124478</v>
      </c>
      <c r="L196" s="337">
        <f t="shared" si="95"/>
        <v>1.2258355367149396</v>
      </c>
      <c r="M196" s="325">
        <f t="shared" si="72"/>
        <v>1.0003602312581314</v>
      </c>
      <c r="N196" s="337">
        <f t="shared" si="73"/>
        <v>2.683740496260004E-2</v>
      </c>
      <c r="O196" s="343">
        <f t="shared" si="74"/>
        <v>1.0020752547791927</v>
      </c>
      <c r="P196" s="691">
        <f t="shared" si="75"/>
        <v>6.436881576139955E-2</v>
      </c>
      <c r="Q196" s="336">
        <f t="shared" si="90"/>
        <v>6.3237268435639038</v>
      </c>
      <c r="R196" s="692">
        <f t="shared" si="76"/>
        <v>7.1300426399487915E-2</v>
      </c>
      <c r="S196" s="329">
        <f t="shared" si="77"/>
        <v>1.0020194018990385</v>
      </c>
      <c r="T196" s="330">
        <f t="shared" si="78"/>
        <v>6.5229833533705081E-2</v>
      </c>
      <c r="U196" s="331">
        <f t="shared" si="79"/>
        <v>11.513086380539532</v>
      </c>
      <c r="V196" s="332">
        <f t="shared" si="80"/>
        <v>-106.3648740947163</v>
      </c>
      <c r="W196" s="334">
        <f t="shared" si="81"/>
        <v>73.635125905283701</v>
      </c>
      <c r="Y196" s="307">
        <f t="shared" si="82"/>
        <v>1000000000</v>
      </c>
      <c r="Z196" s="307">
        <f t="shared" si="83"/>
        <v>123043556.25</v>
      </c>
      <c r="AB196" s="333">
        <f t="shared" si="84"/>
        <v>23.761950630837624</v>
      </c>
      <c r="AC196" s="334">
        <f t="shared" si="85"/>
        <v>-21.298575749162744</v>
      </c>
      <c r="AE196" s="333">
        <f t="shared" si="86"/>
        <v>30.49743440204238</v>
      </c>
      <c r="AF196" s="334">
        <f t="shared" si="87"/>
        <v>-84.669146310309287</v>
      </c>
      <c r="AH196">
        <f t="shared" si="88"/>
        <v>0</v>
      </c>
      <c r="AI196">
        <f t="shared" si="93"/>
        <v>0</v>
      </c>
    </row>
    <row r="197" spans="1:35" x14ac:dyDescent="0.2">
      <c r="A197" s="335">
        <v>11156.25</v>
      </c>
      <c r="B197" s="352">
        <f t="shared" si="89"/>
        <v>11.15625</v>
      </c>
      <c r="C197" s="325">
        <f t="shared" si="62"/>
        <v>6.9916962944982703</v>
      </c>
      <c r="D197" s="326">
        <f t="shared" si="63"/>
        <v>1.427277332896943</v>
      </c>
      <c r="E197" s="326">
        <f t="shared" si="64"/>
        <v>1.0000982663600206</v>
      </c>
      <c r="F197" s="327">
        <f t="shared" si="65"/>
        <v>1.4018438842994059E-2</v>
      </c>
      <c r="G197" s="326">
        <f t="shared" si="66"/>
        <v>1</v>
      </c>
      <c r="H197" s="327">
        <f t="shared" si="67"/>
        <v>0</v>
      </c>
      <c r="I197" s="325">
        <f t="shared" si="68"/>
        <v>14807.240202292372</v>
      </c>
      <c r="J197" s="328">
        <f t="shared" si="69"/>
        <v>1.5707287922653626</v>
      </c>
      <c r="K197" s="336">
        <f t="shared" si="94"/>
        <v>2.9722387515987205</v>
      </c>
      <c r="L197" s="337">
        <f t="shared" si="95"/>
        <v>1.2276552286226656</v>
      </c>
      <c r="M197" s="325">
        <f t="shared" si="72"/>
        <v>1.0003643829892763</v>
      </c>
      <c r="N197" s="337">
        <f t="shared" si="73"/>
        <v>2.6991568234072397E-2</v>
      </c>
      <c r="O197" s="343">
        <f t="shared" si="74"/>
        <v>1.0020991517712432</v>
      </c>
      <c r="P197" s="691">
        <f t="shared" si="75"/>
        <v>6.473772169407388E-2</v>
      </c>
      <c r="Q197" s="336">
        <f t="shared" si="90"/>
        <v>6.3239095633762581</v>
      </c>
      <c r="R197" s="692">
        <f t="shared" si="76"/>
        <v>7.1708825265253129E-2</v>
      </c>
      <c r="S197" s="329">
        <f t="shared" si="77"/>
        <v>1.0020426564608378</v>
      </c>
      <c r="T197" s="330">
        <f t="shared" si="78"/>
        <v>6.56037301556298E-2</v>
      </c>
      <c r="U197" s="331">
        <f t="shared" si="79"/>
        <v>11.458399441706611</v>
      </c>
      <c r="V197" s="332">
        <f t="shared" si="80"/>
        <v>-106.33517198302424</v>
      </c>
      <c r="W197" s="334">
        <f t="shared" si="81"/>
        <v>73.664828016975761</v>
      </c>
      <c r="Y197" s="307">
        <f t="shared" si="82"/>
        <v>1000000000</v>
      </c>
      <c r="Z197" s="307">
        <f t="shared" si="83"/>
        <v>124461914.0625</v>
      </c>
      <c r="AB197" s="333">
        <f t="shared" si="84"/>
        <v>23.756251398711804</v>
      </c>
      <c r="AC197" s="334">
        <f t="shared" si="85"/>
        <v>-21.203170225719262</v>
      </c>
      <c r="AE197" s="333">
        <f t="shared" si="86"/>
        <v>30.448490530314757</v>
      </c>
      <c r="AF197" s="334">
        <f t="shared" si="87"/>
        <v>-84.732586943671436</v>
      </c>
      <c r="AH197">
        <f t="shared" si="88"/>
        <v>0</v>
      </c>
      <c r="AI197">
        <f t="shared" si="93"/>
        <v>0</v>
      </c>
    </row>
    <row r="198" spans="1:35" x14ac:dyDescent="0.2">
      <c r="A198" s="335">
        <v>11220</v>
      </c>
      <c r="B198" s="352">
        <f t="shared" si="89"/>
        <v>11.22</v>
      </c>
      <c r="C198" s="325">
        <f t="shared" si="62"/>
        <v>7.0308338233398766</v>
      </c>
      <c r="D198" s="326">
        <f t="shared" si="63"/>
        <v>1.4280817235050103</v>
      </c>
      <c r="E198" s="326">
        <f t="shared" si="64"/>
        <v>1.0000993925568675</v>
      </c>
      <c r="F198" s="327">
        <f t="shared" si="65"/>
        <v>1.4098533623424885E-2</v>
      </c>
      <c r="G198" s="326">
        <f t="shared" si="66"/>
        <v>1</v>
      </c>
      <c r="H198" s="327">
        <f t="shared" si="67"/>
        <v>0</v>
      </c>
      <c r="I198" s="325">
        <f t="shared" si="68"/>
        <v>14891.853003063514</v>
      </c>
      <c r="J198" s="328">
        <f t="shared" si="69"/>
        <v>1.5707291759842792</v>
      </c>
      <c r="K198" s="336">
        <f t="shared" si="94"/>
        <v>2.9873052669653539</v>
      </c>
      <c r="L198" s="337">
        <f t="shared" si="95"/>
        <v>1.2294565711625847</v>
      </c>
      <c r="M198" s="325">
        <f t="shared" si="72"/>
        <v>1.0003685584951978</v>
      </c>
      <c r="N198" s="337">
        <f t="shared" si="73"/>
        <v>2.7145730222263596E-2</v>
      </c>
      <c r="O198" s="343">
        <f t="shared" si="74"/>
        <v>1.0021231851340424</v>
      </c>
      <c r="P198" s="691">
        <f t="shared" si="75"/>
        <v>6.5106609982417338E-2</v>
      </c>
      <c r="Q198" s="336">
        <f t="shared" si="90"/>
        <v>6.3240933249696427</v>
      </c>
      <c r="R198" s="692">
        <f t="shared" si="76"/>
        <v>7.2117200611051105E-2</v>
      </c>
      <c r="S198" s="329">
        <f t="shared" si="77"/>
        <v>1.0020660437439601</v>
      </c>
      <c r="T198" s="330">
        <f t="shared" si="78"/>
        <v>6.5977609856598216E-2</v>
      </c>
      <c r="U198" s="331">
        <f t="shared" si="79"/>
        <v>11.404066466384432</v>
      </c>
      <c r="V198" s="332">
        <f t="shared" si="80"/>
        <v>-106.30600073944646</v>
      </c>
      <c r="W198" s="334">
        <f t="shared" si="81"/>
        <v>73.693999260553539</v>
      </c>
      <c r="Y198" s="307">
        <f t="shared" si="82"/>
        <v>1000000000</v>
      </c>
      <c r="Z198" s="307">
        <f t="shared" si="83"/>
        <v>125888400</v>
      </c>
      <c r="AB198" s="333">
        <f t="shared" si="84"/>
        <v>23.750641010496267</v>
      </c>
      <c r="AC198" s="334">
        <f t="shared" si="85"/>
        <v>-21.108815717375847</v>
      </c>
      <c r="AE198" s="333">
        <f t="shared" si="86"/>
        <v>30.399812024728774</v>
      </c>
      <c r="AF198" s="334">
        <f t="shared" si="87"/>
        <v>-84.795507766696943</v>
      </c>
      <c r="AH198">
        <f t="shared" si="88"/>
        <v>0</v>
      </c>
      <c r="AI198">
        <f t="shared" si="93"/>
        <v>0</v>
      </c>
    </row>
    <row r="199" spans="1:35" x14ac:dyDescent="0.2">
      <c r="A199" s="335">
        <v>11285.5</v>
      </c>
      <c r="B199" s="352">
        <f t="shared" si="89"/>
        <v>11.285500000000001</v>
      </c>
      <c r="C199" s="325">
        <f t="shared" si="62"/>
        <v>7.0710504008417354</v>
      </c>
      <c r="D199" s="326">
        <f t="shared" si="63"/>
        <v>1.428898920434059</v>
      </c>
      <c r="E199" s="326">
        <f t="shared" si="64"/>
        <v>1.0001005563513161</v>
      </c>
      <c r="F199" s="327">
        <f t="shared" si="65"/>
        <v>1.4180826895675364E-2</v>
      </c>
      <c r="G199" s="326">
        <f t="shared" si="66"/>
        <v>1</v>
      </c>
      <c r="H199" s="327">
        <f t="shared" si="67"/>
        <v>0</v>
      </c>
      <c r="I199" s="325">
        <f t="shared" si="68"/>
        <v>14978.788508171807</v>
      </c>
      <c r="J199" s="328">
        <f t="shared" si="69"/>
        <v>1.5707295657213827</v>
      </c>
      <c r="K199" s="336">
        <f t="shared" si="94"/>
        <v>3.0027953663264793</v>
      </c>
      <c r="L199" s="337">
        <f t="shared" si="95"/>
        <v>1.2312885286001651</v>
      </c>
      <c r="M199" s="325">
        <f t="shared" si="72"/>
        <v>1.0003728733852333</v>
      </c>
      <c r="N199" s="337">
        <f t="shared" si="73"/>
        <v>2.730412276387921E-2</v>
      </c>
      <c r="O199" s="343">
        <f t="shared" si="74"/>
        <v>1.0021480202632969</v>
      </c>
      <c r="P199" s="691">
        <f t="shared" si="75"/>
        <v>6.5485606134234986E-2</v>
      </c>
      <c r="Q199" s="336">
        <f t="shared" si="90"/>
        <v>6.3242832159738995</v>
      </c>
      <c r="R199" s="692">
        <f t="shared" si="76"/>
        <v>7.2536761624785354E-2</v>
      </c>
      <c r="S199" s="329">
        <f t="shared" si="77"/>
        <v>1.0020902112575201</v>
      </c>
      <c r="T199" s="330">
        <f t="shared" si="78"/>
        <v>6.6361735197868074E-2</v>
      </c>
      <c r="U199" s="331">
        <f t="shared" si="79"/>
        <v>11.348605775661802</v>
      </c>
      <c r="V199" s="332">
        <f t="shared" si="80"/>
        <v>-106.27657469855033</v>
      </c>
      <c r="W199" s="334">
        <f t="shared" si="81"/>
        <v>73.723425301449666</v>
      </c>
      <c r="Y199" s="307">
        <f t="shared" si="82"/>
        <v>1000000000</v>
      </c>
      <c r="Z199" s="307">
        <f t="shared" si="83"/>
        <v>127362510.25</v>
      </c>
      <c r="AB199" s="333">
        <f t="shared" si="84"/>
        <v>23.744967231129458</v>
      </c>
      <c r="AC199" s="334">
        <f t="shared" si="85"/>
        <v>-21.012949842277425</v>
      </c>
      <c r="AE199" s="333">
        <f t="shared" si="86"/>
        <v>30.350070661677108</v>
      </c>
      <c r="AF199" s="334">
        <f t="shared" si="87"/>
        <v>-84.859623405512252</v>
      </c>
      <c r="AH199">
        <f t="shared" si="88"/>
        <v>0</v>
      </c>
      <c r="AI199">
        <f t="shared" si="93"/>
        <v>0</v>
      </c>
    </row>
    <row r="200" spans="1:35" x14ac:dyDescent="0.2">
      <c r="A200" s="335">
        <v>11351</v>
      </c>
      <c r="B200" s="352">
        <f t="shared" si="89"/>
        <v>11.351000000000001</v>
      </c>
      <c r="C200" s="325">
        <f t="shared" si="62"/>
        <v>7.111271647055414</v>
      </c>
      <c r="D200" s="326">
        <f t="shared" si="63"/>
        <v>1.4297068737903451</v>
      </c>
      <c r="E200" s="326">
        <f t="shared" si="64"/>
        <v>1.0001017269186123</v>
      </c>
      <c r="F200" s="327">
        <f t="shared" si="65"/>
        <v>1.4263119975843119E-2</v>
      </c>
      <c r="G200" s="326">
        <f t="shared" si="66"/>
        <v>1</v>
      </c>
      <c r="H200" s="327">
        <f t="shared" si="67"/>
        <v>0</v>
      </c>
      <c r="I200" s="325">
        <f t="shared" si="68"/>
        <v>15065.724013282348</v>
      </c>
      <c r="J200" s="328">
        <f t="shared" si="69"/>
        <v>1.5707299509605954</v>
      </c>
      <c r="K200" s="336">
        <f t="shared" si="94"/>
        <v>3.0182954398158701</v>
      </c>
      <c r="L200" s="337">
        <f t="shared" si="95"/>
        <v>1.2331016765006033</v>
      </c>
      <c r="M200" s="325">
        <f t="shared" si="72"/>
        <v>1.0003772133726041</v>
      </c>
      <c r="N200" s="337">
        <f t="shared" si="73"/>
        <v>2.7462513935143696E-2</v>
      </c>
      <c r="O200" s="343">
        <f t="shared" si="74"/>
        <v>1.0021729993320254</v>
      </c>
      <c r="P200" s="691">
        <f t="shared" si="75"/>
        <v>6.5864583447598338E-2</v>
      </c>
      <c r="Q200" s="336">
        <f t="shared" si="90"/>
        <v>6.32447420654516</v>
      </c>
      <c r="R200" s="692">
        <f t="shared" si="76"/>
        <v>7.2956297527817113E-2</v>
      </c>
      <c r="S200" s="329">
        <f t="shared" si="77"/>
        <v>1.002114518859192</v>
      </c>
      <c r="T200" s="330">
        <f t="shared" si="78"/>
        <v>6.6745842472917136E-2</v>
      </c>
      <c r="U200" s="331">
        <f t="shared" si="79"/>
        <v>11.293508880817519</v>
      </c>
      <c r="V200" s="332">
        <f t="shared" si="80"/>
        <v>-106.24769502732929</v>
      </c>
      <c r="W200" s="334">
        <f t="shared" si="81"/>
        <v>73.752304972670714</v>
      </c>
      <c r="Y200" s="307">
        <f t="shared" si="82"/>
        <v>1000000000</v>
      </c>
      <c r="Z200" s="307">
        <f t="shared" si="83"/>
        <v>128845201</v>
      </c>
      <c r="AB200" s="333">
        <f t="shared" si="84"/>
        <v>23.739383388165791</v>
      </c>
      <c r="AC200" s="334">
        <f t="shared" si="85"/>
        <v>-20.918161338047575</v>
      </c>
      <c r="AE200" s="333">
        <f t="shared" si="86"/>
        <v>30.300603418193287</v>
      </c>
      <c r="AF200" s="334">
        <f t="shared" si="87"/>
        <v>-84.92320840250737</v>
      </c>
      <c r="AH200">
        <f t="shared" si="88"/>
        <v>0</v>
      </c>
      <c r="AI200">
        <f t="shared" si="93"/>
        <v>0</v>
      </c>
    </row>
    <row r="201" spans="1:35" x14ac:dyDescent="0.2">
      <c r="A201" s="335">
        <v>11416.5</v>
      </c>
      <c r="B201" s="352">
        <f t="shared" si="89"/>
        <v>11.416499999999999</v>
      </c>
      <c r="C201" s="325">
        <f t="shared" si="62"/>
        <v>7.1514974832080096</v>
      </c>
      <c r="D201" s="326">
        <f t="shared" si="63"/>
        <v>1.4305057384901283</v>
      </c>
      <c r="E201" s="326">
        <f t="shared" si="64"/>
        <v>1.0001029042587328</v>
      </c>
      <c r="F201" s="327">
        <f t="shared" si="65"/>
        <v>1.4345412862814219E-2</v>
      </c>
      <c r="G201" s="326">
        <f t="shared" si="66"/>
        <v>1</v>
      </c>
      <c r="H201" s="327">
        <f t="shared" si="67"/>
        <v>0</v>
      </c>
      <c r="I201" s="325">
        <f t="shared" si="68"/>
        <v>15152.659518395101</v>
      </c>
      <c r="J201" s="328">
        <f t="shared" si="69"/>
        <v>1.5707303317793344</v>
      </c>
      <c r="K201" s="336">
        <f t="shared" si="94"/>
        <v>3.0338053345564959</v>
      </c>
      <c r="L201" s="337">
        <f t="shared" si="95"/>
        <v>1.2348962913334047</v>
      </c>
      <c r="M201" s="325">
        <f t="shared" si="72"/>
        <v>1.0003815784569829</v>
      </c>
      <c r="N201" s="337">
        <f t="shared" si="73"/>
        <v>2.7620903728127581E-2</v>
      </c>
      <c r="O201" s="343">
        <f t="shared" si="74"/>
        <v>1.0021981223294651</v>
      </c>
      <c r="P201" s="691">
        <f t="shared" si="75"/>
        <v>6.6243541815059745E-2</v>
      </c>
      <c r="Q201" s="336">
        <f t="shared" si="90"/>
        <v>6.3246662965838238</v>
      </c>
      <c r="R201" s="692">
        <f t="shared" si="76"/>
        <v>7.33758081774568E-2</v>
      </c>
      <c r="S201" s="329">
        <f t="shared" si="77"/>
        <v>1.0021389665388134</v>
      </c>
      <c r="T201" s="330">
        <f t="shared" si="78"/>
        <v>6.7129931578652297E-2</v>
      </c>
      <c r="U201" s="331">
        <f t="shared" si="79"/>
        <v>11.238770926667856</v>
      </c>
      <c r="V201" s="332">
        <f t="shared" si="80"/>
        <v>-106.21935475741444</v>
      </c>
      <c r="W201" s="334">
        <f t="shared" si="81"/>
        <v>73.780645242585564</v>
      </c>
      <c r="Y201" s="307">
        <f t="shared" si="82"/>
        <v>1000000000</v>
      </c>
      <c r="Z201" s="307">
        <f t="shared" si="83"/>
        <v>130336472.25</v>
      </c>
      <c r="AB201" s="333">
        <f t="shared" si="84"/>
        <v>23.733887603318614</v>
      </c>
      <c r="AC201" s="334">
        <f t="shared" si="85"/>
        <v>-20.824434368131818</v>
      </c>
      <c r="AE201" s="333">
        <f t="shared" si="86"/>
        <v>30.251407317293406</v>
      </c>
      <c r="AF201" s="334">
        <f t="shared" si="87"/>
        <v>-84.986271627887177</v>
      </c>
      <c r="AH201">
        <f t="shared" si="88"/>
        <v>0</v>
      </c>
      <c r="AI201">
        <f t="shared" si="93"/>
        <v>0</v>
      </c>
    </row>
    <row r="202" spans="1:35" x14ac:dyDescent="0.2">
      <c r="A202" s="335">
        <v>11482</v>
      </c>
      <c r="B202" s="352">
        <f t="shared" si="89"/>
        <v>11.481999999999999</v>
      </c>
      <c r="C202" s="325">
        <f t="shared" si="62"/>
        <v>7.1917278322801454</v>
      </c>
      <c r="D202" s="326">
        <f t="shared" si="63"/>
        <v>1.4312956660302751</v>
      </c>
      <c r="E202" s="326">
        <f t="shared" si="64"/>
        <v>1.0001040883716534</v>
      </c>
      <c r="F202" s="327">
        <f t="shared" si="65"/>
        <v>1.4427705555474757E-2</v>
      </c>
      <c r="G202" s="326">
        <f t="shared" si="66"/>
        <v>1</v>
      </c>
      <c r="H202" s="327">
        <f t="shared" si="67"/>
        <v>0</v>
      </c>
      <c r="I202" s="325">
        <f t="shared" si="68"/>
        <v>15239.595023510026</v>
      </c>
      <c r="J202" s="328">
        <f t="shared" si="69"/>
        <v>1.5707307082532507</v>
      </c>
      <c r="K202" s="336">
        <f t="shared" si="94"/>
        <v>3.0493249006857726</v>
      </c>
      <c r="L202" s="337">
        <f t="shared" si="95"/>
        <v>1.2366726444225691</v>
      </c>
      <c r="M202" s="325">
        <f t="shared" si="72"/>
        <v>1.0003859686380421</v>
      </c>
      <c r="N202" s="337">
        <f t="shared" si="73"/>
        <v>2.7779292134901813E-2</v>
      </c>
      <c r="O202" s="343">
        <f t="shared" si="74"/>
        <v>1.0022233892447927</v>
      </c>
      <c r="P202" s="691">
        <f t="shared" si="75"/>
        <v>6.6622481129204131E-2</v>
      </c>
      <c r="Q202" s="336">
        <f t="shared" si="90"/>
        <v>6.3248594859897338</v>
      </c>
      <c r="R202" s="692">
        <f t="shared" si="76"/>
        <v>7.379529343106718E-2</v>
      </c>
      <c r="S202" s="329">
        <f t="shared" si="77"/>
        <v>1.0021635542861647</v>
      </c>
      <c r="T202" s="330">
        <f t="shared" si="78"/>
        <v>6.7514002412010804E-2</v>
      </c>
      <c r="U202" s="331">
        <f t="shared" si="79"/>
        <v>11.184387152741257</v>
      </c>
      <c r="V202" s="332">
        <f t="shared" si="80"/>
        <v>-106.19154701923762</v>
      </c>
      <c r="W202" s="334">
        <f t="shared" si="81"/>
        <v>73.808452980762382</v>
      </c>
      <c r="Y202" s="307">
        <f t="shared" si="82"/>
        <v>1000000000</v>
      </c>
      <c r="Z202" s="307">
        <f t="shared" si="83"/>
        <v>131836324</v>
      </c>
      <c r="AB202" s="333">
        <f t="shared" si="84"/>
        <v>23.728478046097699</v>
      </c>
      <c r="AC202" s="334">
        <f t="shared" si="85"/>
        <v>-20.73175339069023</v>
      </c>
      <c r="AE202" s="333">
        <f t="shared" si="86"/>
        <v>30.202479428908834</v>
      </c>
      <c r="AF202" s="334">
        <f t="shared" si="87"/>
        <v>-85.048821755941532</v>
      </c>
      <c r="AH202">
        <f t="shared" si="88"/>
        <v>0</v>
      </c>
      <c r="AI202">
        <f t="shared" si="93"/>
        <v>0</v>
      </c>
    </row>
    <row r="203" spans="1:35" x14ac:dyDescent="0.2">
      <c r="A203" s="335">
        <v>11548.75</v>
      </c>
      <c r="B203" s="352">
        <f t="shared" si="89"/>
        <v>11.54875</v>
      </c>
      <c r="C203" s="325">
        <f t="shared" si="62"/>
        <v>7.2327305010650873</v>
      </c>
      <c r="D203" s="326">
        <f t="shared" si="63"/>
        <v>1.4320916272944824</v>
      </c>
      <c r="E203" s="326">
        <f t="shared" si="64"/>
        <v>1.0001053020500352</v>
      </c>
      <c r="F203" s="327">
        <f t="shared" si="65"/>
        <v>1.4511568518307729E-2</v>
      </c>
      <c r="G203" s="326">
        <f t="shared" si="66"/>
        <v>1</v>
      </c>
      <c r="H203" s="327">
        <f t="shared" si="67"/>
        <v>0</v>
      </c>
      <c r="I203" s="325">
        <f t="shared" si="68"/>
        <v>15328.189603152241</v>
      </c>
      <c r="J203" s="328">
        <f t="shared" si="69"/>
        <v>1.5707310875183349</v>
      </c>
      <c r="K203" s="336">
        <f t="shared" si="94"/>
        <v>3.0651504396443303</v>
      </c>
      <c r="L203" s="337">
        <f t="shared" si="95"/>
        <v>1.2384643852317347</v>
      </c>
      <c r="M203" s="325">
        <f t="shared" si="72"/>
        <v>1.0003904684205067</v>
      </c>
      <c r="N203" s="337">
        <f t="shared" si="73"/>
        <v>2.7940701786842034E-2</v>
      </c>
      <c r="O203" s="343">
        <f t="shared" si="74"/>
        <v>1.0022492864057733</v>
      </c>
      <c r="P203" s="691">
        <f t="shared" si="75"/>
        <v>6.7008632396264409E-2</v>
      </c>
      <c r="Q203" s="336">
        <f t="shared" si="90"/>
        <v>6.3250574931499575</v>
      </c>
      <c r="R203" s="692">
        <f t="shared" si="76"/>
        <v>7.4222757853184301E-2</v>
      </c>
      <c r="S203" s="329">
        <f t="shared" si="77"/>
        <v>1.0021887553575022</v>
      </c>
      <c r="T203" s="330">
        <f t="shared" si="78"/>
        <v>6.7905383935982999E-2</v>
      </c>
      <c r="U203" s="331">
        <f t="shared" si="79"/>
        <v>11.129325071275527</v>
      </c>
      <c r="V203" s="332">
        <f t="shared" si="80"/>
        <v>-106.16374946117013</v>
      </c>
      <c r="W203" s="334">
        <f t="shared" si="81"/>
        <v>73.836250538829873</v>
      </c>
      <c r="Y203" s="307">
        <f t="shared" si="82"/>
        <v>1000000000</v>
      </c>
      <c r="Z203" s="307">
        <f t="shared" si="83"/>
        <v>133373626.5625</v>
      </c>
      <c r="AB203" s="333">
        <f t="shared" si="84"/>
        <v>23.723052117758492</v>
      </c>
      <c r="AC203" s="334">
        <f t="shared" si="85"/>
        <v>-20.638364026354463</v>
      </c>
      <c r="AE203" s="333">
        <f t="shared" si="86"/>
        <v>30.152890755547066</v>
      </c>
      <c r="AF203" s="334">
        <f t="shared" si="87"/>
        <v>-85.112046492783961</v>
      </c>
      <c r="AH203">
        <f t="shared" si="88"/>
        <v>0</v>
      </c>
      <c r="AI203">
        <f t="shared" si="93"/>
        <v>0</v>
      </c>
    </row>
    <row r="204" spans="1:35" x14ac:dyDescent="0.2">
      <c r="A204" s="335">
        <v>11615.5</v>
      </c>
      <c r="B204" s="352">
        <f t="shared" si="89"/>
        <v>11.615500000000001</v>
      </c>
      <c r="C204" s="325">
        <f t="shared" si="62"/>
        <v>7.2737377005141708</v>
      </c>
      <c r="D204" s="326">
        <f t="shared" si="63"/>
        <v>1.43287861426038</v>
      </c>
      <c r="E204" s="326">
        <f t="shared" si="64"/>
        <v>1.0001065227621371</v>
      </c>
      <c r="F204" s="327">
        <f t="shared" si="65"/>
        <v>1.4595431277007248E-2</v>
      </c>
      <c r="G204" s="326">
        <f t="shared" si="66"/>
        <v>1</v>
      </c>
      <c r="H204" s="327">
        <f t="shared" si="67"/>
        <v>0</v>
      </c>
      <c r="I204" s="325">
        <f t="shared" si="68"/>
        <v>15416.784182796637</v>
      </c>
      <c r="J204" s="328">
        <f t="shared" si="69"/>
        <v>1.5707314624244257</v>
      </c>
      <c r="K204" s="336">
        <f t="shared" si="94"/>
        <v>3.0809857176563749</v>
      </c>
      <c r="L204" s="337">
        <f t="shared" si="95"/>
        <v>1.2402377137395173</v>
      </c>
      <c r="M204" s="325">
        <f t="shared" si="72"/>
        <v>1.0003949942659849</v>
      </c>
      <c r="N204" s="337">
        <f t="shared" si="73"/>
        <v>2.8102109982533992E-2</v>
      </c>
      <c r="O204" s="343">
        <f t="shared" si="74"/>
        <v>1.0022753330072161</v>
      </c>
      <c r="P204" s="691">
        <f t="shared" si="75"/>
        <v>6.7394763650709386E-2</v>
      </c>
      <c r="Q204" s="336">
        <f t="shared" si="90"/>
        <v>6.3252566418265959</v>
      </c>
      <c r="R204" s="692">
        <f t="shared" si="76"/>
        <v>7.4650195601782474E-2</v>
      </c>
      <c r="S204" s="329">
        <f t="shared" si="77"/>
        <v>1.0022141018720654</v>
      </c>
      <c r="T204" s="330">
        <f t="shared" si="78"/>
        <v>6.8296746267491035E-2</v>
      </c>
      <c r="U204" s="331">
        <f t="shared" si="79"/>
        <v>11.07462112527082</v>
      </c>
      <c r="V204" s="332">
        <f t="shared" si="80"/>
        <v>-106.13649085806468</v>
      </c>
      <c r="W204" s="334">
        <f t="shared" si="81"/>
        <v>73.863509141935324</v>
      </c>
      <c r="Y204" s="307">
        <f t="shared" si="82"/>
        <v>1000000000</v>
      </c>
      <c r="Z204" s="307">
        <f t="shared" si="83"/>
        <v>134919840.25</v>
      </c>
      <c r="AB204" s="333">
        <f t="shared" si="84"/>
        <v>23.717712046696931</v>
      </c>
      <c r="AC204" s="334">
        <f t="shared" si="85"/>
        <v>-20.546029275991476</v>
      </c>
      <c r="AE204" s="333">
        <f t="shared" si="86"/>
        <v>30.103574630117834</v>
      </c>
      <c r="AF204" s="334">
        <f t="shared" si="87"/>
        <v>-85.174755952257343</v>
      </c>
      <c r="AH204">
        <f t="shared" si="88"/>
        <v>0</v>
      </c>
      <c r="AI204">
        <f t="shared" si="93"/>
        <v>0</v>
      </c>
    </row>
    <row r="205" spans="1:35" x14ac:dyDescent="0.2">
      <c r="A205" s="335">
        <v>11682.25</v>
      </c>
      <c r="B205" s="352">
        <f t="shared" si="89"/>
        <v>11.68225</v>
      </c>
      <c r="C205" s="325">
        <f t="shared" ref="C205:C268" si="96">SQRT(1+(A205/pole1)^2)</f>
        <v>7.3147493544293614</v>
      </c>
      <c r="D205" s="326">
        <f t="shared" ref="D205:D268" si="97">ATAN(A205/pole1)</f>
        <v>1.4336567768936135</v>
      </c>
      <c r="E205" s="326">
        <f t="shared" ref="E205:E268" si="98">SQRT(1+(A205/Zero1)^2)</f>
        <v>1.0001077505079332</v>
      </c>
      <c r="F205" s="327">
        <f t="shared" ref="F205:F268" si="99">ATAN(A205/Zero1)</f>
        <v>1.4679293830394452E-2</v>
      </c>
      <c r="G205" s="326">
        <f t="shared" ref="G205:G268" si="100">IF(VIN_nom&gt;Vout, 1, SQRT(1+(A205/z_RHP)^2))</f>
        <v>1</v>
      </c>
      <c r="H205" s="327">
        <f t="shared" ref="H205:H268" si="101">IF(VIN_nom&gt;Vout, 0, -ATAN(A205/z_RHP))</f>
        <v>0</v>
      </c>
      <c r="I205" s="325">
        <f t="shared" ref="I205:I268" si="102">SQRT(1+(A205/Pole2)^2)</f>
        <v>15505.378762443173</v>
      </c>
      <c r="J205" s="328">
        <f t="shared" ref="J205:J268" si="103">ATAN(A205/Pole2)</f>
        <v>1.5707318330462423</v>
      </c>
      <c r="K205" s="336">
        <f t="shared" si="94"/>
        <v>3.0968305853234055</v>
      </c>
      <c r="L205" s="337">
        <f t="shared" si="95"/>
        <v>1.2419929013248618</v>
      </c>
      <c r="M205" s="325">
        <f t="shared" ref="M205:M268" si="104">SQRT(1+(A205/pole4)^2)</f>
        <v>1.0003995461741235</v>
      </c>
      <c r="N205" s="337">
        <f t="shared" ref="N205:N268" si="105">ATAN(A205/pole4)</f>
        <v>2.8263516713587289E-2</v>
      </c>
      <c r="O205" s="343">
        <f t="shared" ref="O205:O268" si="106">IF(VOUT_setting=1,1,SQRT(1+(A205*zterm1)^2))</f>
        <v>1.0023015290374708</v>
      </c>
      <c r="P205" s="691">
        <f t="shared" ref="P205:P268" si="107">IF(VOUT_setting=1,0,ATAN(((A205*zterm1))))</f>
        <v>6.7780874778961456E-2</v>
      </c>
      <c r="Q205" s="336">
        <f t="shared" si="90"/>
        <v>6.3254569319118481</v>
      </c>
      <c r="R205" s="692">
        <f t="shared" ref="R205:R268" si="108">IF(VOUT_setting=1,0,ATAN(A205*$Q$4/(1+Afbr-$Q$5*(A205)^2)))</f>
        <v>7.5077606526071206E-2</v>
      </c>
      <c r="S205" s="329">
        <f t="shared" ref="S205:S268" si="109">SQRT((1-(Z205/pterm2))^2+(A205/pterm1)^2)</f>
        <v>1.0022395938188537</v>
      </c>
      <c r="T205" s="330">
        <f t="shared" ref="T205:T268" si="110">IF((ATAN((A205/pterm1)/(1-A205^2/pterm2))&gt;0),ATAN((A205/pterm1)/(1-A205^2/pterm2)),PI()+ATAN((A205/pterm1)/(1-A205^2/pterm2)))</f>
        <v>6.868808929755657E-2</v>
      </c>
      <c r="U205" s="331">
        <f t="shared" ref="U205:U268" si="111">20*LOG10(((E205*K205*G205*O205)/(C205*I205*S205*M205*Q205))*Adc)</f>
        <v>11.020270564991804</v>
      </c>
      <c r="V205" s="332">
        <f t="shared" ref="V205:V268" si="112">((F205+L205+H205+P205)-(D205+J205+T205+N205+R205))*radconv</f>
        <v>-106.10976424894348</v>
      </c>
      <c r="W205" s="334">
        <f t="shared" ref="W205:W268" si="113">IF(V205&gt;0,V205,V205+180)</f>
        <v>73.890235751056522</v>
      </c>
      <c r="Y205" s="307">
        <f t="shared" ref="Y205:Y268" si="114">IF(U205&lt;0,A205,1000000000)</f>
        <v>1000000000</v>
      </c>
      <c r="Z205" s="307">
        <f t="shared" ref="Z205:Z268" si="115">A205^2</f>
        <v>136474965.0625</v>
      </c>
      <c r="AB205" s="333">
        <f t="shared" ref="AB205:AB268" si="116">20*LOG10((K205/(I205*M205))*AEA)</f>
        <v>23.712456039810043</v>
      </c>
      <c r="AC205" s="334">
        <f t="shared" ref="AC205:AC268" si="117">(L205-(J205+N205))*radconv</f>
        <v>-20.454733594533387</v>
      </c>
      <c r="AE205" s="333">
        <f t="shared" ref="AE205:AE268" si="118">20*LOG10((E205*G205/(C205*S205))*Acs*Am)</f>
        <v>30.054528095894849</v>
      </c>
      <c r="AF205" s="334">
        <f t="shared" ref="AF205:AF268" si="119">(F205+H205-(D205+T205))*radconv</f>
        <v>-85.236958720583843</v>
      </c>
      <c r="AH205">
        <f t="shared" ref="AH205:AH268" si="120">SUM((U206&lt;0)*(U205&gt;0))*A205</f>
        <v>0</v>
      </c>
      <c r="AI205">
        <f t="shared" si="93"/>
        <v>0</v>
      </c>
    </row>
    <row r="206" spans="1:35" x14ac:dyDescent="0.2">
      <c r="A206" s="335">
        <v>11749</v>
      </c>
      <c r="B206" s="352">
        <f t="shared" ref="B206:B269" si="121">A206/1000</f>
        <v>11.749000000000001</v>
      </c>
      <c r="C206" s="325">
        <f t="shared" si="96"/>
        <v>7.3557653883037872</v>
      </c>
      <c r="D206" s="326">
        <f t="shared" si="97"/>
        <v>1.4344262618582662</v>
      </c>
      <c r="E206" s="326">
        <f t="shared" si="98"/>
        <v>1.0001089852873979</v>
      </c>
      <c r="F206" s="327">
        <f t="shared" si="99"/>
        <v>1.4763156177290506E-2</v>
      </c>
      <c r="G206" s="326">
        <f t="shared" si="100"/>
        <v>1</v>
      </c>
      <c r="H206" s="327">
        <f t="shared" si="101"/>
        <v>0</v>
      </c>
      <c r="I206" s="325">
        <f t="shared" si="102"/>
        <v>15593.973342091816</v>
      </c>
      <c r="J206" s="328">
        <f t="shared" si="103"/>
        <v>1.570732199456806</v>
      </c>
      <c r="K206" s="336">
        <f t="shared" si="94"/>
        <v>3.1126848961993656</v>
      </c>
      <c r="L206" s="337">
        <f t="shared" si="95"/>
        <v>1.2437302142898177</v>
      </c>
      <c r="M206" s="325">
        <f t="shared" si="104"/>
        <v>1.000404124144566</v>
      </c>
      <c r="N206" s="337">
        <f t="shared" si="105"/>
        <v>2.8424921971612008E-2</v>
      </c>
      <c r="O206" s="343">
        <f t="shared" si="106"/>
        <v>1.0023278744848216</v>
      </c>
      <c r="P206" s="691">
        <f t="shared" si="107"/>
        <v>6.8166965667478888E-2</v>
      </c>
      <c r="Q206" s="336">
        <f t="shared" si="90"/>
        <v>6.3256583632973102</v>
      </c>
      <c r="R206" s="692">
        <f t="shared" si="108"/>
        <v>7.5504990475317807E-2</v>
      </c>
      <c r="S206" s="329">
        <f t="shared" si="109"/>
        <v>1.0022652311868046</v>
      </c>
      <c r="T206" s="330">
        <f t="shared" si="110"/>
        <v>6.9079412917234725E-2</v>
      </c>
      <c r="U206" s="331">
        <f t="shared" si="111"/>
        <v>10.966268732952303</v>
      </c>
      <c r="V206" s="332">
        <f t="shared" si="112"/>
        <v>-106.08356277445355</v>
      </c>
      <c r="W206" s="334">
        <f t="shared" si="113"/>
        <v>73.916437225546446</v>
      </c>
      <c r="Y206" s="307">
        <f t="shared" si="114"/>
        <v>1000000000</v>
      </c>
      <c r="Z206" s="307">
        <f t="shared" si="115"/>
        <v>138039001</v>
      </c>
      <c r="AB206" s="333">
        <f t="shared" si="116"/>
        <v>23.707282349647045</v>
      </c>
      <c r="AC206" s="334">
        <f t="shared" si="117"/>
        <v>-20.364461727699815</v>
      </c>
      <c r="AE206" s="333">
        <f t="shared" si="118"/>
        <v>30.005748242748282</v>
      </c>
      <c r="AF206" s="334">
        <f t="shared" si="119"/>
        <v>-85.298663194821842</v>
      </c>
      <c r="AH206">
        <f t="shared" si="120"/>
        <v>0</v>
      </c>
      <c r="AI206">
        <f t="shared" si="93"/>
        <v>0</v>
      </c>
    </row>
    <row r="207" spans="1:35" x14ac:dyDescent="0.2">
      <c r="A207" s="335">
        <v>11817.5</v>
      </c>
      <c r="B207" s="352">
        <f t="shared" si="121"/>
        <v>11.817500000000001</v>
      </c>
      <c r="C207" s="325">
        <f t="shared" si="96"/>
        <v>7.3978612262155918</v>
      </c>
      <c r="D207" s="326">
        <f t="shared" si="97"/>
        <v>1.4352070491033122</v>
      </c>
      <c r="E207" s="326">
        <f t="shared" si="98"/>
        <v>1.0001102597520208</v>
      </c>
      <c r="F207" s="327">
        <f t="shared" si="99"/>
        <v>1.4849216946575844E-2</v>
      </c>
      <c r="G207" s="326">
        <f t="shared" si="100"/>
        <v>1</v>
      </c>
      <c r="H207" s="327">
        <f t="shared" si="101"/>
        <v>0</v>
      </c>
      <c r="I207" s="325">
        <f t="shared" si="102"/>
        <v>15684.890626077968</v>
      </c>
      <c r="J207" s="328">
        <f t="shared" si="103"/>
        <v>1.5707325711701672</v>
      </c>
      <c r="K207" s="336">
        <f t="shared" si="94"/>
        <v>3.1289645304381559</v>
      </c>
      <c r="L207" s="337">
        <f t="shared" si="95"/>
        <v>1.2454947651330903</v>
      </c>
      <c r="M207" s="325">
        <f t="shared" si="104"/>
        <v>1.0004088492325138</v>
      </c>
      <c r="N207" s="337">
        <f t="shared" si="105"/>
        <v>2.859055728790031E-2</v>
      </c>
      <c r="O207" s="343">
        <f t="shared" si="106"/>
        <v>1.0023550659688276</v>
      </c>
      <c r="P207" s="691">
        <f t="shared" si="107"/>
        <v>6.8563157627354057E-2</v>
      </c>
      <c r="Q207" s="336">
        <f t="shared" ref="Q207:Q270" si="122">IF(VOUT_setting=1,1,SQRT((1+Afbr-$Q$5*(A207)^2)^2+(A207*$Q$4)^2))</f>
        <v>6.3258662621161301</v>
      </c>
      <c r="R207" s="692">
        <f t="shared" si="108"/>
        <v>7.5943551044054411E-2</v>
      </c>
      <c r="S207" s="329">
        <f t="shared" si="109"/>
        <v>1.0022916918737694</v>
      </c>
      <c r="T207" s="330">
        <f t="shared" si="110"/>
        <v>6.9480975663044425E-2</v>
      </c>
      <c r="U207" s="331">
        <f t="shared" si="111"/>
        <v>10.911208895027524</v>
      </c>
      <c r="V207" s="332">
        <f t="shared" si="112"/>
        <v>-106.05721324852937</v>
      </c>
      <c r="W207" s="334">
        <f t="shared" si="113"/>
        <v>73.942786751470635</v>
      </c>
      <c r="Y207" s="307">
        <f t="shared" si="114"/>
        <v>1000000000</v>
      </c>
      <c r="Z207" s="307">
        <f t="shared" si="115"/>
        <v>139653306.25</v>
      </c>
      <c r="AB207" s="333">
        <f t="shared" si="116"/>
        <v>23.70205681595175</v>
      </c>
      <c r="AC207" s="334">
        <f t="shared" si="117"/>
        <v>-20.272871913707814</v>
      </c>
      <c r="AE207" s="333">
        <f t="shared" si="118"/>
        <v>29.955963773399958</v>
      </c>
      <c r="AF207" s="334">
        <f t="shared" si="119"/>
        <v>-85.361475940415275</v>
      </c>
      <c r="AH207">
        <f t="shared" si="120"/>
        <v>0</v>
      </c>
      <c r="AI207">
        <f t="shared" si="93"/>
        <v>0</v>
      </c>
    </row>
    <row r="208" spans="1:35" x14ac:dyDescent="0.2">
      <c r="A208" s="335">
        <v>11886</v>
      </c>
      <c r="B208" s="352">
        <f t="shared" si="121"/>
        <v>11.885999999999999</v>
      </c>
      <c r="C208" s="325">
        <f t="shared" si="96"/>
        <v>7.4399615230392584</v>
      </c>
      <c r="D208" s="326">
        <f t="shared" si="97"/>
        <v>1.4359790003777673</v>
      </c>
      <c r="E208" s="326">
        <f t="shared" si="98"/>
        <v>1.0001115416238977</v>
      </c>
      <c r="F208" s="327">
        <f t="shared" si="99"/>
        <v>1.4935277495885432E-2</v>
      </c>
      <c r="G208" s="326">
        <f t="shared" si="100"/>
        <v>1</v>
      </c>
      <c r="H208" s="327">
        <f t="shared" si="101"/>
        <v>0</v>
      </c>
      <c r="I208" s="325">
        <f t="shared" si="102"/>
        <v>15775.807910066262</v>
      </c>
      <c r="J208" s="328">
        <f t="shared" si="103"/>
        <v>1.5707329385990989</v>
      </c>
      <c r="K208" s="336">
        <f t="shared" si="94"/>
        <v>3.1452538062746775</v>
      </c>
      <c r="L208" s="337">
        <f t="shared" si="95"/>
        <v>1.247241044142037</v>
      </c>
      <c r="M208" s="325">
        <f t="shared" si="104"/>
        <v>1.0004136017664766</v>
      </c>
      <c r="N208" s="337">
        <f t="shared" si="105"/>
        <v>2.8756191035008715E-2</v>
      </c>
      <c r="O208" s="343">
        <f t="shared" si="106"/>
        <v>1.0023824147820224</v>
      </c>
      <c r="P208" s="691">
        <f t="shared" si="107"/>
        <v>6.8959328030158765E-2</v>
      </c>
      <c r="Q208" s="336">
        <f t="shared" si="122"/>
        <v>6.3260753626298083</v>
      </c>
      <c r="R208" s="692">
        <f t="shared" si="108"/>
        <v>7.6382082883332675E-2</v>
      </c>
      <c r="S208" s="329">
        <f t="shared" si="109"/>
        <v>1.0023183056831237</v>
      </c>
      <c r="T208" s="330">
        <f t="shared" si="110"/>
        <v>6.9882517734988506E-2</v>
      </c>
      <c r="U208" s="331">
        <f t="shared" si="111"/>
        <v>10.856506660322967</v>
      </c>
      <c r="V208" s="332">
        <f t="shared" si="112"/>
        <v>-106.03140243951762</v>
      </c>
      <c r="W208" s="334">
        <f t="shared" si="113"/>
        <v>73.96859756048238</v>
      </c>
      <c r="Y208" s="307">
        <f t="shared" si="114"/>
        <v>1000000000</v>
      </c>
      <c r="Z208" s="307">
        <f t="shared" si="115"/>
        <v>141276996</v>
      </c>
      <c r="AB208" s="333">
        <f t="shared" si="116"/>
        <v>23.69691438472405</v>
      </c>
      <c r="AC208" s="334">
        <f t="shared" si="117"/>
        <v>-20.182328663320725</v>
      </c>
      <c r="AE208" s="333">
        <f t="shared" si="118"/>
        <v>29.906454088481425</v>
      </c>
      <c r="AF208" s="334">
        <f t="shared" si="119"/>
        <v>-85.423781250263815</v>
      </c>
      <c r="AH208">
        <f t="shared" si="120"/>
        <v>0</v>
      </c>
      <c r="AI208">
        <f t="shared" si="93"/>
        <v>0</v>
      </c>
    </row>
    <row r="209" spans="1:35" x14ac:dyDescent="0.2">
      <c r="A209" s="335">
        <v>11954.5</v>
      </c>
      <c r="B209" s="352">
        <f t="shared" si="121"/>
        <v>11.954499999999999</v>
      </c>
      <c r="C209" s="325">
        <f t="shared" si="96"/>
        <v>7.4820662035062044</v>
      </c>
      <c r="D209" s="326">
        <f t="shared" si="97"/>
        <v>1.4367422639247334</v>
      </c>
      <c r="E209" s="326">
        <f t="shared" si="98"/>
        <v>1.0001128309029996</v>
      </c>
      <c r="F209" s="327">
        <f t="shared" si="99"/>
        <v>1.5021337823945316E-2</v>
      </c>
      <c r="G209" s="326">
        <f t="shared" si="100"/>
        <v>1</v>
      </c>
      <c r="H209" s="327">
        <f t="shared" si="101"/>
        <v>0</v>
      </c>
      <c r="I209" s="325">
        <f t="shared" si="102"/>
        <v>15866.72519405666</v>
      </c>
      <c r="J209" s="328">
        <f t="shared" si="103"/>
        <v>1.5707333018172511</v>
      </c>
      <c r="K209" s="336">
        <f t="shared" si="94"/>
        <v>3.1615525746796447</v>
      </c>
      <c r="L209" s="337">
        <f t="shared" si="95"/>
        <v>1.24896932317369</v>
      </c>
      <c r="M209" s="325">
        <f t="shared" si="104"/>
        <v>1.0004183817460632</v>
      </c>
      <c r="N209" s="337">
        <f t="shared" si="105"/>
        <v>2.8921823203871471E-2</v>
      </c>
      <c r="O209" s="343">
        <f t="shared" si="106"/>
        <v>1.0024099209115285</v>
      </c>
      <c r="P209" s="691">
        <f t="shared" si="107"/>
        <v>6.9355476753303835E-2</v>
      </c>
      <c r="Q209" s="336">
        <f t="shared" si="122"/>
        <v>6.3262856647192045</v>
      </c>
      <c r="R209" s="692">
        <f t="shared" si="108"/>
        <v>7.6820585830442739E-2</v>
      </c>
      <c r="S209" s="329">
        <f t="shared" si="109"/>
        <v>1.0023450726027081</v>
      </c>
      <c r="T209" s="330">
        <f t="shared" si="110"/>
        <v>7.0284039015437741E-2</v>
      </c>
      <c r="U209" s="331">
        <f t="shared" si="111"/>
        <v>10.802157283307434</v>
      </c>
      <c r="V209" s="332">
        <f t="shared" si="112"/>
        <v>-106.00612325959682</v>
      </c>
      <c r="W209" s="334">
        <f t="shared" si="113"/>
        <v>73.993876740403181</v>
      </c>
      <c r="Y209" s="307">
        <f t="shared" si="114"/>
        <v>1000000000</v>
      </c>
      <c r="Z209" s="307">
        <f t="shared" si="115"/>
        <v>142910070.25</v>
      </c>
      <c r="AB209" s="333">
        <f t="shared" si="116"/>
        <v>23.691853308542427</v>
      </c>
      <c r="AC209" s="334">
        <f t="shared" si="117"/>
        <v>-20.092816403978365</v>
      </c>
      <c r="AE209" s="333">
        <f t="shared" si="118"/>
        <v>29.857216189779272</v>
      </c>
      <c r="AF209" s="334">
        <f t="shared" si="119"/>
        <v>-85.485587611404881</v>
      </c>
      <c r="AH209">
        <f t="shared" si="120"/>
        <v>0</v>
      </c>
      <c r="AI209">
        <f t="shared" si="93"/>
        <v>0</v>
      </c>
    </row>
    <row r="210" spans="1:35" x14ac:dyDescent="0.2">
      <c r="A210" s="335">
        <v>12023</v>
      </c>
      <c r="B210" s="352">
        <f t="shared" si="121"/>
        <v>12.023</v>
      </c>
      <c r="C210" s="325">
        <f t="shared" si="96"/>
        <v>7.5241751940248802</v>
      </c>
      <c r="D210" s="326">
        <f t="shared" si="97"/>
        <v>1.4374969847097576</v>
      </c>
      <c r="E210" s="326">
        <f t="shared" si="98"/>
        <v>1.0001141275892984</v>
      </c>
      <c r="F210" s="327">
        <f t="shared" si="99"/>
        <v>1.5107397929481568E-2</v>
      </c>
      <c r="G210" s="326">
        <f t="shared" si="100"/>
        <v>1</v>
      </c>
      <c r="H210" s="327">
        <f t="shared" si="101"/>
        <v>0</v>
      </c>
      <c r="I210" s="325">
        <f t="shared" si="102"/>
        <v>15957.642478049129</v>
      </c>
      <c r="J210" s="328">
        <f t="shared" si="103"/>
        <v>1.5707336608965956</v>
      </c>
      <c r="K210" s="336">
        <f t="shared" si="94"/>
        <v>3.1778606895952031</v>
      </c>
      <c r="L210" s="337">
        <f t="shared" si="95"/>
        <v>1.250679868939639</v>
      </c>
      <c r="M210" s="325">
        <f t="shared" si="104"/>
        <v>1.0004231891708806</v>
      </c>
      <c r="N210" s="337">
        <f t="shared" si="105"/>
        <v>2.9087453785423361E-2</v>
      </c>
      <c r="O210" s="343">
        <f t="shared" si="106"/>
        <v>1.0024375843443962</v>
      </c>
      <c r="P210" s="691">
        <f t="shared" si="107"/>
        <v>6.9751603674240811E-2</v>
      </c>
      <c r="Q210" s="336">
        <f t="shared" si="122"/>
        <v>6.3264971682645115</v>
      </c>
      <c r="R210" s="692">
        <f t="shared" si="108"/>
        <v>7.7259059722740261E-2</v>
      </c>
      <c r="S210" s="329">
        <f t="shared" si="109"/>
        <v>1.0023719926202943</v>
      </c>
      <c r="T210" s="330">
        <f t="shared" si="110"/>
        <v>7.0685539386800875E-2</v>
      </c>
      <c r="U210" s="331">
        <f t="shared" si="111"/>
        <v>10.748156110832053</v>
      </c>
      <c r="V210" s="332">
        <f t="shared" si="112"/>
        <v>-105.98136872787506</v>
      </c>
      <c r="W210" s="334">
        <f t="shared" si="113"/>
        <v>74.018631272124935</v>
      </c>
      <c r="Y210" s="307">
        <f t="shared" si="114"/>
        <v>1000000000</v>
      </c>
      <c r="Z210" s="307">
        <f t="shared" si="115"/>
        <v>144552529</v>
      </c>
      <c r="AB210" s="333">
        <f t="shared" si="116"/>
        <v>23.686871884797633</v>
      </c>
      <c r="AC210" s="334">
        <f t="shared" si="117"/>
        <v>-20.00431985783656</v>
      </c>
      <c r="AE210" s="333">
        <f t="shared" si="118"/>
        <v>29.808247126649547</v>
      </c>
      <c r="AF210" s="334">
        <f t="shared" si="119"/>
        <v>-85.546903323087989</v>
      </c>
      <c r="AH210">
        <f t="shared" si="120"/>
        <v>0</v>
      </c>
      <c r="AI210">
        <f t="shared" si="93"/>
        <v>0</v>
      </c>
    </row>
    <row r="211" spans="1:35" x14ac:dyDescent="0.2">
      <c r="A211" s="335">
        <v>12093</v>
      </c>
      <c r="B211" s="352">
        <f t="shared" si="121"/>
        <v>12.093</v>
      </c>
      <c r="C211" s="325">
        <f t="shared" si="96"/>
        <v>7.5672106570073545</v>
      </c>
      <c r="D211" s="326">
        <f t="shared" si="97"/>
        <v>1.4382595543352847</v>
      </c>
      <c r="E211" s="326">
        <f t="shared" si="98"/>
        <v>1.000115460322432</v>
      </c>
      <c r="F211" s="327">
        <f t="shared" si="99"/>
        <v>1.519534233166445E-2</v>
      </c>
      <c r="G211" s="326">
        <f t="shared" si="100"/>
        <v>1</v>
      </c>
      <c r="H211" s="327">
        <f t="shared" si="101"/>
        <v>0</v>
      </c>
      <c r="I211" s="325">
        <f t="shared" si="102"/>
        <v>16050.550651474192</v>
      </c>
      <c r="J211" s="328">
        <f t="shared" si="103"/>
        <v>1.5707340236364342</v>
      </c>
      <c r="K211" s="336">
        <f t="shared" si="94"/>
        <v>3.1945354233120291</v>
      </c>
      <c r="L211" s="337">
        <f t="shared" si="95"/>
        <v>1.2524098241999384</v>
      </c>
      <c r="M211" s="325">
        <f t="shared" si="104"/>
        <v>1.0004281302206588</v>
      </c>
      <c r="N211" s="337">
        <f t="shared" si="105"/>
        <v>2.9256709664754178E-2</v>
      </c>
      <c r="O211" s="343">
        <f t="shared" si="106"/>
        <v>1.0024660160402894</v>
      </c>
      <c r="P211" s="691">
        <f t="shared" si="107"/>
        <v>7.0156382256264249E-2</v>
      </c>
      <c r="Q211" s="336">
        <f t="shared" si="122"/>
        <v>6.326714544356788</v>
      </c>
      <c r="R211" s="692">
        <f t="shared" si="108"/>
        <v>7.7707105047800235E-2</v>
      </c>
      <c r="S211" s="329">
        <f t="shared" si="109"/>
        <v>1.002399660277995</v>
      </c>
      <c r="T211" s="330">
        <f t="shared" si="110"/>
        <v>7.1095810013876229E-2</v>
      </c>
      <c r="U211" s="331">
        <f t="shared" si="111"/>
        <v>10.693327408353943</v>
      </c>
      <c r="V211" s="332">
        <f t="shared" si="112"/>
        <v>-105.95660697889996</v>
      </c>
      <c r="W211" s="334">
        <f t="shared" si="113"/>
        <v>74.043393021100044</v>
      </c>
      <c r="Y211" s="307">
        <f t="shared" si="114"/>
        <v>1000000000</v>
      </c>
      <c r="Z211" s="307">
        <f t="shared" si="115"/>
        <v>146240649</v>
      </c>
      <c r="AB211" s="333">
        <f t="shared" si="116"/>
        <v>23.681861940324694</v>
      </c>
      <c r="AC211" s="334">
        <f t="shared" si="117"/>
        <v>-19.914919153578044</v>
      </c>
      <c r="AE211" s="333">
        <f t="shared" si="118"/>
        <v>29.758480456887867</v>
      </c>
      <c r="AF211" s="334">
        <f t="shared" si="119"/>
        <v>-85.609063276599329</v>
      </c>
      <c r="AH211">
        <f t="shared" si="120"/>
        <v>0</v>
      </c>
      <c r="AI211">
        <f t="shared" si="93"/>
        <v>0</v>
      </c>
    </row>
    <row r="212" spans="1:35" x14ac:dyDescent="0.2">
      <c r="A212" s="335">
        <v>12163</v>
      </c>
      <c r="B212" s="352">
        <f t="shared" si="121"/>
        <v>12.163</v>
      </c>
      <c r="C212" s="325">
        <f t="shared" si="96"/>
        <v>7.6102504706471832</v>
      </c>
      <c r="D212" s="326">
        <f t="shared" si="97"/>
        <v>1.439013498961645</v>
      </c>
      <c r="E212" s="326">
        <f t="shared" si="98"/>
        <v>1.0001168007906562</v>
      </c>
      <c r="F212" s="327">
        <f t="shared" si="99"/>
        <v>1.5283286498781691E-2</v>
      </c>
      <c r="G212" s="326">
        <f t="shared" si="100"/>
        <v>1</v>
      </c>
      <c r="H212" s="327">
        <f t="shared" si="101"/>
        <v>0</v>
      </c>
      <c r="I212" s="325">
        <f t="shared" si="102"/>
        <v>16143.458824901341</v>
      </c>
      <c r="J212" s="328">
        <f t="shared" si="103"/>
        <v>1.570734382201022</v>
      </c>
      <c r="K212" s="336">
        <f t="shared" si="94"/>
        <v>3.211219618154924</v>
      </c>
      <c r="L212" s="337">
        <f t="shared" si="95"/>
        <v>1.2541218082475902</v>
      </c>
      <c r="M212" s="325">
        <f t="shared" si="104"/>
        <v>1.0004330999299711</v>
      </c>
      <c r="N212" s="337">
        <f t="shared" si="105"/>
        <v>2.9425963867356925E-2</v>
      </c>
      <c r="O212" s="343">
        <f t="shared" si="106"/>
        <v>1.0024946119765972</v>
      </c>
      <c r="P212" s="691">
        <f t="shared" si="107"/>
        <v>7.0561137812163582E-2</v>
      </c>
      <c r="Q212" s="336">
        <f t="shared" si="122"/>
        <v>6.3269331748444975</v>
      </c>
      <c r="R212" s="692">
        <f t="shared" si="108"/>
        <v>7.8155119688442437E-2</v>
      </c>
      <c r="S212" s="329">
        <f t="shared" si="109"/>
        <v>1.0024274877860946</v>
      </c>
      <c r="T212" s="330">
        <f t="shared" si="110"/>
        <v>7.15060585579506E-2</v>
      </c>
      <c r="U212" s="331">
        <f t="shared" si="111"/>
        <v>10.638852787657187</v>
      </c>
      <c r="V212" s="332">
        <f t="shared" si="112"/>
        <v>-105.93237870263629</v>
      </c>
      <c r="W212" s="334">
        <f t="shared" si="113"/>
        <v>74.067621297363715</v>
      </c>
      <c r="Y212" s="307">
        <f t="shared" si="114"/>
        <v>1000000000</v>
      </c>
      <c r="Z212" s="307">
        <f t="shared" si="115"/>
        <v>147938569</v>
      </c>
      <c r="AB212" s="333">
        <f t="shared" si="116"/>
        <v>23.676931717390623</v>
      </c>
      <c r="AC212" s="334">
        <f t="shared" si="117"/>
        <v>-19.826547788664438</v>
      </c>
      <c r="AE212" s="333">
        <f t="shared" si="118"/>
        <v>29.708988443166344</v>
      </c>
      <c r="AF212" s="334">
        <f t="shared" si="119"/>
        <v>-85.67072780226502</v>
      </c>
      <c r="AH212">
        <f t="shared" si="120"/>
        <v>0</v>
      </c>
      <c r="AI212">
        <f t="shared" si="93"/>
        <v>0</v>
      </c>
    </row>
    <row r="213" spans="1:35" x14ac:dyDescent="0.2">
      <c r="A213" s="335">
        <v>12233</v>
      </c>
      <c r="B213" s="352">
        <f t="shared" si="121"/>
        <v>12.233000000000001</v>
      </c>
      <c r="C213" s="325">
        <f t="shared" si="96"/>
        <v>7.6532945615440235</v>
      </c>
      <c r="D213" s="326">
        <f t="shared" si="97"/>
        <v>1.4397589632520125</v>
      </c>
      <c r="E213" s="326">
        <f t="shared" si="98"/>
        <v>1.0001181489939392</v>
      </c>
      <c r="F213" s="327">
        <f t="shared" si="99"/>
        <v>1.537123042947389E-2</v>
      </c>
      <c r="G213" s="326">
        <f t="shared" si="100"/>
        <v>1</v>
      </c>
      <c r="H213" s="327">
        <f t="shared" si="101"/>
        <v>0</v>
      </c>
      <c r="I213" s="325">
        <f t="shared" si="102"/>
        <v>16236.366998330543</v>
      </c>
      <c r="J213" s="328">
        <f t="shared" si="103"/>
        <v>1.5707347366620341</v>
      </c>
      <c r="K213" s="336">
        <f t="shared" si="94"/>
        <v>3.2279131274180175</v>
      </c>
      <c r="L213" s="337">
        <f t="shared" si="95"/>
        <v>1.2558160897891075</v>
      </c>
      <c r="M213" s="325">
        <f t="shared" si="104"/>
        <v>1.0004380982983903</v>
      </c>
      <c r="N213" s="337">
        <f t="shared" si="105"/>
        <v>2.9595216383559417E-2</v>
      </c>
      <c r="O213" s="343">
        <f t="shared" si="106"/>
        <v>1.0025233721392648</v>
      </c>
      <c r="P213" s="691">
        <f t="shared" si="107"/>
        <v>7.0965870211295065E-2</v>
      </c>
      <c r="Q213" s="336">
        <f t="shared" si="122"/>
        <v>6.3271530595976255</v>
      </c>
      <c r="R213" s="692">
        <f t="shared" si="108"/>
        <v>7.8603103471316355E-2</v>
      </c>
      <c r="S213" s="329">
        <f t="shared" si="109"/>
        <v>1.0024554751313222</v>
      </c>
      <c r="T213" s="330">
        <f t="shared" si="110"/>
        <v>7.1916284893661392E-2</v>
      </c>
      <c r="U213" s="331">
        <f t="shared" si="111"/>
        <v>10.584727567276706</v>
      </c>
      <c r="V213" s="332">
        <f t="shared" si="112"/>
        <v>-105.9086767859249</v>
      </c>
      <c r="W213" s="334">
        <f t="shared" si="113"/>
        <v>74.091323214075103</v>
      </c>
      <c r="Y213" s="307">
        <f t="shared" si="114"/>
        <v>1000000000</v>
      </c>
      <c r="Z213" s="307">
        <f t="shared" si="115"/>
        <v>149646289</v>
      </c>
      <c r="AB213" s="333">
        <f t="shared" si="116"/>
        <v>23.672079535492159</v>
      </c>
      <c r="AC213" s="334">
        <f t="shared" si="117"/>
        <v>-19.739190370899124</v>
      </c>
      <c r="AE213" s="333">
        <f t="shared" si="118"/>
        <v>29.659768084410011</v>
      </c>
      <c r="AF213" s="334">
        <f t="shared" si="119"/>
        <v>-85.731905181569587</v>
      </c>
      <c r="AH213">
        <f t="shared" si="120"/>
        <v>0</v>
      </c>
      <c r="AI213">
        <f t="shared" si="93"/>
        <v>0</v>
      </c>
    </row>
    <row r="214" spans="1:35" x14ac:dyDescent="0.2">
      <c r="A214" s="335">
        <v>12303</v>
      </c>
      <c r="B214" s="352">
        <f t="shared" si="121"/>
        <v>12.303000000000001</v>
      </c>
      <c r="C214" s="325">
        <f t="shared" si="96"/>
        <v>7.6963428579323745</v>
      </c>
      <c r="D214" s="326">
        <f t="shared" si="97"/>
        <v>1.4404960886711438</v>
      </c>
      <c r="E214" s="326">
        <f t="shared" si="98"/>
        <v>1.0001195049322502</v>
      </c>
      <c r="F214" s="327">
        <f t="shared" si="99"/>
        <v>1.5459174122381663E-2</v>
      </c>
      <c r="G214" s="326">
        <f t="shared" si="100"/>
        <v>1</v>
      </c>
      <c r="H214" s="327">
        <f t="shared" si="101"/>
        <v>0</v>
      </c>
      <c r="I214" s="325">
        <f t="shared" si="102"/>
        <v>16329.275171761761</v>
      </c>
      <c r="J214" s="328">
        <f t="shared" si="103"/>
        <v>1.5707350870895143</v>
      </c>
      <c r="K214" s="336">
        <f t="shared" si="94"/>
        <v>3.2446158073335742</v>
      </c>
      <c r="L214" s="337">
        <f t="shared" si="95"/>
        <v>1.2574929324091775</v>
      </c>
      <c r="M214" s="325">
        <f t="shared" si="104"/>
        <v>1.0004431253254868</v>
      </c>
      <c r="N214" s="337">
        <f t="shared" si="105"/>
        <v>2.976446720369005E-2</v>
      </c>
      <c r="O214" s="343">
        <f t="shared" si="106"/>
        <v>1.0025522965141589</v>
      </c>
      <c r="P214" s="691">
        <f t="shared" si="107"/>
        <v>7.1370579323060263E-2</v>
      </c>
      <c r="Q214" s="336">
        <f t="shared" si="122"/>
        <v>6.3273741984854315</v>
      </c>
      <c r="R214" s="692">
        <f t="shared" si="108"/>
        <v>7.9051056223144484E-2</v>
      </c>
      <c r="S214" s="329">
        <f t="shared" si="109"/>
        <v>1.0024836223003317</v>
      </c>
      <c r="T214" s="330">
        <f t="shared" si="110"/>
        <v>7.2326488895688282E-2</v>
      </c>
      <c r="U214" s="331">
        <f t="shared" si="111"/>
        <v>10.530947156695447</v>
      </c>
      <c r="V214" s="332">
        <f t="shared" si="112"/>
        <v>-105.88549422572051</v>
      </c>
      <c r="W214" s="334">
        <f t="shared" si="113"/>
        <v>74.114505774279493</v>
      </c>
      <c r="Y214" s="307">
        <f t="shared" si="114"/>
        <v>1000000000</v>
      </c>
      <c r="Z214" s="307">
        <f t="shared" si="115"/>
        <v>151363809</v>
      </c>
      <c r="AB214" s="333">
        <f t="shared" si="116"/>
        <v>23.667303757347149</v>
      </c>
      <c r="AC214" s="334">
        <f t="shared" si="117"/>
        <v>-19.652831801451033</v>
      </c>
      <c r="AE214" s="333">
        <f t="shared" si="118"/>
        <v>29.610816427270219</v>
      </c>
      <c r="AF214" s="334">
        <f t="shared" si="119"/>
        <v>-85.792603512744094</v>
      </c>
      <c r="AH214">
        <f t="shared" si="120"/>
        <v>0</v>
      </c>
      <c r="AI214">
        <f t="shared" si="93"/>
        <v>0</v>
      </c>
    </row>
    <row r="215" spans="1:35" x14ac:dyDescent="0.2">
      <c r="A215" s="335">
        <v>12374.5</v>
      </c>
      <c r="B215" s="352">
        <f t="shared" si="121"/>
        <v>12.374499999999999</v>
      </c>
      <c r="C215" s="325">
        <f t="shared" si="96"/>
        <v>7.7403178864920132</v>
      </c>
      <c r="D215" s="326">
        <f t="shared" si="97"/>
        <v>1.4412405446499112</v>
      </c>
      <c r="E215" s="326">
        <f t="shared" si="98"/>
        <v>1.000120897911779</v>
      </c>
      <c r="F215" s="327">
        <f t="shared" si="99"/>
        <v>1.5549002076099125E-2</v>
      </c>
      <c r="G215" s="326">
        <f t="shared" si="100"/>
        <v>1</v>
      </c>
      <c r="H215" s="327">
        <f t="shared" si="101"/>
        <v>0</v>
      </c>
      <c r="I215" s="325">
        <f t="shared" si="102"/>
        <v>16424.174234625694</v>
      </c>
      <c r="J215" s="328">
        <f t="shared" si="103"/>
        <v>1.570735440933219</v>
      </c>
      <c r="K215" s="336">
        <f t="shared" ref="K215:K278" si="123">SQRT(1+(A215/Zero2)^2)</f>
        <v>3.26168572286231</v>
      </c>
      <c r="L215" s="337">
        <f t="shared" ref="L215:L278" si="124">ATAN(A215/Zero2)</f>
        <v>1.2591879727380817</v>
      </c>
      <c r="M215" s="325">
        <f t="shared" si="104"/>
        <v>1.0004482896605722</v>
      </c>
      <c r="N215" s="337">
        <f t="shared" si="105"/>
        <v>2.9937343066075924E-2</v>
      </c>
      <c r="O215" s="343">
        <f t="shared" si="106"/>
        <v>1.0025820102104872</v>
      </c>
      <c r="P215" s="691">
        <f t="shared" si="107"/>
        <v>7.1783936595957665E-2</v>
      </c>
      <c r="Q215" s="336">
        <f t="shared" si="122"/>
        <v>6.3276013706610792</v>
      </c>
      <c r="R215" s="692">
        <f t="shared" si="108"/>
        <v>7.9508575746827015E-2</v>
      </c>
      <c r="S215" s="329">
        <f t="shared" si="109"/>
        <v>1.0025125376066781</v>
      </c>
      <c r="T215" s="330">
        <f t="shared" si="110"/>
        <v>7.2745459796535947E-2</v>
      </c>
      <c r="U215" s="331">
        <f t="shared" si="111"/>
        <v>10.476365600572873</v>
      </c>
      <c r="V215" s="332">
        <f t="shared" si="112"/>
        <v>-105.86234389771616</v>
      </c>
      <c r="W215" s="334">
        <f t="shared" si="113"/>
        <v>74.137656102283842</v>
      </c>
      <c r="Y215" s="307">
        <f t="shared" si="114"/>
        <v>1000000000</v>
      </c>
      <c r="Z215" s="307">
        <f t="shared" si="115"/>
        <v>153128250.25</v>
      </c>
      <c r="AB215" s="333">
        <f t="shared" si="116"/>
        <v>23.662502859679325</v>
      </c>
      <c r="AC215" s="334">
        <f t="shared" si="117"/>
        <v>-19.565638475446004</v>
      </c>
      <c r="AE215" s="333">
        <f t="shared" si="118"/>
        <v>29.561090184317006</v>
      </c>
      <c r="AF215" s="334">
        <f t="shared" si="119"/>
        <v>-85.854116200158103</v>
      </c>
      <c r="AH215">
        <f t="shared" si="120"/>
        <v>0</v>
      </c>
      <c r="AI215">
        <f t="shared" si="93"/>
        <v>0</v>
      </c>
    </row>
    <row r="216" spans="1:35" x14ac:dyDescent="0.2">
      <c r="A216" s="335">
        <v>12446</v>
      </c>
      <c r="B216" s="352">
        <f t="shared" si="121"/>
        <v>12.446</v>
      </c>
      <c r="C216" s="325">
        <f t="shared" si="96"/>
        <v>7.7842971563804362</v>
      </c>
      <c r="D216" s="326">
        <f t="shared" si="97"/>
        <v>1.4419765890644856</v>
      </c>
      <c r="E216" s="326">
        <f t="shared" si="98"/>
        <v>1.0001222989613221</v>
      </c>
      <c r="F216" s="327">
        <f t="shared" si="99"/>
        <v>1.5638829778865364E-2</v>
      </c>
      <c r="G216" s="326">
        <f t="shared" si="100"/>
        <v>1</v>
      </c>
      <c r="H216" s="327">
        <f t="shared" si="101"/>
        <v>0</v>
      </c>
      <c r="I216" s="325">
        <f t="shared" si="102"/>
        <v>16519.073297491661</v>
      </c>
      <c r="J216" s="328">
        <f t="shared" si="103"/>
        <v>1.5707357907113886</v>
      </c>
      <c r="K216" s="336">
        <f t="shared" si="123"/>
        <v>3.278764912147679</v>
      </c>
      <c r="L216" s="337">
        <f t="shared" si="124"/>
        <v>1.2608653588081473</v>
      </c>
      <c r="M216" s="325">
        <f t="shared" si="104"/>
        <v>1.0004534838948098</v>
      </c>
      <c r="N216" s="337">
        <f t="shared" si="105"/>
        <v>3.0110217138526883E-2</v>
      </c>
      <c r="O216" s="343">
        <f t="shared" si="106"/>
        <v>1.0026118952020528</v>
      </c>
      <c r="P216" s="691">
        <f t="shared" si="107"/>
        <v>7.2197269297480438E-2</v>
      </c>
      <c r="Q216" s="336">
        <f t="shared" si="122"/>
        <v>6.3278298510178583</v>
      </c>
      <c r="R216" s="692">
        <f t="shared" si="108"/>
        <v>7.9966062530106782E-2</v>
      </c>
      <c r="S216" s="329">
        <f t="shared" si="109"/>
        <v>1.002541619631401</v>
      </c>
      <c r="T216" s="330">
        <f t="shared" si="110"/>
        <v>7.3164407132123063E-2</v>
      </c>
      <c r="U216" s="331">
        <f t="shared" si="111"/>
        <v>10.422134389171731</v>
      </c>
      <c r="V216" s="332">
        <f t="shared" si="112"/>
        <v>-105.83972099775085</v>
      </c>
      <c r="W216" s="334">
        <f t="shared" si="113"/>
        <v>74.160279002249155</v>
      </c>
      <c r="Y216" s="307">
        <f t="shared" si="114"/>
        <v>1000000000</v>
      </c>
      <c r="Z216" s="307">
        <f t="shared" si="115"/>
        <v>154902916</v>
      </c>
      <c r="AB216" s="333">
        <f t="shared" si="116"/>
        <v>23.657778354609139</v>
      </c>
      <c r="AC216" s="334">
        <f t="shared" si="117"/>
        <v>-19.479456328470288</v>
      </c>
      <c r="AE216" s="333">
        <f t="shared" si="118"/>
        <v>29.51163820161948</v>
      </c>
      <c r="AF216" s="334">
        <f t="shared" si="119"/>
        <v>-85.915145604632656</v>
      </c>
      <c r="AH216">
        <f t="shared" si="120"/>
        <v>0</v>
      </c>
      <c r="AI216">
        <f t="shared" si="93"/>
        <v>0</v>
      </c>
    </row>
    <row r="217" spans="1:35" x14ac:dyDescent="0.2">
      <c r="A217" s="335">
        <v>12517.5</v>
      </c>
      <c r="B217" s="352">
        <f t="shared" si="121"/>
        <v>12.5175</v>
      </c>
      <c r="C217" s="325">
        <f t="shared" si="96"/>
        <v>7.8282805961143023</v>
      </c>
      <c r="D217" s="326">
        <f t="shared" si="97"/>
        <v>1.4427043628924592</v>
      </c>
      <c r="E217" s="326">
        <f t="shared" si="98"/>
        <v>1.0001237080808456</v>
      </c>
      <c r="F217" s="327">
        <f t="shared" si="99"/>
        <v>1.5728657229231793E-2</v>
      </c>
      <c r="G217" s="326">
        <f t="shared" si="100"/>
        <v>1</v>
      </c>
      <c r="H217" s="327">
        <f t="shared" si="101"/>
        <v>0</v>
      </c>
      <c r="I217" s="325">
        <f t="shared" si="102"/>
        <v>16613.972360359625</v>
      </c>
      <c r="J217" s="328">
        <f t="shared" si="103"/>
        <v>1.5707361364936903</v>
      </c>
      <c r="K217" s="336">
        <f t="shared" si="123"/>
        <v>3.2958532310192075</v>
      </c>
      <c r="L217" s="337">
        <f t="shared" si="124"/>
        <v>1.2625253557072964</v>
      </c>
      <c r="M217" s="325">
        <f t="shared" si="104"/>
        <v>1.0004587080277338</v>
      </c>
      <c r="N217" s="337">
        <f t="shared" si="105"/>
        <v>3.0283089410738047E-2</v>
      </c>
      <c r="O217" s="343">
        <f t="shared" si="106"/>
        <v>1.002641951473539</v>
      </c>
      <c r="P217" s="691">
        <f t="shared" si="107"/>
        <v>7.2610577288601277E-2</v>
      </c>
      <c r="Q217" s="336">
        <f t="shared" si="122"/>
        <v>6.3280596394140902</v>
      </c>
      <c r="R217" s="692">
        <f t="shared" si="108"/>
        <v>8.0423516388564917E-2</v>
      </c>
      <c r="S217" s="329">
        <f t="shared" si="109"/>
        <v>1.0025708683600374</v>
      </c>
      <c r="T217" s="330">
        <f t="shared" si="110"/>
        <v>7.3583330769037156E-2</v>
      </c>
      <c r="U217" s="331">
        <f t="shared" si="111"/>
        <v>10.368248909753282</v>
      </c>
      <c r="V217" s="332">
        <f t="shared" si="112"/>
        <v>-105.81761840806598</v>
      </c>
      <c r="W217" s="334">
        <f t="shared" si="113"/>
        <v>74.182381591934018</v>
      </c>
      <c r="Y217" s="307">
        <f t="shared" si="114"/>
        <v>1000000000</v>
      </c>
      <c r="Z217" s="307">
        <f t="shared" si="115"/>
        <v>156687806.25</v>
      </c>
      <c r="AB217" s="333">
        <f t="shared" si="116"/>
        <v>23.653128628669464</v>
      </c>
      <c r="AC217" s="334">
        <f t="shared" si="117"/>
        <v>-19.394270175505955</v>
      </c>
      <c r="AE217" s="333">
        <f t="shared" si="118"/>
        <v>29.462457479782781</v>
      </c>
      <c r="AF217" s="334">
        <f t="shared" si="119"/>
        <v>-85.97569979602784</v>
      </c>
      <c r="AH217">
        <f t="shared" si="120"/>
        <v>0</v>
      </c>
      <c r="AI217">
        <f t="shared" si="93"/>
        <v>0</v>
      </c>
    </row>
    <row r="218" spans="1:35" x14ac:dyDescent="0.2">
      <c r="A218" s="335">
        <v>12589</v>
      </c>
      <c r="B218" s="352">
        <f t="shared" si="121"/>
        <v>12.589</v>
      </c>
      <c r="C218" s="325">
        <f t="shared" si="96"/>
        <v>7.8722681358011233</v>
      </c>
      <c r="D218" s="326">
        <f t="shared" si="97"/>
        <v>1.4434240039959811</v>
      </c>
      <c r="E218" s="326">
        <f t="shared" si="98"/>
        <v>1.0001251252703154</v>
      </c>
      <c r="F218" s="327">
        <f t="shared" si="99"/>
        <v>1.5818484425749853E-2</v>
      </c>
      <c r="G218" s="326">
        <f t="shared" si="100"/>
        <v>1</v>
      </c>
      <c r="H218" s="327">
        <f t="shared" si="101"/>
        <v>0</v>
      </c>
      <c r="I218" s="325">
        <f t="shared" si="102"/>
        <v>16708.871423229553</v>
      </c>
      <c r="J218" s="328">
        <f t="shared" si="103"/>
        <v>1.5707364783482083</v>
      </c>
      <c r="K218" s="336">
        <f t="shared" si="123"/>
        <v>3.3129505382046891</v>
      </c>
      <c r="L218" s="337">
        <f t="shared" si="124"/>
        <v>1.2641682234389811</v>
      </c>
      <c r="M218" s="325">
        <f t="shared" si="104"/>
        <v>1.0004639620588762</v>
      </c>
      <c r="N218" s="337">
        <f t="shared" si="105"/>
        <v>3.0455959872405191E-2</v>
      </c>
      <c r="O218" s="343">
        <f t="shared" si="106"/>
        <v>1.0026721790095425</v>
      </c>
      <c r="P218" s="691">
        <f t="shared" si="107"/>
        <v>7.3023860430343326E-2</v>
      </c>
      <c r="Q218" s="336">
        <f t="shared" si="122"/>
        <v>6.3282907357073075</v>
      </c>
      <c r="R218" s="692">
        <f t="shared" si="108"/>
        <v>8.0880937137863707E-2</v>
      </c>
      <c r="S218" s="329">
        <f t="shared" si="109"/>
        <v>1.0026002837780421</v>
      </c>
      <c r="T218" s="330">
        <f t="shared" si="110"/>
        <v>7.4002230573912753E-2</v>
      </c>
      <c r="U218" s="331">
        <f t="shared" si="111"/>
        <v>10.314704638954396</v>
      </c>
      <c r="V218" s="332">
        <f t="shared" si="112"/>
        <v>-105.79602912363363</v>
      </c>
      <c r="W218" s="334">
        <f t="shared" si="113"/>
        <v>74.20397087636637</v>
      </c>
      <c r="Y218" s="307">
        <f t="shared" si="114"/>
        <v>1000000000</v>
      </c>
      <c r="Z218" s="307">
        <f t="shared" si="115"/>
        <v>158482921</v>
      </c>
      <c r="AB218" s="333">
        <f t="shared" si="116"/>
        <v>23.648552109986085</v>
      </c>
      <c r="AC218" s="334">
        <f t="shared" si="117"/>
        <v>-19.310065122763078</v>
      </c>
      <c r="AE218" s="333">
        <f t="shared" si="118"/>
        <v>29.413545067194118</v>
      </c>
      <c r="AF218" s="334">
        <f t="shared" si="119"/>
        <v>-86.035786665704705</v>
      </c>
      <c r="AH218">
        <f t="shared" si="120"/>
        <v>0</v>
      </c>
      <c r="AI218">
        <f t="shared" ref="AI218:AI281" si="125">IF(AH218&gt;0,W218,0)</f>
        <v>0</v>
      </c>
    </row>
    <row r="219" spans="1:35" x14ac:dyDescent="0.2">
      <c r="A219" s="335">
        <v>12662.25</v>
      </c>
      <c r="B219" s="352">
        <f t="shared" si="121"/>
        <v>12.66225</v>
      </c>
      <c r="C219" s="325">
        <f t="shared" si="96"/>
        <v>7.9173364738522176</v>
      </c>
      <c r="D219" s="326">
        <f t="shared" si="97"/>
        <v>1.4441529658975867</v>
      </c>
      <c r="E219" s="326">
        <f t="shared" si="98"/>
        <v>1.0001265855148425</v>
      </c>
      <c r="F219" s="327">
        <f t="shared" si="99"/>
        <v>1.5910509925256444E-2</v>
      </c>
      <c r="G219" s="326">
        <f t="shared" si="100"/>
        <v>1</v>
      </c>
      <c r="H219" s="327">
        <f t="shared" si="101"/>
        <v>0</v>
      </c>
      <c r="I219" s="325">
        <f t="shared" si="102"/>
        <v>16806.093190437463</v>
      </c>
      <c r="J219" s="328">
        <f t="shared" si="103"/>
        <v>1.5707368245661955</v>
      </c>
      <c r="K219" s="336">
        <f t="shared" si="123"/>
        <v>3.330475487225141</v>
      </c>
      <c r="L219" s="337">
        <f t="shared" si="124"/>
        <v>1.2658338046550928</v>
      </c>
      <c r="M219" s="325">
        <f t="shared" si="104"/>
        <v>1.0004693756895291</v>
      </c>
      <c r="N219" s="337">
        <f t="shared" si="105"/>
        <v>3.063305954095849E-2</v>
      </c>
      <c r="O219" s="343">
        <f t="shared" si="106"/>
        <v>1.0027033239676486</v>
      </c>
      <c r="P219" s="691">
        <f t="shared" si="107"/>
        <v>7.3447232979368879E-2</v>
      </c>
      <c r="Q219" s="336">
        <f t="shared" si="122"/>
        <v>6.3285288443596599</v>
      </c>
      <c r="R219" s="692">
        <f t="shared" si="108"/>
        <v>8.1349518972650761E-2</v>
      </c>
      <c r="S219" s="329">
        <f t="shared" si="109"/>
        <v>1.0026305919975496</v>
      </c>
      <c r="T219" s="330">
        <f t="shared" si="110"/>
        <v>7.4431358317705795E-2</v>
      </c>
      <c r="U219" s="331">
        <f t="shared" si="111"/>
        <v>10.260199044334877</v>
      </c>
      <c r="V219" s="332">
        <f t="shared" si="112"/>
        <v>-105.774436527399</v>
      </c>
      <c r="W219" s="334">
        <f t="shared" si="113"/>
        <v>74.225563472600996</v>
      </c>
      <c r="Y219" s="307">
        <f t="shared" si="114"/>
        <v>1000000000</v>
      </c>
      <c r="Z219" s="307">
        <f t="shared" si="115"/>
        <v>160332575.0625</v>
      </c>
      <c r="AB219" s="333">
        <f t="shared" si="116"/>
        <v>23.643937894535885</v>
      </c>
      <c r="AC219" s="334">
        <f t="shared" si="117"/>
        <v>-19.22480124893691</v>
      </c>
      <c r="AE219" s="333">
        <f t="shared" si="118"/>
        <v>29.363710701165783</v>
      </c>
      <c r="AF219" s="334">
        <f t="shared" si="119"/>
        <v>-86.096867642024321</v>
      </c>
      <c r="AH219">
        <f t="shared" si="120"/>
        <v>0</v>
      </c>
      <c r="AI219">
        <f t="shared" si="125"/>
        <v>0</v>
      </c>
    </row>
    <row r="220" spans="1:35" x14ac:dyDescent="0.2">
      <c r="A220" s="335">
        <v>12735.5</v>
      </c>
      <c r="B220" s="352">
        <f t="shared" si="121"/>
        <v>12.7355</v>
      </c>
      <c r="C220" s="325">
        <f t="shared" si="96"/>
        <v>7.9624089714332644</v>
      </c>
      <c r="D220" s="326">
        <f t="shared" si="97"/>
        <v>1.4448736753662124</v>
      </c>
      <c r="E220" s="326">
        <f t="shared" si="98"/>
        <v>1.0001280542291093</v>
      </c>
      <c r="F220" s="327">
        <f t="shared" si="99"/>
        <v>1.6002535155258648E-2</v>
      </c>
      <c r="G220" s="326">
        <f t="shared" si="100"/>
        <v>1</v>
      </c>
      <c r="H220" s="327">
        <f t="shared" si="101"/>
        <v>0</v>
      </c>
      <c r="I220" s="325">
        <f t="shared" si="102"/>
        <v>16903.314957647362</v>
      </c>
      <c r="J220" s="328">
        <f t="shared" si="103"/>
        <v>1.5707371668015409</v>
      </c>
      <c r="K220" s="336">
        <f t="shared" si="123"/>
        <v>3.3480095787804109</v>
      </c>
      <c r="L220" s="337">
        <f t="shared" si="124"/>
        <v>1.2674819445433898</v>
      </c>
      <c r="M220" s="325">
        <f t="shared" si="104"/>
        <v>1.0004748206988561</v>
      </c>
      <c r="N220" s="337">
        <f t="shared" si="105"/>
        <v>3.0810157287362906E-2</v>
      </c>
      <c r="O220" s="343">
        <f t="shared" si="106"/>
        <v>1.0027346486434421</v>
      </c>
      <c r="P220" s="691">
        <f t="shared" si="107"/>
        <v>7.3870579152593263E-2</v>
      </c>
      <c r="Q220" s="336">
        <f t="shared" si="122"/>
        <v>6.3287683254101692</v>
      </c>
      <c r="R220" s="692">
        <f t="shared" si="108"/>
        <v>8.1818065666300607E-2</v>
      </c>
      <c r="S220" s="329">
        <f t="shared" si="109"/>
        <v>1.0026610751347347</v>
      </c>
      <c r="T220" s="330">
        <f t="shared" si="110"/>
        <v>7.4860460765359405E-2</v>
      </c>
      <c r="U220" s="331">
        <f t="shared" si="111"/>
        <v>10.206042231988192</v>
      </c>
      <c r="V220" s="332">
        <f t="shared" si="112"/>
        <v>-105.75336814160043</v>
      </c>
      <c r="W220" s="334">
        <f t="shared" si="113"/>
        <v>74.246631858399567</v>
      </c>
      <c r="Y220" s="307">
        <f t="shared" si="114"/>
        <v>1000000000</v>
      </c>
      <c r="Z220" s="307">
        <f t="shared" si="115"/>
        <v>162192960.25</v>
      </c>
      <c r="AB220" s="333">
        <f t="shared" si="116"/>
        <v>23.639397302292835</v>
      </c>
      <c r="AC220" s="334">
        <f t="shared" si="117"/>
        <v>-19.14053635126518</v>
      </c>
      <c r="AE220" s="333">
        <f t="shared" si="118"/>
        <v>29.314151817078194</v>
      </c>
      <c r="AF220" s="334">
        <f t="shared" si="119"/>
        <v>-86.157474354842378</v>
      </c>
      <c r="AH220">
        <f t="shared" si="120"/>
        <v>0</v>
      </c>
      <c r="AI220">
        <f t="shared" si="125"/>
        <v>0</v>
      </c>
    </row>
    <row r="221" spans="1:35" x14ac:dyDescent="0.2">
      <c r="A221" s="335">
        <v>12808.75</v>
      </c>
      <c r="B221" s="352">
        <f t="shared" si="121"/>
        <v>12.80875</v>
      </c>
      <c r="C221" s="325">
        <f t="shared" si="96"/>
        <v>8.0074855583048379</v>
      </c>
      <c r="D221" s="326">
        <f t="shared" si="97"/>
        <v>1.4455862710131719</v>
      </c>
      <c r="E221" s="326">
        <f t="shared" si="98"/>
        <v>1.0001295314130787</v>
      </c>
      <c r="F221" s="327">
        <f t="shared" si="99"/>
        <v>1.6094560114199002E-2</v>
      </c>
      <c r="G221" s="326">
        <f t="shared" si="100"/>
        <v>1</v>
      </c>
      <c r="H221" s="327">
        <f t="shared" si="101"/>
        <v>0</v>
      </c>
      <c r="I221" s="325">
        <f t="shared" si="102"/>
        <v>17000.536724859216</v>
      </c>
      <c r="J221" s="328">
        <f t="shared" si="103"/>
        <v>1.5707375051225718</v>
      </c>
      <c r="K221" s="336">
        <f t="shared" si="123"/>
        <v>3.365552669976251</v>
      </c>
      <c r="L221" s="337">
        <f t="shared" si="124"/>
        <v>1.2691129068203817</v>
      </c>
      <c r="M221" s="325">
        <f t="shared" si="104"/>
        <v>1.0004802970863447</v>
      </c>
      <c r="N221" s="337">
        <f t="shared" si="105"/>
        <v>3.0987253100541061E-2</v>
      </c>
      <c r="O221" s="343">
        <f t="shared" si="106"/>
        <v>1.0027661530200802</v>
      </c>
      <c r="P221" s="691">
        <f t="shared" si="107"/>
        <v>7.4293898800749533E-2</v>
      </c>
      <c r="Q221" s="336">
        <f t="shared" si="122"/>
        <v>6.3290091787030711</v>
      </c>
      <c r="R221" s="692">
        <f t="shared" si="108"/>
        <v>8.2286577020874094E-2</v>
      </c>
      <c r="S221" s="329">
        <f t="shared" si="109"/>
        <v>1.0026917331736935</v>
      </c>
      <c r="T221" s="330">
        <f t="shared" si="110"/>
        <v>7.5289537773629081E-2</v>
      </c>
      <c r="U221" s="331">
        <f t="shared" si="111"/>
        <v>10.152229615519371</v>
      </c>
      <c r="V221" s="332">
        <f t="shared" si="112"/>
        <v>-105.73281679061171</v>
      </c>
      <c r="W221" s="334">
        <f t="shared" si="113"/>
        <v>74.267183209388293</v>
      </c>
      <c r="Y221" s="307">
        <f t="shared" si="114"/>
        <v>1000000000</v>
      </c>
      <c r="Z221" s="307">
        <f t="shared" si="115"/>
        <v>164064076.5625</v>
      </c>
      <c r="AB221" s="333">
        <f t="shared" si="116"/>
        <v>23.634928770803981</v>
      </c>
      <c r="AC221" s="334">
        <f t="shared" si="117"/>
        <v>-19.057255323185075</v>
      </c>
      <c r="AE221" s="333">
        <f t="shared" si="118"/>
        <v>29.264865390853938</v>
      </c>
      <c r="AF221" s="334">
        <f t="shared" si="119"/>
        <v>-86.217614737884091</v>
      </c>
      <c r="AH221">
        <f t="shared" si="120"/>
        <v>0</v>
      </c>
      <c r="AI221">
        <f t="shared" si="125"/>
        <v>0</v>
      </c>
    </row>
    <row r="222" spans="1:35" x14ac:dyDescent="0.2">
      <c r="A222" s="335">
        <v>12882</v>
      </c>
      <c r="B222" s="352">
        <f t="shared" si="121"/>
        <v>12.882</v>
      </c>
      <c r="C222" s="325">
        <f t="shared" si="96"/>
        <v>8.0525661657939445</v>
      </c>
      <c r="D222" s="326">
        <f t="shared" si="97"/>
        <v>1.4462908883792192</v>
      </c>
      <c r="E222" s="326">
        <f t="shared" si="98"/>
        <v>1.0001310170667128</v>
      </c>
      <c r="F222" s="327">
        <f t="shared" si="99"/>
        <v>1.6186584800520064E-2</v>
      </c>
      <c r="G222" s="326">
        <f t="shared" si="100"/>
        <v>1</v>
      </c>
      <c r="H222" s="327">
        <f t="shared" si="101"/>
        <v>0</v>
      </c>
      <c r="I222" s="325">
        <f t="shared" si="102"/>
        <v>17097.758492072997</v>
      </c>
      <c r="J222" s="328">
        <f t="shared" si="103"/>
        <v>1.5707378395960609</v>
      </c>
      <c r="K222" s="336">
        <f t="shared" si="123"/>
        <v>3.3831046208097386</v>
      </c>
      <c r="L222" s="337">
        <f t="shared" si="124"/>
        <v>1.2707269500995773</v>
      </c>
      <c r="M222" s="325">
        <f t="shared" si="104"/>
        <v>1.00048580485148</v>
      </c>
      <c r="N222" s="337">
        <f t="shared" si="105"/>
        <v>3.1164346969416307E-2</v>
      </c>
      <c r="O222" s="343">
        <f t="shared" si="106"/>
        <v>1.0027978370806268</v>
      </c>
      <c r="P222" s="691">
        <f t="shared" si="107"/>
        <v>7.4717191774627503E-2</v>
      </c>
      <c r="Q222" s="336">
        <f t="shared" si="122"/>
        <v>6.3292514040817291</v>
      </c>
      <c r="R222" s="692">
        <f t="shared" si="108"/>
        <v>8.2755052838523399E-2</v>
      </c>
      <c r="S222" s="329">
        <f t="shared" si="109"/>
        <v>1.0027225660984325</v>
      </c>
      <c r="T222" s="330">
        <f t="shared" si="110"/>
        <v>7.5718589199323297E-2</v>
      </c>
      <c r="U222" s="331">
        <f t="shared" si="111"/>
        <v>10.098756697411059</v>
      </c>
      <c r="V222" s="332">
        <f t="shared" si="112"/>
        <v>-105.71277541517269</v>
      </c>
      <c r="W222" s="334">
        <f t="shared" si="113"/>
        <v>74.287224584827314</v>
      </c>
      <c r="Y222" s="307">
        <f t="shared" si="114"/>
        <v>1000000000</v>
      </c>
      <c r="Z222" s="307">
        <f t="shared" si="115"/>
        <v>165945924</v>
      </c>
      <c r="AB222" s="333">
        <f t="shared" si="116"/>
        <v>23.630530778100063</v>
      </c>
      <c r="AC222" s="334">
        <f t="shared" si="117"/>
        <v>-18.974943350425139</v>
      </c>
      <c r="AE222" s="333">
        <f t="shared" si="118"/>
        <v>29.215848446808788</v>
      </c>
      <c r="AF222" s="334">
        <f t="shared" si="119"/>
        <v>-86.277296548947547</v>
      </c>
      <c r="AH222">
        <f t="shared" si="120"/>
        <v>0</v>
      </c>
      <c r="AI222">
        <f t="shared" si="125"/>
        <v>0</v>
      </c>
    </row>
    <row r="223" spans="1:35" x14ac:dyDescent="0.2">
      <c r="A223" s="335">
        <v>12957.25</v>
      </c>
      <c r="B223" s="352">
        <f t="shared" si="121"/>
        <v>12.95725</v>
      </c>
      <c r="C223" s="325">
        <f t="shared" si="96"/>
        <v>8.0988817593445344</v>
      </c>
      <c r="D223" s="326">
        <f t="shared" si="97"/>
        <v>1.4470065757022224</v>
      </c>
      <c r="E223" s="326">
        <f t="shared" si="98"/>
        <v>1.0001325521039319</v>
      </c>
      <c r="F223" s="327">
        <f t="shared" si="99"/>
        <v>1.6281121820740117E-2</v>
      </c>
      <c r="G223" s="326">
        <f t="shared" si="100"/>
        <v>1</v>
      </c>
      <c r="H223" s="327">
        <f t="shared" si="101"/>
        <v>0</v>
      </c>
      <c r="I223" s="325">
        <f t="shared" si="102"/>
        <v>17197.634778530075</v>
      </c>
      <c r="J223" s="328">
        <f t="shared" si="103"/>
        <v>1.5707381792639459</v>
      </c>
      <c r="K223" s="336">
        <f t="shared" si="123"/>
        <v>3.4011448874554531</v>
      </c>
      <c r="L223" s="337">
        <f t="shared" si="124"/>
        <v>1.2723677110663547</v>
      </c>
      <c r="M223" s="325">
        <f t="shared" si="104"/>
        <v>1.0004914956731701</v>
      </c>
      <c r="N223" s="337">
        <f t="shared" si="105"/>
        <v>3.1346274129472947E-2</v>
      </c>
      <c r="O223" s="343">
        <f t="shared" si="106"/>
        <v>1.0028305733270324</v>
      </c>
      <c r="P223" s="691">
        <f t="shared" si="107"/>
        <v>7.5152014302433262E-2</v>
      </c>
      <c r="Q223" s="336">
        <f t="shared" si="122"/>
        <v>6.3295016717489334</v>
      </c>
      <c r="R223" s="692">
        <f t="shared" si="108"/>
        <v>8.3236282591367367E-2</v>
      </c>
      <c r="S223" s="329">
        <f t="shared" si="109"/>
        <v>1.0027544229743979</v>
      </c>
      <c r="T223" s="330">
        <f t="shared" si="110"/>
        <v>7.6159328549440172E-2</v>
      </c>
      <c r="U223" s="331">
        <f t="shared" si="111"/>
        <v>10.044172871060358</v>
      </c>
      <c r="V223" s="332">
        <f t="shared" si="112"/>
        <v>-105.6927105901033</v>
      </c>
      <c r="W223" s="334">
        <f t="shared" si="113"/>
        <v>74.307289409896697</v>
      </c>
      <c r="Y223" s="307">
        <f t="shared" si="114"/>
        <v>1000000000</v>
      </c>
      <c r="Z223" s="307">
        <f t="shared" si="115"/>
        <v>167890327.5625</v>
      </c>
      <c r="AB223" s="333">
        <f t="shared" si="116"/>
        <v>23.626084599946967</v>
      </c>
      <c r="AC223" s="334">
        <f t="shared" si="117"/>
        <v>-18.891377791729791</v>
      </c>
      <c r="AE223" s="333">
        <f t="shared" si="118"/>
        <v>29.165770698871597</v>
      </c>
      <c r="AF223" s="334">
        <f t="shared" si="119"/>
        <v>-86.338138344436857</v>
      </c>
      <c r="AH223">
        <f t="shared" si="120"/>
        <v>0</v>
      </c>
      <c r="AI223">
        <f t="shared" si="125"/>
        <v>0</v>
      </c>
    </row>
    <row r="224" spans="1:35" x14ac:dyDescent="0.2">
      <c r="A224" s="335">
        <v>13032.5</v>
      </c>
      <c r="B224" s="352">
        <f t="shared" si="121"/>
        <v>13.032500000000001</v>
      </c>
      <c r="C224" s="325">
        <f t="shared" si="96"/>
        <v>8.1452014540320548</v>
      </c>
      <c r="D224" s="326">
        <f t="shared" si="97"/>
        <v>1.447714123519658</v>
      </c>
      <c r="E224" s="326">
        <f t="shared" si="98"/>
        <v>1.0001340960795559</v>
      </c>
      <c r="F224" s="327">
        <f t="shared" si="99"/>
        <v>1.6375658549918497E-2</v>
      </c>
      <c r="G224" s="326">
        <f t="shared" si="100"/>
        <v>1</v>
      </c>
      <c r="H224" s="327">
        <f t="shared" si="101"/>
        <v>0</v>
      </c>
      <c r="I224" s="325">
        <f t="shared" si="102"/>
        <v>17297.511064989118</v>
      </c>
      <c r="J224" s="328">
        <f t="shared" si="103"/>
        <v>1.5707385150093283</v>
      </c>
      <c r="K224" s="336">
        <f t="shared" si="123"/>
        <v>3.41919421367776</v>
      </c>
      <c r="L224" s="337">
        <f t="shared" si="124"/>
        <v>1.2739911537868196</v>
      </c>
      <c r="M224" s="325">
        <f t="shared" si="104"/>
        <v>1.0004972196082418</v>
      </c>
      <c r="N224" s="337">
        <f t="shared" si="105"/>
        <v>3.1528199213907322E-2</v>
      </c>
      <c r="O224" s="343">
        <f t="shared" si="106"/>
        <v>1.0028634991668477</v>
      </c>
      <c r="P224" s="691">
        <f t="shared" si="107"/>
        <v>7.5586808360406252E-2</v>
      </c>
      <c r="Q224" s="336">
        <f t="shared" si="122"/>
        <v>6.3297533871130254</v>
      </c>
      <c r="R224" s="692">
        <f t="shared" si="108"/>
        <v>8.3717474417210447E-2</v>
      </c>
      <c r="S224" s="329">
        <f t="shared" si="109"/>
        <v>1.002786464382089</v>
      </c>
      <c r="T224" s="330">
        <f t="shared" si="110"/>
        <v>7.6600040594720711E-2</v>
      </c>
      <c r="U224" s="331">
        <f t="shared" si="111"/>
        <v>9.9899382024275241</v>
      </c>
      <c r="V224" s="332">
        <f t="shared" si="112"/>
        <v>-105.67316923484094</v>
      </c>
      <c r="W224" s="334">
        <f t="shared" si="113"/>
        <v>74.326830765159059</v>
      </c>
      <c r="Y224" s="307">
        <f t="shared" si="114"/>
        <v>1000000000</v>
      </c>
      <c r="Z224" s="307">
        <f t="shared" si="115"/>
        <v>169846056.25</v>
      </c>
      <c r="AB224" s="333">
        <f t="shared" si="116"/>
        <v>23.621709734795722</v>
      </c>
      <c r="AC224" s="334">
        <f t="shared" si="117"/>
        <v>-18.808804151790614</v>
      </c>
      <c r="AE224" s="333">
        <f t="shared" si="118"/>
        <v>29.115971135817379</v>
      </c>
      <c r="AF224" s="334">
        <f t="shared" si="119"/>
        <v>-86.398512232832871</v>
      </c>
      <c r="AH224">
        <f t="shared" si="120"/>
        <v>0</v>
      </c>
      <c r="AI224">
        <f t="shared" si="125"/>
        <v>0</v>
      </c>
    </row>
    <row r="225" spans="1:35" x14ac:dyDescent="0.2">
      <c r="A225" s="335">
        <v>13107.75</v>
      </c>
      <c r="B225" s="352">
        <f t="shared" si="121"/>
        <v>13.107749999999999</v>
      </c>
      <c r="C225" s="325">
        <f t="shared" si="96"/>
        <v>8.1915251802858027</v>
      </c>
      <c r="D225" s="326">
        <f t="shared" si="97"/>
        <v>1.4484136692056717</v>
      </c>
      <c r="E225" s="326">
        <f t="shared" si="98"/>
        <v>1.0001356489935442</v>
      </c>
      <c r="F225" s="327">
        <f t="shared" si="99"/>
        <v>1.647019498636677E-2</v>
      </c>
      <c r="G225" s="326">
        <f t="shared" si="100"/>
        <v>1</v>
      </c>
      <c r="H225" s="327">
        <f t="shared" si="101"/>
        <v>0</v>
      </c>
      <c r="I225" s="325">
        <f t="shared" si="102"/>
        <v>17397.387351450088</v>
      </c>
      <c r="J225" s="328">
        <f t="shared" si="103"/>
        <v>1.5707388468997636</v>
      </c>
      <c r="K225" s="336">
        <f t="shared" si="123"/>
        <v>3.4372524567586726</v>
      </c>
      <c r="L225" s="337">
        <f t="shared" si="124"/>
        <v>1.275597542589376</v>
      </c>
      <c r="M225" s="325">
        <f t="shared" si="104"/>
        <v>1.0005029766561266</v>
      </c>
      <c r="N225" s="337">
        <f t="shared" si="105"/>
        <v>3.1710122210712906E-2</v>
      </c>
      <c r="O225" s="343">
        <f t="shared" si="106"/>
        <v>1.0028966145813989</v>
      </c>
      <c r="P225" s="691">
        <f t="shared" si="107"/>
        <v>7.6021573786966626E-2</v>
      </c>
      <c r="Q225" s="336">
        <f t="shared" si="122"/>
        <v>6.3300065500013298</v>
      </c>
      <c r="R225" s="692">
        <f t="shared" si="108"/>
        <v>8.4198628101856757E-2</v>
      </c>
      <c r="S225" s="329">
        <f t="shared" si="109"/>
        <v>1.0028186903038727</v>
      </c>
      <c r="T225" s="330">
        <f t="shared" si="110"/>
        <v>7.7040725180097636E-2</v>
      </c>
      <c r="U225" s="331">
        <f t="shared" si="111"/>
        <v>9.936048093836634</v>
      </c>
      <c r="V225" s="332">
        <f t="shared" si="112"/>
        <v>-105.65414406682252</v>
      </c>
      <c r="W225" s="334">
        <f t="shared" si="113"/>
        <v>74.345855933177475</v>
      </c>
      <c r="Y225" s="307">
        <f t="shared" si="114"/>
        <v>1000000000</v>
      </c>
      <c r="Z225" s="307">
        <f t="shared" si="115"/>
        <v>171813110.0625</v>
      </c>
      <c r="AB225" s="333">
        <f t="shared" si="116"/>
        <v>23.617404658011097</v>
      </c>
      <c r="AC225" s="334">
        <f t="shared" si="117"/>
        <v>-18.727207288888366</v>
      </c>
      <c r="AE225" s="333">
        <f t="shared" si="118"/>
        <v>29.06644668445545</v>
      </c>
      <c r="AF225" s="334">
        <f t="shared" si="119"/>
        <v>-86.458426076306367</v>
      </c>
      <c r="AH225">
        <f t="shared" si="120"/>
        <v>0</v>
      </c>
      <c r="AI225">
        <f t="shared" si="125"/>
        <v>0</v>
      </c>
    </row>
    <row r="226" spans="1:35" x14ac:dyDescent="0.2">
      <c r="A226" s="335">
        <v>13183</v>
      </c>
      <c r="B226" s="352">
        <f t="shared" si="121"/>
        <v>13.183</v>
      </c>
      <c r="C226" s="325">
        <f t="shared" si="96"/>
        <v>8.2378528700939349</v>
      </c>
      <c r="D226" s="326">
        <f t="shared" si="97"/>
        <v>1.4491053470759054</v>
      </c>
      <c r="E226" s="326">
        <f t="shared" si="98"/>
        <v>1.0001372108458548</v>
      </c>
      <c r="F226" s="327">
        <f t="shared" si="99"/>
        <v>1.6564731128396536E-2</v>
      </c>
      <c r="G226" s="326">
        <f t="shared" si="100"/>
        <v>1</v>
      </c>
      <c r="H226" s="327">
        <f t="shared" si="101"/>
        <v>0</v>
      </c>
      <c r="I226" s="325">
        <f t="shared" si="102"/>
        <v>17497.263637912951</v>
      </c>
      <c r="J226" s="328">
        <f t="shared" si="103"/>
        <v>1.5707391750012654</v>
      </c>
      <c r="K226" s="336">
        <f t="shared" si="123"/>
        <v>3.4553194768939286</v>
      </c>
      <c r="L226" s="337">
        <f t="shared" si="124"/>
        <v>1.2771871366301615</v>
      </c>
      <c r="M226" s="325">
        <f t="shared" si="104"/>
        <v>1.0005087668162531</v>
      </c>
      <c r="N226" s="337">
        <f t="shared" si="105"/>
        <v>3.1892043107884009E-2</v>
      </c>
      <c r="O226" s="343">
        <f t="shared" si="106"/>
        <v>1.0029299195519077</v>
      </c>
      <c r="P226" s="691">
        <f t="shared" si="107"/>
        <v>7.6456310420599097E-2</v>
      </c>
      <c r="Q226" s="336">
        <f t="shared" si="122"/>
        <v>6.3302611602402008</v>
      </c>
      <c r="R226" s="692">
        <f t="shared" si="108"/>
        <v>8.4679743431214344E-2</v>
      </c>
      <c r="S226" s="329">
        <f t="shared" si="109"/>
        <v>1.0028511007220158</v>
      </c>
      <c r="T226" s="330">
        <f t="shared" si="110"/>
        <v>7.7481382150563854E-2</v>
      </c>
      <c r="U226" s="331">
        <f t="shared" si="111"/>
        <v>9.8824980369448028</v>
      </c>
      <c r="V226" s="332">
        <f t="shared" si="112"/>
        <v>-105.63562792451198</v>
      </c>
      <c r="W226" s="334">
        <f t="shared" si="113"/>
        <v>74.364372075488021</v>
      </c>
      <c r="Y226" s="307">
        <f t="shared" si="114"/>
        <v>1000000000</v>
      </c>
      <c r="Z226" s="307">
        <f t="shared" si="115"/>
        <v>173791489</v>
      </c>
      <c r="AB226" s="333">
        <f t="shared" si="116"/>
        <v>23.613167884763811</v>
      </c>
      <c r="AC226" s="334">
        <f t="shared" si="117"/>
        <v>-18.646572357564501</v>
      </c>
      <c r="AE226" s="333">
        <f t="shared" si="118"/>
        <v>29.017194321121377</v>
      </c>
      <c r="AF226" s="334">
        <f t="shared" si="119"/>
        <v>-86.517887561792278</v>
      </c>
      <c r="AH226">
        <f t="shared" si="120"/>
        <v>0</v>
      </c>
      <c r="AI226">
        <f t="shared" si="125"/>
        <v>0</v>
      </c>
    </row>
    <row r="227" spans="1:35" x14ac:dyDescent="0.2">
      <c r="A227" s="335">
        <v>13259.75</v>
      </c>
      <c r="B227" s="352">
        <f t="shared" si="121"/>
        <v>13.25975</v>
      </c>
      <c r="C227" s="325">
        <f t="shared" si="96"/>
        <v>8.2851080493546796</v>
      </c>
      <c r="D227" s="326">
        <f t="shared" si="97"/>
        <v>1.4498028440942061</v>
      </c>
      <c r="E227" s="326">
        <f t="shared" si="98"/>
        <v>1.0001388130387474</v>
      </c>
      <c r="F227" s="327">
        <f t="shared" si="99"/>
        <v>1.6661151406764704E-2</v>
      </c>
      <c r="G227" s="326">
        <f t="shared" si="100"/>
        <v>1</v>
      </c>
      <c r="H227" s="327">
        <f t="shared" si="101"/>
        <v>0</v>
      </c>
      <c r="I227" s="325">
        <f t="shared" si="102"/>
        <v>17599.130813808886</v>
      </c>
      <c r="J227" s="328">
        <f t="shared" si="103"/>
        <v>1.5707395058069105</v>
      </c>
      <c r="K227" s="336">
        <f t="shared" si="123"/>
        <v>3.473755536192173</v>
      </c>
      <c r="L227" s="337">
        <f t="shared" si="124"/>
        <v>1.2787913801303707</v>
      </c>
      <c r="M227" s="325">
        <f t="shared" si="104"/>
        <v>1.0005147065031448</v>
      </c>
      <c r="N227" s="337">
        <f t="shared" si="105"/>
        <v>3.2077588159951521E-2</v>
      </c>
      <c r="O227" s="343">
        <f t="shared" si="106"/>
        <v>1.0029640836506934</v>
      </c>
      <c r="P227" s="691">
        <f t="shared" si="107"/>
        <v>7.689968307376821E-2</v>
      </c>
      <c r="Q227" s="336">
        <f t="shared" si="122"/>
        <v>6.3305223364995431</v>
      </c>
      <c r="R227" s="692">
        <f t="shared" si="108"/>
        <v>8.5170409367725949E-2</v>
      </c>
      <c r="S227" s="329">
        <f t="shared" si="109"/>
        <v>1.0028843472260309</v>
      </c>
      <c r="T227" s="330">
        <f t="shared" si="110"/>
        <v>7.7930794374143991E-2</v>
      </c>
      <c r="U227" s="331">
        <f t="shared" si="111"/>
        <v>9.8282262398072788</v>
      </c>
      <c r="V227" s="332">
        <f t="shared" si="112"/>
        <v>-105.61725973434723</v>
      </c>
      <c r="W227" s="334">
        <f t="shared" si="113"/>
        <v>74.382740265652771</v>
      </c>
      <c r="Y227" s="307">
        <f t="shared" si="114"/>
        <v>1000000000</v>
      </c>
      <c r="Z227" s="307">
        <f t="shared" si="115"/>
        <v>175820970.0625</v>
      </c>
      <c r="AB227" s="333">
        <f t="shared" si="116"/>
        <v>23.608915517488974</v>
      </c>
      <c r="AC227" s="334">
        <f t="shared" si="117"/>
        <v>-18.565305877758664</v>
      </c>
      <c r="AE227" s="333">
        <f t="shared" si="118"/>
        <v>28.967237375866045</v>
      </c>
      <c r="AF227" s="334">
        <f t="shared" si="119"/>
        <v>-86.578076145895409</v>
      </c>
      <c r="AH227">
        <f t="shared" si="120"/>
        <v>0</v>
      </c>
      <c r="AI227">
        <f t="shared" si="125"/>
        <v>0</v>
      </c>
    </row>
    <row r="228" spans="1:35" x14ac:dyDescent="0.2">
      <c r="A228" s="335">
        <v>13336.5</v>
      </c>
      <c r="B228" s="352">
        <f t="shared" si="121"/>
        <v>13.336499999999999</v>
      </c>
      <c r="C228" s="325">
        <f t="shared" si="96"/>
        <v>8.3323672136179745</v>
      </c>
      <c r="D228" s="326">
        <f t="shared" si="97"/>
        <v>1.4504924293772683</v>
      </c>
      <c r="E228" s="326">
        <f t="shared" si="98"/>
        <v>1.0001404245297709</v>
      </c>
      <c r="F228" s="327">
        <f t="shared" si="99"/>
        <v>1.6757571375312079E-2</v>
      </c>
      <c r="G228" s="326">
        <f t="shared" si="100"/>
        <v>1</v>
      </c>
      <c r="H228" s="327">
        <f t="shared" si="101"/>
        <v>0</v>
      </c>
      <c r="I228" s="325">
        <f t="shared" si="102"/>
        <v>17700.997989706724</v>
      </c>
      <c r="J228" s="328">
        <f t="shared" si="103"/>
        <v>1.5707398328050599</v>
      </c>
      <c r="K228" s="336">
        <f t="shared" si="123"/>
        <v>3.4922004411318524</v>
      </c>
      <c r="L228" s="337">
        <f t="shared" si="124"/>
        <v>1.2803786812762927</v>
      </c>
      <c r="M228" s="325">
        <f t="shared" si="104"/>
        <v>1.000520680634313</v>
      </c>
      <c r="N228" s="337">
        <f t="shared" si="105"/>
        <v>3.2263131002619405E-2</v>
      </c>
      <c r="O228" s="343">
        <f t="shared" si="106"/>
        <v>1.0029984448980123</v>
      </c>
      <c r="P228" s="691">
        <f t="shared" si="107"/>
        <v>7.7343025435498022E-2</v>
      </c>
      <c r="Q228" s="336">
        <f t="shared" si="122"/>
        <v>6.3307850180183012</v>
      </c>
      <c r="R228" s="692">
        <f t="shared" si="108"/>
        <v>8.5661034955062512E-2</v>
      </c>
      <c r="S228" s="329">
        <f t="shared" si="109"/>
        <v>1.0029177856174745</v>
      </c>
      <c r="T228" s="330">
        <f t="shared" si="110"/>
        <v>7.8380177545395877E-2</v>
      </c>
      <c r="U228" s="331">
        <f t="shared" si="111"/>
        <v>9.7742989873295603</v>
      </c>
      <c r="V228" s="332">
        <f t="shared" si="112"/>
        <v>-105.599406392708</v>
      </c>
      <c r="W228" s="334">
        <f t="shared" si="113"/>
        <v>74.400593607291995</v>
      </c>
      <c r="Y228" s="307">
        <f t="shared" si="114"/>
        <v>1000000000</v>
      </c>
      <c r="Z228" s="307">
        <f t="shared" si="115"/>
        <v>177862232.25</v>
      </c>
      <c r="AB228" s="333">
        <f t="shared" si="116"/>
        <v>23.604731205206274</v>
      </c>
      <c r="AC228" s="334">
        <f t="shared" si="117"/>
        <v>-18.485009778606901</v>
      </c>
      <c r="AE228" s="333">
        <f t="shared" si="118"/>
        <v>28.917557273509541</v>
      </c>
      <c r="AF228" s="334">
        <f t="shared" si="119"/>
        <v>-86.637809774135846</v>
      </c>
      <c r="AH228">
        <f t="shared" si="120"/>
        <v>0</v>
      </c>
      <c r="AI228">
        <f t="shared" si="125"/>
        <v>0</v>
      </c>
    </row>
    <row r="229" spans="1:35" x14ac:dyDescent="0.2">
      <c r="A229" s="335">
        <v>13413.25</v>
      </c>
      <c r="B229" s="352">
        <f t="shared" si="121"/>
        <v>13.41325</v>
      </c>
      <c r="C229" s="325">
        <f t="shared" si="96"/>
        <v>8.3796302954603537</v>
      </c>
      <c r="D229" s="326">
        <f t="shared" si="97"/>
        <v>1.451174236135778</v>
      </c>
      <c r="E229" s="326">
        <f t="shared" si="98"/>
        <v>1.0001420453188803</v>
      </c>
      <c r="F229" s="327">
        <f t="shared" si="99"/>
        <v>1.685399103224737E-2</v>
      </c>
      <c r="G229" s="326">
        <f t="shared" si="100"/>
        <v>1</v>
      </c>
      <c r="H229" s="327">
        <f t="shared" si="101"/>
        <v>0</v>
      </c>
      <c r="I229" s="325">
        <f t="shared" si="102"/>
        <v>17802.865165606436</v>
      </c>
      <c r="J229" s="328">
        <f t="shared" si="103"/>
        <v>1.5707401560610723</v>
      </c>
      <c r="K229" s="336">
        <f t="shared" si="123"/>
        <v>3.5106540522885075</v>
      </c>
      <c r="L229" s="337">
        <f t="shared" si="124"/>
        <v>1.2819492991761796</v>
      </c>
      <c r="M229" s="325">
        <f t="shared" si="104"/>
        <v>1.0005266892091407</v>
      </c>
      <c r="N229" s="337">
        <f t="shared" si="105"/>
        <v>3.2448671623152313E-2</v>
      </c>
      <c r="O229" s="343">
        <f t="shared" si="106"/>
        <v>1.003033003273603</v>
      </c>
      <c r="P229" s="691">
        <f t="shared" si="107"/>
        <v>7.7786337334630612E-2</v>
      </c>
      <c r="Q229" s="336">
        <f t="shared" si="122"/>
        <v>6.3310492046091413</v>
      </c>
      <c r="R229" s="692">
        <f t="shared" si="108"/>
        <v>8.6151619966410076E-2</v>
      </c>
      <c r="S229" s="329">
        <f t="shared" si="109"/>
        <v>1.0029514158772133</v>
      </c>
      <c r="T229" s="330">
        <f t="shared" si="110"/>
        <v>7.8829531500052757E-2</v>
      </c>
      <c r="U229" s="331">
        <f t="shared" si="111"/>
        <v>9.7207117689785871</v>
      </c>
      <c r="V229" s="332">
        <f t="shared" si="112"/>
        <v>-105.5820606767123</v>
      </c>
      <c r="W229" s="334">
        <f t="shared" si="113"/>
        <v>74.417939323287698</v>
      </c>
      <c r="Y229" s="307">
        <f t="shared" si="114"/>
        <v>1000000000</v>
      </c>
      <c r="Z229" s="307">
        <f t="shared" si="115"/>
        <v>179915275.5625</v>
      </c>
      <c r="AB229" s="333">
        <f t="shared" si="116"/>
        <v>23.600613492732624</v>
      </c>
      <c r="AC229" s="334">
        <f t="shared" si="117"/>
        <v>-18.405669217315008</v>
      </c>
      <c r="AE229" s="333">
        <f t="shared" si="118"/>
        <v>28.868150958539282</v>
      </c>
      <c r="AF229" s="334">
        <f t="shared" si="119"/>
        <v>-86.697096069614545</v>
      </c>
      <c r="AH229">
        <f t="shared" si="120"/>
        <v>0</v>
      </c>
      <c r="AI229">
        <f t="shared" si="125"/>
        <v>0</v>
      </c>
    </row>
    <row r="230" spans="1:35" x14ac:dyDescent="0.2">
      <c r="A230" s="335">
        <v>13490</v>
      </c>
      <c r="B230" s="352">
        <f t="shared" si="121"/>
        <v>13.49</v>
      </c>
      <c r="C230" s="325">
        <f t="shared" si="96"/>
        <v>8.4268972289654407</v>
      </c>
      <c r="D230" s="326">
        <f t="shared" si="97"/>
        <v>1.4518483946209773</v>
      </c>
      <c r="E230" s="326">
        <f t="shared" si="98"/>
        <v>1.00014367540603</v>
      </c>
      <c r="F230" s="327">
        <f t="shared" si="99"/>
        <v>1.6950410375779313E-2</v>
      </c>
      <c r="G230" s="326">
        <f t="shared" si="100"/>
        <v>1</v>
      </c>
      <c r="H230" s="327">
        <f t="shared" si="101"/>
        <v>0</v>
      </c>
      <c r="I230" s="325">
        <f t="shared" si="102"/>
        <v>17904.732341507981</v>
      </c>
      <c r="J230" s="328">
        <f t="shared" si="103"/>
        <v>1.5707404756388197</v>
      </c>
      <c r="K230" s="336">
        <f t="shared" si="123"/>
        <v>3.5291162330887347</v>
      </c>
      <c r="L230" s="337">
        <f t="shared" si="124"/>
        <v>1.2835034878493883</v>
      </c>
      <c r="M230" s="325">
        <f t="shared" si="104"/>
        <v>1.0005327322270072</v>
      </c>
      <c r="N230" s="337">
        <f t="shared" si="105"/>
        <v>3.2634210008815785E-2</v>
      </c>
      <c r="O230" s="343">
        <f t="shared" si="106"/>
        <v>1.0030677587570904</v>
      </c>
      <c r="P230" s="691">
        <f t="shared" si="107"/>
        <v>7.8229618600079417E-2</v>
      </c>
      <c r="Q230" s="336">
        <f t="shared" si="122"/>
        <v>6.3313148960836862</v>
      </c>
      <c r="R230" s="692">
        <f t="shared" si="108"/>
        <v>8.6642164175069578E-2</v>
      </c>
      <c r="S230" s="329">
        <f t="shared" si="109"/>
        <v>1.0029852379860065</v>
      </c>
      <c r="T230" s="330">
        <f t="shared" si="110"/>
        <v>7.9278856073914411E-2</v>
      </c>
      <c r="U230" s="331">
        <f t="shared" si="111"/>
        <v>9.6674601614565354</v>
      </c>
      <c r="V230" s="332">
        <f t="shared" si="112"/>
        <v>-105.56521548540766</v>
      </c>
      <c r="W230" s="334">
        <f t="shared" si="113"/>
        <v>74.434784514592337</v>
      </c>
      <c r="Y230" s="307">
        <f t="shared" si="114"/>
        <v>1000000000</v>
      </c>
      <c r="Z230" s="307">
        <f t="shared" si="115"/>
        <v>181980100</v>
      </c>
      <c r="AB230" s="333">
        <f t="shared" si="116"/>
        <v>23.59656096289131</v>
      </c>
      <c r="AC230" s="334">
        <f t="shared" si="117"/>
        <v>-18.327269642575867</v>
      </c>
      <c r="AE230" s="333">
        <f t="shared" si="118"/>
        <v>28.819015424670638</v>
      </c>
      <c r="AF230" s="334">
        <f t="shared" si="119"/>
        <v>-86.755942485872623</v>
      </c>
      <c r="AH230">
        <f t="shared" si="120"/>
        <v>0</v>
      </c>
      <c r="AI230">
        <f t="shared" si="125"/>
        <v>0</v>
      </c>
    </row>
    <row r="231" spans="1:35" x14ac:dyDescent="0.2">
      <c r="A231" s="335">
        <v>13568.5</v>
      </c>
      <c r="B231" s="352">
        <f t="shared" si="121"/>
        <v>13.5685</v>
      </c>
      <c r="C231" s="325">
        <f t="shared" si="96"/>
        <v>8.4752458273679991</v>
      </c>
      <c r="D231" s="326">
        <f t="shared" si="97"/>
        <v>1.4525301456980315</v>
      </c>
      <c r="E231" s="326">
        <f t="shared" si="98"/>
        <v>1.0001453522797124</v>
      </c>
      <c r="F231" s="327">
        <f t="shared" si="99"/>
        <v>1.7049027879900737E-2</v>
      </c>
      <c r="G231" s="326">
        <f t="shared" si="100"/>
        <v>1</v>
      </c>
      <c r="H231" s="327">
        <f t="shared" si="101"/>
        <v>0</v>
      </c>
      <c r="I231" s="325">
        <f t="shared" si="102"/>
        <v>18008.922221747922</v>
      </c>
      <c r="J231" s="328">
        <f t="shared" si="103"/>
        <v>1.5707407987633908</v>
      </c>
      <c r="K231" s="336">
        <f t="shared" si="123"/>
        <v>3.5480081011962872</v>
      </c>
      <c r="L231" s="337">
        <f t="shared" si="124"/>
        <v>1.2850763782024355</v>
      </c>
      <c r="M231" s="325">
        <f t="shared" si="104"/>
        <v>1.0005389486629159</v>
      </c>
      <c r="N231" s="337">
        <f t="shared" si="105"/>
        <v>3.2823976586256493E-2</v>
      </c>
      <c r="O231" s="343">
        <f t="shared" si="106"/>
        <v>1.0031035105901396</v>
      </c>
      <c r="P231" s="691">
        <f t="shared" si="107"/>
        <v>7.8682975388314425E-2</v>
      </c>
      <c r="Q231" s="336">
        <f t="shared" si="122"/>
        <v>6.3315882022174481</v>
      </c>
      <c r="R231" s="692">
        <f t="shared" si="108"/>
        <v>8.7143850985832869E-2</v>
      </c>
      <c r="S231" s="329">
        <f t="shared" si="109"/>
        <v>1.0030200297233194</v>
      </c>
      <c r="T231" s="330">
        <f t="shared" si="110"/>
        <v>7.973839526910638E-2</v>
      </c>
      <c r="U231" s="331">
        <f t="shared" si="111"/>
        <v>9.6133370031333971</v>
      </c>
      <c r="V231" s="332">
        <f t="shared" si="112"/>
        <v>-105.54849669951767</v>
      </c>
      <c r="W231" s="334">
        <f t="shared" si="113"/>
        <v>74.451503300482329</v>
      </c>
      <c r="Y231" s="307">
        <f t="shared" si="114"/>
        <v>1000000000</v>
      </c>
      <c r="Z231" s="307">
        <f t="shared" si="115"/>
        <v>184104192.25</v>
      </c>
      <c r="AB231" s="333">
        <f t="shared" si="116"/>
        <v>23.59248202049152</v>
      </c>
      <c r="AC231" s="334">
        <f t="shared" si="117"/>
        <v>-18.248041001273076</v>
      </c>
      <c r="AE231" s="333">
        <f t="shared" si="118"/>
        <v>28.769036566336567</v>
      </c>
      <c r="AF231" s="334">
        <f t="shared" si="119"/>
        <v>-86.815683234967679</v>
      </c>
      <c r="AH231">
        <f t="shared" si="120"/>
        <v>0</v>
      </c>
      <c r="AI231">
        <f t="shared" si="125"/>
        <v>0</v>
      </c>
    </row>
    <row r="232" spans="1:35" x14ac:dyDescent="0.2">
      <c r="A232" s="335">
        <v>13647</v>
      </c>
      <c r="B232" s="352">
        <f t="shared" si="121"/>
        <v>13.647</v>
      </c>
      <c r="C232" s="325">
        <f t="shared" si="96"/>
        <v>8.5235983202442469</v>
      </c>
      <c r="D232" s="326">
        <f t="shared" si="97"/>
        <v>1.4532041622384857</v>
      </c>
      <c r="E232" s="326">
        <f t="shared" si="98"/>
        <v>1.0001470388801876</v>
      </c>
      <c r="F232" s="327">
        <f t="shared" si="99"/>
        <v>1.7147645052373494E-2</v>
      </c>
      <c r="G232" s="326">
        <f t="shared" si="100"/>
        <v>1</v>
      </c>
      <c r="H232" s="327">
        <f t="shared" si="101"/>
        <v>0</v>
      </c>
      <c r="I232" s="325">
        <f t="shared" si="102"/>
        <v>18113.112101989718</v>
      </c>
      <c r="J232" s="328">
        <f t="shared" si="103"/>
        <v>1.5707411181706206</v>
      </c>
      <c r="K232" s="336">
        <f t="shared" si="123"/>
        <v>3.5669086540257027</v>
      </c>
      <c r="L232" s="337">
        <f t="shared" si="124"/>
        <v>1.2866326033172275</v>
      </c>
      <c r="M232" s="325">
        <f t="shared" si="104"/>
        <v>1.0005452011291383</v>
      </c>
      <c r="N232" s="337">
        <f t="shared" si="105"/>
        <v>3.3013740798805619E-2</v>
      </c>
      <c r="O232" s="343">
        <f t="shared" si="106"/>
        <v>1.0031394685787178</v>
      </c>
      <c r="P232" s="691">
        <f t="shared" si="107"/>
        <v>7.9136299768157906E-2</v>
      </c>
      <c r="Q232" s="336">
        <f t="shared" si="122"/>
        <v>6.3318630822419637</v>
      </c>
      <c r="R232" s="692">
        <f t="shared" si="108"/>
        <v>8.7645494632639084E-2</v>
      </c>
      <c r="S232" s="329">
        <f t="shared" si="109"/>
        <v>1.0030550221171877</v>
      </c>
      <c r="T232" s="330">
        <f t="shared" si="110"/>
        <v>8.0197903381138524E-2</v>
      </c>
      <c r="U232" s="331">
        <f t="shared" si="111"/>
        <v>9.5595558446768649</v>
      </c>
      <c r="V232" s="332">
        <f t="shared" si="112"/>
        <v>-105.53228687847465</v>
      </c>
      <c r="W232" s="334">
        <f t="shared" si="113"/>
        <v>74.46771312152535</v>
      </c>
      <c r="Y232" s="307">
        <f t="shared" si="114"/>
        <v>1000000000</v>
      </c>
      <c r="Z232" s="307">
        <f t="shared" si="115"/>
        <v>186240609</v>
      </c>
      <c r="AB232" s="333">
        <f t="shared" si="116"/>
        <v>23.58846838495047</v>
      </c>
      <c r="AC232" s="334">
        <f t="shared" si="117"/>
        <v>-18.169766859301681</v>
      </c>
      <c r="AE232" s="333">
        <f t="shared" si="118"/>
        <v>28.719334769843474</v>
      </c>
      <c r="AF232" s="334">
        <f t="shared" si="119"/>
        <v>-86.874979065826707</v>
      </c>
      <c r="AH232">
        <f t="shared" si="120"/>
        <v>0</v>
      </c>
      <c r="AI232">
        <f t="shared" si="125"/>
        <v>0</v>
      </c>
    </row>
    <row r="233" spans="1:35" x14ac:dyDescent="0.2">
      <c r="A233" s="335">
        <v>13725.5</v>
      </c>
      <c r="B233" s="352">
        <f t="shared" si="121"/>
        <v>13.7255</v>
      </c>
      <c r="C233" s="325">
        <f t="shared" si="96"/>
        <v>8.5719546416905992</v>
      </c>
      <c r="D233" s="326">
        <f t="shared" si="97"/>
        <v>1.4538705745214644</v>
      </c>
      <c r="E233" s="326">
        <f t="shared" si="98"/>
        <v>1.0001487352074068</v>
      </c>
      <c r="F233" s="327">
        <f t="shared" si="99"/>
        <v>1.7246261891281103E-2</v>
      </c>
      <c r="G233" s="326">
        <f t="shared" si="100"/>
        <v>1</v>
      </c>
      <c r="H233" s="327">
        <f t="shared" si="101"/>
        <v>0</v>
      </c>
      <c r="I233" s="325">
        <f t="shared" si="102"/>
        <v>18217.301982233337</v>
      </c>
      <c r="J233" s="328">
        <f t="shared" si="103"/>
        <v>1.5707414339242907</v>
      </c>
      <c r="K233" s="336">
        <f t="shared" si="123"/>
        <v>3.585817754247604</v>
      </c>
      <c r="L233" s="337">
        <f t="shared" si="124"/>
        <v>1.2881724192382331</v>
      </c>
      <c r="M233" s="325">
        <f t="shared" si="104"/>
        <v>1.0005514896249987</v>
      </c>
      <c r="N233" s="337">
        <f t="shared" si="105"/>
        <v>3.3203502632840651E-2</v>
      </c>
      <c r="O233" s="343">
        <f t="shared" si="106"/>
        <v>1.0031756327006565</v>
      </c>
      <c r="P233" s="691">
        <f t="shared" si="107"/>
        <v>7.9589591556785869E-2</v>
      </c>
      <c r="Q233" s="336">
        <f t="shared" si="122"/>
        <v>6.3321395359522938</v>
      </c>
      <c r="R233" s="692">
        <f t="shared" si="108"/>
        <v>8.814709487330287E-2</v>
      </c>
      <c r="S233" s="329">
        <f t="shared" si="109"/>
        <v>1.0030902151466767</v>
      </c>
      <c r="T233" s="330">
        <f t="shared" si="110"/>
        <v>8.0657380234539403E-2</v>
      </c>
      <c r="U233" s="331">
        <f t="shared" si="111"/>
        <v>9.5061122223424892</v>
      </c>
      <c r="V233" s="332">
        <f t="shared" si="112"/>
        <v>-105.51657880598387</v>
      </c>
      <c r="W233" s="334">
        <f t="shared" si="113"/>
        <v>74.483421194016131</v>
      </c>
      <c r="Y233" s="307">
        <f t="shared" si="114"/>
        <v>1000000000</v>
      </c>
      <c r="Z233" s="307">
        <f t="shared" si="115"/>
        <v>188389350.25</v>
      </c>
      <c r="AB233" s="333">
        <f t="shared" si="116"/>
        <v>23.5845186558306</v>
      </c>
      <c r="AC233" s="334">
        <f t="shared" si="117"/>
        <v>-18.092432549268171</v>
      </c>
      <c r="AE233" s="333">
        <f t="shared" si="118"/>
        <v>28.669906971706666</v>
      </c>
      <c r="AF233" s="334">
        <f t="shared" si="119"/>
        <v>-86.933837432949829</v>
      </c>
      <c r="AH233">
        <f t="shared" si="120"/>
        <v>0</v>
      </c>
      <c r="AI233">
        <f t="shared" si="125"/>
        <v>0</v>
      </c>
    </row>
    <row r="234" spans="1:35" x14ac:dyDescent="0.2">
      <c r="A234" s="335">
        <v>13804</v>
      </c>
      <c r="B234" s="352">
        <f t="shared" si="121"/>
        <v>13.804</v>
      </c>
      <c r="C234" s="325">
        <f t="shared" si="96"/>
        <v>8.6203147272770799</v>
      </c>
      <c r="D234" s="326">
        <f t="shared" si="97"/>
        <v>1.4545295099299862</v>
      </c>
      <c r="E234" s="326">
        <f t="shared" si="98"/>
        <v>1.0001504412613202</v>
      </c>
      <c r="F234" s="327">
        <f t="shared" si="99"/>
        <v>1.7344878394707108E-2</v>
      </c>
      <c r="G234" s="326">
        <f t="shared" si="100"/>
        <v>1</v>
      </c>
      <c r="H234" s="327">
        <f t="shared" si="101"/>
        <v>0</v>
      </c>
      <c r="I234" s="325">
        <f t="shared" si="102"/>
        <v>18321.491862478753</v>
      </c>
      <c r="J234" s="328">
        <f t="shared" si="103"/>
        <v>1.5707417460867314</v>
      </c>
      <c r="K234" s="336">
        <f t="shared" si="123"/>
        <v>3.6047352673526691</v>
      </c>
      <c r="L234" s="337">
        <f t="shared" si="124"/>
        <v>1.2896960769499861</v>
      </c>
      <c r="M234" s="325">
        <f t="shared" si="104"/>
        <v>1.0005578141498184</v>
      </c>
      <c r="N234" s="337">
        <f t="shared" si="105"/>
        <v>3.3393262074740089E-2</v>
      </c>
      <c r="O234" s="343">
        <f t="shared" si="106"/>
        <v>1.0032120029336631</v>
      </c>
      <c r="P234" s="691">
        <f t="shared" si="107"/>
        <v>8.0042850571454133E-2</v>
      </c>
      <c r="Q234" s="336">
        <f t="shared" si="122"/>
        <v>6.3324175631423643</v>
      </c>
      <c r="R234" s="692">
        <f t="shared" si="108"/>
        <v>8.8648651465767378E-2</v>
      </c>
      <c r="S234" s="329">
        <f t="shared" si="109"/>
        <v>1.0031256087907348</v>
      </c>
      <c r="T234" s="330">
        <f t="shared" si="110"/>
        <v>8.1116825653912053E-2</v>
      </c>
      <c r="U234" s="331">
        <f t="shared" si="111"/>
        <v>9.4530017585493695</v>
      </c>
      <c r="V234" s="332">
        <f t="shared" si="112"/>
        <v>-105.50136538965293</v>
      </c>
      <c r="W234" s="334">
        <f t="shared" si="113"/>
        <v>74.498634610347068</v>
      </c>
      <c r="Y234" s="307">
        <f t="shared" si="114"/>
        <v>1000000000</v>
      </c>
      <c r="Z234" s="307">
        <f t="shared" si="115"/>
        <v>190550416</v>
      </c>
      <c r="AB234" s="333">
        <f t="shared" si="116"/>
        <v>23.580631469381728</v>
      </c>
      <c r="AC234" s="334">
        <f t="shared" si="117"/>
        <v>-18.016023693608837</v>
      </c>
      <c r="AE234" s="333">
        <f t="shared" si="118"/>
        <v>28.62075015791671</v>
      </c>
      <c r="AF234" s="334">
        <f t="shared" si="119"/>
        <v>-86.992265624906636</v>
      </c>
      <c r="AH234">
        <f t="shared" si="120"/>
        <v>0</v>
      </c>
      <c r="AI234">
        <f t="shared" si="125"/>
        <v>0</v>
      </c>
    </row>
    <row r="235" spans="1:35" x14ac:dyDescent="0.2">
      <c r="A235" s="335">
        <v>13884.25</v>
      </c>
      <c r="B235" s="352">
        <f t="shared" si="121"/>
        <v>13.88425</v>
      </c>
      <c r="C235" s="325">
        <f t="shared" si="96"/>
        <v>8.6697567292947006</v>
      </c>
      <c r="D235" s="326">
        <f t="shared" si="97"/>
        <v>1.4551955359299458</v>
      </c>
      <c r="E235" s="326">
        <f t="shared" si="98"/>
        <v>1.000152195402598</v>
      </c>
      <c r="F235" s="327">
        <f t="shared" si="99"/>
        <v>1.7445693006436867E-2</v>
      </c>
      <c r="G235" s="326">
        <f t="shared" si="100"/>
        <v>1</v>
      </c>
      <c r="H235" s="327">
        <f t="shared" si="101"/>
        <v>0</v>
      </c>
      <c r="I235" s="325">
        <f t="shared" si="102"/>
        <v>18428.004447062678</v>
      </c>
      <c r="J235" s="328">
        <f t="shared" si="103"/>
        <v>1.5707420615594305</v>
      </c>
      <c r="K235" s="336">
        <f t="shared" si="123"/>
        <v>3.624083067558225</v>
      </c>
      <c r="L235" s="337">
        <f t="shared" si="124"/>
        <v>1.291237255202043</v>
      </c>
      <c r="M235" s="325">
        <f t="shared" si="104"/>
        <v>1.0005643169092195</v>
      </c>
      <c r="N235" s="337">
        <f t="shared" si="105"/>
        <v>3.3587249335763375E-2</v>
      </c>
      <c r="O235" s="343">
        <f t="shared" si="106"/>
        <v>1.0032493969992318</v>
      </c>
      <c r="P235" s="691">
        <f t="shared" si="107"/>
        <v>8.0506180018181162E-2</v>
      </c>
      <c r="Q235" s="336">
        <f t="shared" si="122"/>
        <v>6.3327034146621139</v>
      </c>
      <c r="R235" s="692">
        <f t="shared" si="108"/>
        <v>8.9161343885598737E-2</v>
      </c>
      <c r="S235" s="329">
        <f t="shared" si="109"/>
        <v>1.0031619988158977</v>
      </c>
      <c r="T235" s="330">
        <f t="shared" si="110"/>
        <v>8.1586480811540671E-2</v>
      </c>
      <c r="U235" s="331">
        <f t="shared" si="111"/>
        <v>9.3990472147675757</v>
      </c>
      <c r="V235" s="332">
        <f t="shared" si="112"/>
        <v>-105.48631688236576</v>
      </c>
      <c r="W235" s="334">
        <f t="shared" si="113"/>
        <v>74.513683117634244</v>
      </c>
      <c r="Y235" s="307">
        <f t="shared" si="114"/>
        <v>1000000000</v>
      </c>
      <c r="Z235" s="307">
        <f t="shared" si="115"/>
        <v>192772398.0625</v>
      </c>
      <c r="AB235" s="333">
        <f t="shared" si="116"/>
        <v>23.576720892576567</v>
      </c>
      <c r="AC235" s="334">
        <f t="shared" si="117"/>
        <v>-17.938853410790593</v>
      </c>
      <c r="AE235" s="333">
        <f t="shared" si="118"/>
        <v>28.570774516868639</v>
      </c>
      <c r="AF235" s="334">
        <f t="shared" si="119"/>
        <v>-87.051559110411375</v>
      </c>
      <c r="AH235">
        <f t="shared" si="120"/>
        <v>0</v>
      </c>
      <c r="AI235">
        <f t="shared" si="125"/>
        <v>0</v>
      </c>
    </row>
    <row r="236" spans="1:35" x14ac:dyDescent="0.2">
      <c r="A236" s="335">
        <v>13964.5</v>
      </c>
      <c r="B236" s="352">
        <f t="shared" si="121"/>
        <v>13.964499999999999</v>
      </c>
      <c r="C236" s="325">
        <f t="shared" si="96"/>
        <v>8.7192025335189314</v>
      </c>
      <c r="D236" s="326">
        <f t="shared" si="97"/>
        <v>1.4558540082735527</v>
      </c>
      <c r="E236" s="326">
        <f t="shared" si="98"/>
        <v>1.0001539597089728</v>
      </c>
      <c r="F236" s="327">
        <f t="shared" si="99"/>
        <v>1.7546507263510293E-2</v>
      </c>
      <c r="G236" s="326">
        <f t="shared" si="100"/>
        <v>1</v>
      </c>
      <c r="H236" s="327">
        <f t="shared" si="101"/>
        <v>0</v>
      </c>
      <c r="I236" s="325">
        <f t="shared" si="102"/>
        <v>18534.517031648415</v>
      </c>
      <c r="J236" s="328">
        <f t="shared" si="103"/>
        <v>1.5707423734062662</v>
      </c>
      <c r="K236" s="336">
        <f t="shared" si="123"/>
        <v>3.6434393843615425</v>
      </c>
      <c r="L236" s="337">
        <f t="shared" si="124"/>
        <v>1.2927620615638107</v>
      </c>
      <c r="M236" s="325">
        <f t="shared" si="104"/>
        <v>1.0005708573204239</v>
      </c>
      <c r="N236" s="337">
        <f t="shared" si="105"/>
        <v>3.3781234068021262E-2</v>
      </c>
      <c r="O236" s="343">
        <f t="shared" si="106"/>
        <v>1.0032870064204571</v>
      </c>
      <c r="P236" s="691">
        <f t="shared" si="107"/>
        <v>8.0969474827435259E-2</v>
      </c>
      <c r="Q236" s="336">
        <f t="shared" si="122"/>
        <v>6.3329909101595705</v>
      </c>
      <c r="R236" s="692">
        <f t="shared" si="108"/>
        <v>8.9673990178275778E-2</v>
      </c>
      <c r="S236" s="329">
        <f t="shared" si="109"/>
        <v>1.0031985984550629</v>
      </c>
      <c r="T236" s="330">
        <f t="shared" si="110"/>
        <v>8.2056102747546683E-2</v>
      </c>
      <c r="U236" s="331">
        <f t="shared" si="111"/>
        <v>9.345431863703821</v>
      </c>
      <c r="V236" s="332">
        <f t="shared" si="112"/>
        <v>-105.47177072858351</v>
      </c>
      <c r="W236" s="334">
        <f t="shared" si="113"/>
        <v>74.528229271416492</v>
      </c>
      <c r="Y236" s="307">
        <f t="shared" si="114"/>
        <v>1000000000</v>
      </c>
      <c r="Z236" s="307">
        <f t="shared" si="115"/>
        <v>195007260.25</v>
      </c>
      <c r="AB236" s="333">
        <f t="shared" si="116"/>
        <v>23.572872908309943</v>
      </c>
      <c r="AC236" s="334">
        <f t="shared" si="117"/>
        <v>-17.862620815555388</v>
      </c>
      <c r="AE236" s="333">
        <f t="shared" si="118"/>
        <v>28.521075860707871</v>
      </c>
      <c r="AF236" s="334">
        <f t="shared" si="119"/>
        <v>-87.110417920148237</v>
      </c>
      <c r="AH236">
        <f t="shared" si="120"/>
        <v>0</v>
      </c>
      <c r="AI236">
        <f t="shared" si="125"/>
        <v>0</v>
      </c>
    </row>
    <row r="237" spans="1:35" x14ac:dyDescent="0.2">
      <c r="A237" s="335">
        <v>14044.75</v>
      </c>
      <c r="B237" s="352">
        <f t="shared" si="121"/>
        <v>14.044750000000001</v>
      </c>
      <c r="C237" s="325">
        <f t="shared" si="96"/>
        <v>8.7686520756286654</v>
      </c>
      <c r="D237" s="326">
        <f t="shared" si="97"/>
        <v>1.4565050541781626</v>
      </c>
      <c r="E237" s="326">
        <f t="shared" si="98"/>
        <v>1.0001557341803908</v>
      </c>
      <c r="F237" s="327">
        <f t="shared" si="99"/>
        <v>1.7647321163880014E-2</v>
      </c>
      <c r="G237" s="326">
        <f t="shared" si="100"/>
        <v>1</v>
      </c>
      <c r="H237" s="327">
        <f t="shared" si="101"/>
        <v>0</v>
      </c>
      <c r="I237" s="325">
        <f t="shared" si="102"/>
        <v>18641.029616235934</v>
      </c>
      <c r="J237" s="328">
        <f t="shared" si="103"/>
        <v>1.5707426816893919</v>
      </c>
      <c r="K237" s="336">
        <f t="shared" si="123"/>
        <v>3.6628040827431465</v>
      </c>
      <c r="L237" s="337">
        <f t="shared" si="124"/>
        <v>1.2942707485552847</v>
      </c>
      <c r="M237" s="325">
        <f t="shared" si="104"/>
        <v>1.0005774353826931</v>
      </c>
      <c r="N237" s="337">
        <f t="shared" si="105"/>
        <v>3.3975216256964147E-2</v>
      </c>
      <c r="O237" s="343">
        <f t="shared" si="106"/>
        <v>1.0033248311731209</v>
      </c>
      <c r="P237" s="691">
        <f t="shared" si="107"/>
        <v>8.1432734804237669E-2</v>
      </c>
      <c r="Q237" s="336">
        <f t="shared" si="122"/>
        <v>6.3332800494108872</v>
      </c>
      <c r="R237" s="692">
        <f t="shared" si="108"/>
        <v>9.0186590085610238E-2</v>
      </c>
      <c r="S237" s="329">
        <f t="shared" si="109"/>
        <v>1.0032354076853602</v>
      </c>
      <c r="T237" s="330">
        <f t="shared" si="110"/>
        <v>8.2525691274783416E-2</v>
      </c>
      <c r="U237" s="331">
        <f t="shared" si="111"/>
        <v>9.2921512937494306</v>
      </c>
      <c r="V237" s="332">
        <f t="shared" si="112"/>
        <v>-105.45771973749423</v>
      </c>
      <c r="W237" s="334">
        <f t="shared" si="113"/>
        <v>74.54228026250577</v>
      </c>
      <c r="Y237" s="307">
        <f t="shared" si="114"/>
        <v>1000000000</v>
      </c>
      <c r="Z237" s="307">
        <f t="shared" si="115"/>
        <v>197255002.5625</v>
      </c>
      <c r="AB237" s="333">
        <f t="shared" si="116"/>
        <v>23.569086171242848</v>
      </c>
      <c r="AC237" s="334">
        <f t="shared" si="117"/>
        <v>-17.787311442300723</v>
      </c>
      <c r="AE237" s="333">
        <f t="shared" si="118"/>
        <v>28.471651122970695</v>
      </c>
      <c r="AF237" s="334">
        <f t="shared" si="119"/>
        <v>-87.168849332529419</v>
      </c>
      <c r="AH237">
        <f t="shared" si="120"/>
        <v>0</v>
      </c>
      <c r="AI237">
        <f t="shared" si="125"/>
        <v>0</v>
      </c>
    </row>
    <row r="238" spans="1:35" x14ac:dyDescent="0.2">
      <c r="A238" s="335">
        <v>14125</v>
      </c>
      <c r="B238" s="352">
        <f t="shared" si="121"/>
        <v>14.125</v>
      </c>
      <c r="C238" s="325">
        <f t="shared" si="96"/>
        <v>8.8181052927407535</v>
      </c>
      <c r="D238" s="326">
        <f t="shared" si="97"/>
        <v>1.4571487980328248</v>
      </c>
      <c r="E238" s="326">
        <f t="shared" si="98"/>
        <v>1.0001575188167982</v>
      </c>
      <c r="F238" s="327">
        <f t="shared" si="99"/>
        <v>1.77481347054987E-2</v>
      </c>
      <c r="G238" s="326">
        <f t="shared" si="100"/>
        <v>1</v>
      </c>
      <c r="H238" s="327">
        <f t="shared" si="101"/>
        <v>0</v>
      </c>
      <c r="I238" s="325">
        <f t="shared" si="102"/>
        <v>18747.542200825199</v>
      </c>
      <c r="J238" s="328">
        <f t="shared" si="103"/>
        <v>1.5707429864695484</v>
      </c>
      <c r="K238" s="336">
        <f t="shared" si="123"/>
        <v>3.6821770304659962</v>
      </c>
      <c r="L238" s="337">
        <f t="shared" si="124"/>
        <v>1.2957635636791327</v>
      </c>
      <c r="M238" s="325">
        <f t="shared" si="104"/>
        <v>1.0005840510952841</v>
      </c>
      <c r="N238" s="337">
        <f t="shared" si="105"/>
        <v>3.4169195888043603E-2</v>
      </c>
      <c r="O238" s="343">
        <f t="shared" si="106"/>
        <v>1.0033628712328708</v>
      </c>
      <c r="P238" s="691">
        <f t="shared" si="107"/>
        <v>8.1895959753698774E-2</v>
      </c>
      <c r="Q238" s="336">
        <f t="shared" si="122"/>
        <v>6.3335708321909738</v>
      </c>
      <c r="R238" s="692">
        <f t="shared" si="108"/>
        <v>9.0699143349557296E-2</v>
      </c>
      <c r="S238" s="329">
        <f t="shared" si="109"/>
        <v>1.0032724264837913</v>
      </c>
      <c r="T238" s="330">
        <f t="shared" si="110"/>
        <v>8.2995246206187381E-2</v>
      </c>
      <c r="U238" s="331">
        <f t="shared" si="111"/>
        <v>9.2392011782377779</v>
      </c>
      <c r="V238" s="332">
        <f t="shared" si="112"/>
        <v>-105.44415684363457</v>
      </c>
      <c r="W238" s="334">
        <f t="shared" si="113"/>
        <v>74.555843156365427</v>
      </c>
      <c r="Y238" s="307">
        <f t="shared" si="114"/>
        <v>1000000000</v>
      </c>
      <c r="Z238" s="307">
        <f t="shared" si="115"/>
        <v>199515625</v>
      </c>
      <c r="AB238" s="333">
        <f t="shared" si="116"/>
        <v>23.565359371365329</v>
      </c>
      <c r="AC238" s="334">
        <f t="shared" si="117"/>
        <v>-17.712911112814918</v>
      </c>
      <c r="AE238" s="333">
        <f t="shared" si="118"/>
        <v>28.422497286805349</v>
      </c>
      <c r="AF238" s="334">
        <f t="shared" si="119"/>
        <v>-87.226860463921824</v>
      </c>
      <c r="AH238">
        <f t="shared" si="120"/>
        <v>0</v>
      </c>
      <c r="AI238">
        <f t="shared" si="125"/>
        <v>0</v>
      </c>
    </row>
    <row r="239" spans="1:35" x14ac:dyDescent="0.2">
      <c r="A239" s="335">
        <v>14207.25</v>
      </c>
      <c r="B239" s="352">
        <f t="shared" si="121"/>
        <v>14.20725</v>
      </c>
      <c r="C239" s="325">
        <f t="shared" si="96"/>
        <v>8.8687947379871765</v>
      </c>
      <c r="D239" s="326">
        <f t="shared" si="97"/>
        <v>1.4578011353111913</v>
      </c>
      <c r="E239" s="326">
        <f t="shared" si="98"/>
        <v>1.0001593584782138</v>
      </c>
      <c r="F239" s="327">
        <f t="shared" si="99"/>
        <v>1.7851460359720121E-2</v>
      </c>
      <c r="G239" s="326">
        <f t="shared" si="100"/>
        <v>1</v>
      </c>
      <c r="H239" s="327">
        <f t="shared" si="101"/>
        <v>0</v>
      </c>
      <c r="I239" s="325">
        <f t="shared" si="102"/>
        <v>18856.709304658358</v>
      </c>
      <c r="J239" s="328">
        <f t="shared" si="103"/>
        <v>1.5707432952725715</v>
      </c>
      <c r="K239" s="336">
        <f t="shared" si="123"/>
        <v>3.7020412178691631</v>
      </c>
      <c r="L239" s="337">
        <f t="shared" si="124"/>
        <v>1.2972773665907487</v>
      </c>
      <c r="M239" s="325">
        <f t="shared" si="104"/>
        <v>1.0005908707541693</v>
      </c>
      <c r="N239" s="337">
        <f t="shared" si="105"/>
        <v>3.4368007232952254E-2</v>
      </c>
      <c r="O239" s="343">
        <f t="shared" si="106"/>
        <v>1.0034020827286843</v>
      </c>
      <c r="P239" s="691">
        <f t="shared" si="107"/>
        <v>8.2370692698712916E-2</v>
      </c>
      <c r="Q239" s="336">
        <f t="shared" si="122"/>
        <v>6.333870567136624</v>
      </c>
      <c r="R239" s="692">
        <f t="shared" si="108"/>
        <v>9.1224421855229332E-2</v>
      </c>
      <c r="S239" s="329">
        <f t="shared" si="109"/>
        <v>1.0033105853124418</v>
      </c>
      <c r="T239" s="330">
        <f t="shared" si="110"/>
        <v>8.3476468383353375E-2</v>
      </c>
      <c r="U239" s="331">
        <f t="shared" si="111"/>
        <v>9.1852699042950761</v>
      </c>
      <c r="V239" s="332">
        <f t="shared" si="112"/>
        <v>-105.43075516588722</v>
      </c>
      <c r="W239" s="334">
        <f t="shared" si="113"/>
        <v>74.56924483411278</v>
      </c>
      <c r="Y239" s="307">
        <f t="shared" si="114"/>
        <v>1000000000</v>
      </c>
      <c r="Z239" s="307">
        <f t="shared" si="115"/>
        <v>201845952.5625</v>
      </c>
      <c r="AB239" s="333">
        <f t="shared" si="116"/>
        <v>23.561600553542348</v>
      </c>
      <c r="AC239" s="334">
        <f t="shared" si="117"/>
        <v>-17.637585338971142</v>
      </c>
      <c r="AE239" s="333">
        <f t="shared" si="118"/>
        <v>28.37239644032983</v>
      </c>
      <c r="AF239" s="334">
        <f t="shared" si="119"/>
        <v>-87.285888512716113</v>
      </c>
      <c r="AH239">
        <f t="shared" si="120"/>
        <v>0</v>
      </c>
      <c r="AI239">
        <f t="shared" si="125"/>
        <v>0</v>
      </c>
    </row>
    <row r="240" spans="1:35" x14ac:dyDescent="0.2">
      <c r="A240" s="335">
        <v>14289.5</v>
      </c>
      <c r="B240" s="352">
        <f t="shared" si="121"/>
        <v>14.2895</v>
      </c>
      <c r="C240" s="325">
        <f t="shared" si="96"/>
        <v>8.9194879143984096</v>
      </c>
      <c r="D240" s="326">
        <f t="shared" si="97"/>
        <v>1.4584460578508034</v>
      </c>
      <c r="E240" s="326">
        <f t="shared" si="98"/>
        <v>1.0001612088174823</v>
      </c>
      <c r="F240" s="327">
        <f t="shared" si="99"/>
        <v>1.7954785632731261E-2</v>
      </c>
      <c r="G240" s="326">
        <f t="shared" si="100"/>
        <v>1</v>
      </c>
      <c r="H240" s="327">
        <f t="shared" si="101"/>
        <v>0</v>
      </c>
      <c r="I240" s="325">
        <f t="shared" si="102"/>
        <v>18965.876408493292</v>
      </c>
      <c r="J240" s="328">
        <f t="shared" si="103"/>
        <v>1.5707436005206699</v>
      </c>
      <c r="K240" s="336">
        <f t="shared" si="123"/>
        <v>3.7219137983005455</v>
      </c>
      <c r="L240" s="337">
        <f t="shared" si="124"/>
        <v>1.2987750074730102</v>
      </c>
      <c r="M240" s="325">
        <f t="shared" si="104"/>
        <v>1.0005977299618205</v>
      </c>
      <c r="N240" s="337">
        <f t="shared" si="105"/>
        <v>3.4566815859971581E-2</v>
      </c>
      <c r="O240" s="343">
        <f t="shared" si="106"/>
        <v>1.0034415203448956</v>
      </c>
      <c r="P240" s="691">
        <f t="shared" si="107"/>
        <v>8.2845388434456116E-2</v>
      </c>
      <c r="Q240" s="336">
        <f t="shared" si="122"/>
        <v>6.3341720280695277</v>
      </c>
      <c r="R240" s="692">
        <f t="shared" si="108"/>
        <v>9.1749650815214162E-2</v>
      </c>
      <c r="S240" s="329">
        <f t="shared" si="109"/>
        <v>1.0033489642358249</v>
      </c>
      <c r="T240" s="330">
        <f t="shared" si="110"/>
        <v>8.3957654871626181E-2</v>
      </c>
      <c r="U240" s="331">
        <f t="shared" si="111"/>
        <v>9.1316768224468277</v>
      </c>
      <c r="V240" s="332">
        <f t="shared" si="112"/>
        <v>-105.41785158176242</v>
      </c>
      <c r="W240" s="334">
        <f t="shared" si="113"/>
        <v>74.58214841823758</v>
      </c>
      <c r="Y240" s="307">
        <f t="shared" si="114"/>
        <v>1000000000</v>
      </c>
      <c r="Z240" s="307">
        <f t="shared" si="115"/>
        <v>204189810.25</v>
      </c>
      <c r="AB240" s="333">
        <f t="shared" si="116"/>
        <v>23.557902020247028</v>
      </c>
      <c r="AC240" s="334">
        <f t="shared" si="117"/>
        <v>-17.563185221793038</v>
      </c>
      <c r="AE240" s="333">
        <f t="shared" si="118"/>
        <v>28.322573904716258</v>
      </c>
      <c r="AF240" s="334">
        <f t="shared" si="119"/>
        <v>-87.344489705291878</v>
      </c>
      <c r="AH240">
        <f t="shared" si="120"/>
        <v>0</v>
      </c>
      <c r="AI240">
        <f t="shared" si="125"/>
        <v>0</v>
      </c>
    </row>
    <row r="241" spans="1:35" x14ac:dyDescent="0.2">
      <c r="A241" s="335">
        <v>14371.75</v>
      </c>
      <c r="B241" s="352">
        <f t="shared" si="121"/>
        <v>14.37175</v>
      </c>
      <c r="C241" s="325">
        <f t="shared" si="96"/>
        <v>8.970184758716691</v>
      </c>
      <c r="D241" s="326">
        <f t="shared" si="97"/>
        <v>1.459083690828346</v>
      </c>
      <c r="E241" s="326">
        <f t="shared" si="98"/>
        <v>1.0001630698345443</v>
      </c>
      <c r="F241" s="327">
        <f t="shared" si="99"/>
        <v>1.8058110522328016E-2</v>
      </c>
      <c r="G241" s="326">
        <f t="shared" si="100"/>
        <v>1</v>
      </c>
      <c r="H241" s="327">
        <f t="shared" si="101"/>
        <v>0</v>
      </c>
      <c r="I241" s="325">
        <f t="shared" si="102"/>
        <v>19075.043512329972</v>
      </c>
      <c r="J241" s="328">
        <f t="shared" si="103"/>
        <v>1.5707439022748786</v>
      </c>
      <c r="K241" s="336">
        <f t="shared" si="123"/>
        <v>3.7417946380346385</v>
      </c>
      <c r="L241" s="337">
        <f t="shared" si="124"/>
        <v>1.3002567371691129</v>
      </c>
      <c r="M241" s="325">
        <f t="shared" si="104"/>
        <v>1.0006046287174237</v>
      </c>
      <c r="N241" s="337">
        <f t="shared" si="105"/>
        <v>3.4765621753441861E-2</v>
      </c>
      <c r="O241" s="343">
        <f t="shared" si="106"/>
        <v>1.0034811840548445</v>
      </c>
      <c r="P241" s="691">
        <f t="shared" si="107"/>
        <v>8.3320046751396024E-2</v>
      </c>
      <c r="Q241" s="336">
        <f t="shared" si="122"/>
        <v>6.3344752147433026</v>
      </c>
      <c r="R241" s="692">
        <f t="shared" si="108"/>
        <v>9.2274829952162643E-2</v>
      </c>
      <c r="S241" s="329">
        <f t="shared" si="109"/>
        <v>1.0033875632287639</v>
      </c>
      <c r="T241" s="330">
        <f t="shared" si="110"/>
        <v>8.443880546987971E-2</v>
      </c>
      <c r="U241" s="331">
        <f t="shared" si="111"/>
        <v>9.0784175383282033</v>
      </c>
      <c r="V241" s="332">
        <f t="shared" si="112"/>
        <v>-105.40543887841629</v>
      </c>
      <c r="W241" s="334">
        <f t="shared" si="113"/>
        <v>74.594561121583709</v>
      </c>
      <c r="Y241" s="307">
        <f t="shared" si="114"/>
        <v>1000000000</v>
      </c>
      <c r="Z241" s="307">
        <f t="shared" si="115"/>
        <v>206547198.0625</v>
      </c>
      <c r="AB241" s="333">
        <f t="shared" si="116"/>
        <v>23.554262469540173</v>
      </c>
      <c r="AC241" s="334">
        <f t="shared" si="117"/>
        <v>-17.489696391623951</v>
      </c>
      <c r="AE241" s="333">
        <f t="shared" si="118"/>
        <v>28.273026587325578</v>
      </c>
      <c r="AF241" s="334">
        <f t="shared" si="119"/>
        <v>-87.402671202347491</v>
      </c>
      <c r="AH241">
        <f t="shared" si="120"/>
        <v>0</v>
      </c>
      <c r="AI241">
        <f t="shared" si="125"/>
        <v>0</v>
      </c>
    </row>
    <row r="242" spans="1:35" x14ac:dyDescent="0.2">
      <c r="A242" s="335">
        <v>14454</v>
      </c>
      <c r="B242" s="352">
        <f t="shared" si="121"/>
        <v>14.454000000000001</v>
      </c>
      <c r="C242" s="325">
        <f t="shared" si="96"/>
        <v>9.020885209101758</v>
      </c>
      <c r="D242" s="326">
        <f t="shared" si="97"/>
        <v>1.4597141566303786</v>
      </c>
      <c r="E242" s="326">
        <f t="shared" si="98"/>
        <v>1.0001649415293403</v>
      </c>
      <c r="F242" s="327">
        <f t="shared" si="99"/>
        <v>1.8161435026306336E-2</v>
      </c>
      <c r="G242" s="326">
        <f t="shared" si="100"/>
        <v>1</v>
      </c>
      <c r="H242" s="327">
        <f t="shared" si="101"/>
        <v>0</v>
      </c>
      <c r="I242" s="325">
        <f t="shared" si="102"/>
        <v>19184.21061616837</v>
      </c>
      <c r="J242" s="328">
        <f t="shared" si="103"/>
        <v>1.5707442005948429</v>
      </c>
      <c r="K242" s="336">
        <f t="shared" si="123"/>
        <v>3.7616836061179488</v>
      </c>
      <c r="L242" s="337">
        <f t="shared" si="124"/>
        <v>1.3017228014999518</v>
      </c>
      <c r="M242" s="325">
        <f t="shared" si="104"/>
        <v>1.0006115670201612</v>
      </c>
      <c r="N242" s="337">
        <f t="shared" si="105"/>
        <v>3.4964424897704689E-2</v>
      </c>
      <c r="O242" s="343">
        <f t="shared" si="106"/>
        <v>1.0035210738317224</v>
      </c>
      <c r="P242" s="691">
        <f t="shared" si="107"/>
        <v>8.3794667440100737E-2</v>
      </c>
      <c r="Q242" s="336">
        <f t="shared" si="122"/>
        <v>6.3347801269102009</v>
      </c>
      <c r="R242" s="692">
        <f t="shared" si="108"/>
        <v>9.2799958988887196E-2</v>
      </c>
      <c r="S242" s="329">
        <f t="shared" si="109"/>
        <v>1.0034263822659404</v>
      </c>
      <c r="T242" s="330">
        <f t="shared" si="110"/>
        <v>8.4919919977081537E-2</v>
      </c>
      <c r="U242" s="331">
        <f t="shared" si="111"/>
        <v>9.0254877421753683</v>
      </c>
      <c r="V242" s="332">
        <f t="shared" si="112"/>
        <v>-105.39350997082845</v>
      </c>
      <c r="W242" s="334">
        <f t="shared" si="113"/>
        <v>74.606490029171553</v>
      </c>
      <c r="Y242" s="307">
        <f t="shared" si="114"/>
        <v>1000000000</v>
      </c>
      <c r="Z242" s="307">
        <f t="shared" si="115"/>
        <v>208918116</v>
      </c>
      <c r="AB242" s="333">
        <f t="shared" si="116"/>
        <v>23.55068063383667</v>
      </c>
      <c r="AC242" s="334">
        <f t="shared" si="117"/>
        <v>-17.417104766484368</v>
      </c>
      <c r="AE242" s="333">
        <f t="shared" si="118"/>
        <v>28.223751445764531</v>
      </c>
      <c r="AF242" s="334">
        <f t="shared" si="119"/>
        <v>-87.460440004724248</v>
      </c>
      <c r="AH242">
        <f t="shared" si="120"/>
        <v>0</v>
      </c>
      <c r="AI242">
        <f t="shared" si="125"/>
        <v>0</v>
      </c>
    </row>
    <row r="243" spans="1:35" x14ac:dyDescent="0.2">
      <c r="A243" s="335">
        <v>14622.5</v>
      </c>
      <c r="B243" s="352">
        <f t="shared" si="121"/>
        <v>14.6225</v>
      </c>
      <c r="C243" s="325">
        <f t="shared" si="96"/>
        <v>9.1247627928370001</v>
      </c>
      <c r="D243" s="326">
        <f t="shared" si="97"/>
        <v>1.4609838692200867</v>
      </c>
      <c r="E243" s="326">
        <f t="shared" si="98"/>
        <v>1.0001688092873837</v>
      </c>
      <c r="F243" s="327">
        <f t="shared" si="99"/>
        <v>1.8373107720669177E-2</v>
      </c>
      <c r="G243" s="326">
        <f t="shared" si="100"/>
        <v>1</v>
      </c>
      <c r="H243" s="327">
        <f t="shared" si="101"/>
        <v>0</v>
      </c>
      <c r="I243" s="325">
        <f t="shared" si="102"/>
        <v>19407.853862334949</v>
      </c>
      <c r="J243" s="328">
        <f t="shared" si="103"/>
        <v>1.5707448012626284</v>
      </c>
      <c r="K243" s="336">
        <f t="shared" si="123"/>
        <v>3.8024536322601628</v>
      </c>
      <c r="L243" s="337">
        <f t="shared" si="124"/>
        <v>1.3046783189252957</v>
      </c>
      <c r="M243" s="325">
        <f t="shared" si="104"/>
        <v>1.0006259045435524</v>
      </c>
      <c r="N243" s="337">
        <f t="shared" si="105"/>
        <v>3.5371690773143179E-2</v>
      </c>
      <c r="O243" s="343">
        <f t="shared" si="106"/>
        <v>1.003603499153529</v>
      </c>
      <c r="P243" s="691">
        <f t="shared" si="107"/>
        <v>8.4766872288575087E-2</v>
      </c>
      <c r="Q243" s="336">
        <f t="shared" si="122"/>
        <v>6.3354101670541443</v>
      </c>
      <c r="R243" s="692">
        <f t="shared" si="108"/>
        <v>9.3875597634153166E-2</v>
      </c>
      <c r="S243" s="329">
        <f t="shared" si="109"/>
        <v>1.003506595234785</v>
      </c>
      <c r="T243" s="330">
        <f t="shared" si="110"/>
        <v>8.590543310697453E-2</v>
      </c>
      <c r="U243" s="331">
        <f t="shared" si="111"/>
        <v>8.9180652429699077</v>
      </c>
      <c r="V243" s="332">
        <f t="shared" si="112"/>
        <v>-105.37055361115648</v>
      </c>
      <c r="W243" s="334">
        <f t="shared" si="113"/>
        <v>74.629446388843519</v>
      </c>
      <c r="Y243" s="307">
        <f t="shared" si="114"/>
        <v>1000000000</v>
      </c>
      <c r="Z243" s="307">
        <f t="shared" si="115"/>
        <v>213817506.25</v>
      </c>
      <c r="AB243" s="333">
        <f t="shared" si="116"/>
        <v>23.543517833997441</v>
      </c>
      <c r="AC243" s="334">
        <f t="shared" si="117"/>
        <v>-17.271135123099313</v>
      </c>
      <c r="AE243" s="333">
        <f t="shared" si="118"/>
        <v>28.123642182667506</v>
      </c>
      <c r="AF243" s="334">
        <f t="shared" si="119"/>
        <v>-87.577526968415384</v>
      </c>
      <c r="AH243">
        <f t="shared" si="120"/>
        <v>0</v>
      </c>
      <c r="AI243">
        <f t="shared" si="125"/>
        <v>0</v>
      </c>
    </row>
    <row r="244" spans="1:35" x14ac:dyDescent="0.2">
      <c r="A244" s="335">
        <v>14706.75</v>
      </c>
      <c r="B244" s="352">
        <f t="shared" si="121"/>
        <v>14.70675</v>
      </c>
      <c r="C244" s="325">
        <f t="shared" si="96"/>
        <v>9.1767070075355353</v>
      </c>
      <c r="D244" s="326">
        <f t="shared" si="97"/>
        <v>1.4616079454370119</v>
      </c>
      <c r="E244" s="326">
        <f t="shared" si="98"/>
        <v>1.0001707599711425</v>
      </c>
      <c r="F244" s="327">
        <f t="shared" si="99"/>
        <v>1.8478943451560353E-2</v>
      </c>
      <c r="G244" s="326">
        <f t="shared" si="100"/>
        <v>1</v>
      </c>
      <c r="H244" s="327">
        <f t="shared" si="101"/>
        <v>0</v>
      </c>
      <c r="I244" s="325">
        <f t="shared" si="102"/>
        <v>19519.675485420816</v>
      </c>
      <c r="J244" s="328">
        <f t="shared" si="103"/>
        <v>1.5707450964349869</v>
      </c>
      <c r="K244" s="336">
        <f t="shared" si="123"/>
        <v>3.8228509015789127</v>
      </c>
      <c r="L244" s="337">
        <f t="shared" si="124"/>
        <v>1.3061324312442177</v>
      </c>
      <c r="M244" s="325">
        <f t="shared" si="104"/>
        <v>1.0006331355423985</v>
      </c>
      <c r="N244" s="337">
        <f t="shared" si="105"/>
        <v>3.557531931735796E-2</v>
      </c>
      <c r="O244" s="343">
        <f t="shared" si="106"/>
        <v>1.0036450674911068</v>
      </c>
      <c r="P244" s="691">
        <f t="shared" si="107"/>
        <v>8.5252914600667792E-2</v>
      </c>
      <c r="Q244" s="336">
        <f t="shared" si="122"/>
        <v>6.335727901701417</v>
      </c>
      <c r="R244" s="692">
        <f t="shared" si="108"/>
        <v>9.4413336927599095E-2</v>
      </c>
      <c r="S244" s="329">
        <f t="shared" si="109"/>
        <v>1.0035470479235762</v>
      </c>
      <c r="T244" s="330">
        <f t="shared" si="110"/>
        <v>8.6398132014782913E-2</v>
      </c>
      <c r="U244" s="331">
        <f t="shared" si="111"/>
        <v>8.8648548473224693</v>
      </c>
      <c r="V244" s="332">
        <f t="shared" si="112"/>
        <v>-105.35980766009008</v>
      </c>
      <c r="W244" s="334">
        <f t="shared" si="113"/>
        <v>74.640192339909916</v>
      </c>
      <c r="Y244" s="307">
        <f t="shared" si="114"/>
        <v>1000000000</v>
      </c>
      <c r="Z244" s="307">
        <f t="shared" si="115"/>
        <v>216288495.5625</v>
      </c>
      <c r="AB244" s="333">
        <f t="shared" si="116"/>
        <v>23.540022131304102</v>
      </c>
      <c r="AC244" s="334">
        <f t="shared" si="117"/>
        <v>-17.199504592507527</v>
      </c>
      <c r="AE244" s="333">
        <f t="shared" si="118"/>
        <v>28.074003340971263</v>
      </c>
      <c r="AF244" s="334">
        <f t="shared" si="119"/>
        <v>-87.635449529092242</v>
      </c>
      <c r="AH244">
        <f t="shared" si="120"/>
        <v>0</v>
      </c>
      <c r="AI244">
        <f t="shared" si="125"/>
        <v>0</v>
      </c>
    </row>
    <row r="245" spans="1:35" x14ac:dyDescent="0.2">
      <c r="A245" s="335">
        <v>14791</v>
      </c>
      <c r="B245" s="352">
        <f t="shared" si="121"/>
        <v>14.791</v>
      </c>
      <c r="C245" s="325">
        <f t="shared" si="96"/>
        <v>9.2286547560618768</v>
      </c>
      <c r="D245" s="326">
        <f t="shared" si="97"/>
        <v>1.4622249960891753</v>
      </c>
      <c r="E245" s="326">
        <f t="shared" si="98"/>
        <v>1.0001727218579723</v>
      </c>
      <c r="F245" s="327">
        <f t="shared" si="99"/>
        <v>1.8584778768433272E-2</v>
      </c>
      <c r="G245" s="326">
        <f t="shared" si="100"/>
        <v>1</v>
      </c>
      <c r="H245" s="327">
        <f t="shared" si="101"/>
        <v>0</v>
      </c>
      <c r="I245" s="325">
        <f t="shared" si="102"/>
        <v>19631.497108508367</v>
      </c>
      <c r="J245" s="328">
        <f t="shared" si="103"/>
        <v>1.5707453882447235</v>
      </c>
      <c r="K245" s="336">
        <f t="shared" si="123"/>
        <v>3.8432561682869544</v>
      </c>
      <c r="L245" s="337">
        <f t="shared" si="124"/>
        <v>1.3075711057393682</v>
      </c>
      <c r="M245" s="325">
        <f t="shared" si="104"/>
        <v>1.0006404080314808</v>
      </c>
      <c r="N245" s="337">
        <f t="shared" si="105"/>
        <v>3.5778944910138687E-2</v>
      </c>
      <c r="O245" s="343">
        <f t="shared" si="106"/>
        <v>1.0036868729072423</v>
      </c>
      <c r="P245" s="691">
        <f t="shared" si="107"/>
        <v>8.5738916538440249E-2</v>
      </c>
      <c r="Q245" s="336">
        <f t="shared" si="122"/>
        <v>6.3360474457031213</v>
      </c>
      <c r="R245" s="692">
        <f t="shared" si="108"/>
        <v>9.495102247194076E-2</v>
      </c>
      <c r="S245" s="329">
        <f t="shared" si="109"/>
        <v>1.0035877313782346</v>
      </c>
      <c r="T245" s="330">
        <f t="shared" si="110"/>
        <v>8.6890792196941236E-2</v>
      </c>
      <c r="U245" s="331">
        <f t="shared" si="111"/>
        <v>8.8119726122877573</v>
      </c>
      <c r="V245" s="332">
        <f t="shared" si="112"/>
        <v>-105.34954037277937</v>
      </c>
      <c r="W245" s="334">
        <f t="shared" si="113"/>
        <v>74.650459627220627</v>
      </c>
      <c r="Y245" s="307">
        <f t="shared" si="114"/>
        <v>1000000000</v>
      </c>
      <c r="Z245" s="307">
        <f t="shared" si="115"/>
        <v>218773681</v>
      </c>
      <c r="AB245" s="333">
        <f t="shared" si="116"/>
        <v>23.536581917281822</v>
      </c>
      <c r="AC245" s="334">
        <f t="shared" si="117"/>
        <v>-17.128758222294962</v>
      </c>
      <c r="AE245" s="333">
        <f t="shared" si="118"/>
        <v>28.024637592985219</v>
      </c>
      <c r="AF245" s="334">
        <f t="shared" si="119"/>
        <v>-87.692967359464305</v>
      </c>
      <c r="AH245">
        <f t="shared" si="120"/>
        <v>0</v>
      </c>
      <c r="AI245">
        <f t="shared" si="125"/>
        <v>0</v>
      </c>
    </row>
    <row r="246" spans="1:35" x14ac:dyDescent="0.2">
      <c r="A246" s="335">
        <v>14877.25</v>
      </c>
      <c r="B246" s="352">
        <f t="shared" si="121"/>
        <v>14.87725</v>
      </c>
      <c r="C246" s="325">
        <f t="shared" si="96"/>
        <v>9.281839284270017</v>
      </c>
      <c r="D246" s="326">
        <f t="shared" si="97"/>
        <v>1.4628495397895145</v>
      </c>
      <c r="E246" s="326">
        <f t="shared" si="98"/>
        <v>1.0001747419228644</v>
      </c>
      <c r="F246" s="327">
        <f t="shared" si="99"/>
        <v>1.8693126065038895E-2</v>
      </c>
      <c r="G246" s="326">
        <f t="shared" si="100"/>
        <v>1</v>
      </c>
      <c r="H246" s="327">
        <f t="shared" si="101"/>
        <v>0</v>
      </c>
      <c r="I246" s="325">
        <f t="shared" si="102"/>
        <v>19745.973250840067</v>
      </c>
      <c r="J246" s="328">
        <f t="shared" si="103"/>
        <v>1.5707456835580338</v>
      </c>
      <c r="K246" s="336">
        <f t="shared" si="123"/>
        <v>3.8641539851536741</v>
      </c>
      <c r="L246" s="337">
        <f t="shared" si="124"/>
        <v>1.3090281900370446</v>
      </c>
      <c r="M246" s="325">
        <f t="shared" si="104"/>
        <v>1.0006478961396326</v>
      </c>
      <c r="N246" s="337">
        <f t="shared" si="105"/>
        <v>3.5987401269960216E-2</v>
      </c>
      <c r="O246" s="343">
        <f t="shared" si="106"/>
        <v>1.0037299162932123</v>
      </c>
      <c r="P246" s="691">
        <f t="shared" si="107"/>
        <v>8.62364135564197E-2</v>
      </c>
      <c r="Q246" s="336">
        <f t="shared" si="122"/>
        <v>6.3363764493256367</v>
      </c>
      <c r="R246" s="692">
        <f t="shared" si="108"/>
        <v>9.5501416076549342E-2</v>
      </c>
      <c r="S246" s="329">
        <f t="shared" si="109"/>
        <v>1.0036296196310934</v>
      </c>
      <c r="T246" s="330">
        <f t="shared" si="110"/>
        <v>8.7395107235747713E-2</v>
      </c>
      <c r="U246" s="331">
        <f t="shared" si="111"/>
        <v>8.758170562546189</v>
      </c>
      <c r="V246" s="332">
        <f t="shared" si="112"/>
        <v>-105.3395179317199</v>
      </c>
      <c r="W246" s="334">
        <f t="shared" si="113"/>
        <v>74.660482068280103</v>
      </c>
      <c r="Y246" s="307">
        <f t="shared" si="114"/>
        <v>1000000000</v>
      </c>
      <c r="Z246" s="307">
        <f t="shared" si="115"/>
        <v>221332567.5625</v>
      </c>
      <c r="AB246" s="333">
        <f t="shared" si="116"/>
        <v>23.53311627276689</v>
      </c>
      <c r="AC246" s="334">
        <f t="shared" si="117"/>
        <v>-17.05723403139833</v>
      </c>
      <c r="AE246" s="333">
        <f t="shared" si="118"/>
        <v>27.974379708079226</v>
      </c>
      <c r="AF246" s="334">
        <f t="shared" si="119"/>
        <v>-87.75143835813347</v>
      </c>
      <c r="AH246">
        <f t="shared" si="120"/>
        <v>0</v>
      </c>
      <c r="AI246">
        <f t="shared" si="125"/>
        <v>0</v>
      </c>
    </row>
    <row r="247" spans="1:35" x14ac:dyDescent="0.2">
      <c r="A247" s="335">
        <v>14963.5</v>
      </c>
      <c r="B247" s="352">
        <f t="shared" si="121"/>
        <v>14.9635</v>
      </c>
      <c r="C247" s="325">
        <f t="shared" si="96"/>
        <v>9.3350273916502484</v>
      </c>
      <c r="D247" s="326">
        <f t="shared" si="97"/>
        <v>1.4634669668135818</v>
      </c>
      <c r="E247" s="326">
        <f t="shared" si="98"/>
        <v>1.0001767737288969</v>
      </c>
      <c r="F247" s="327">
        <f t="shared" si="99"/>
        <v>1.880147292271285E-2</v>
      </c>
      <c r="G247" s="326">
        <f t="shared" si="100"/>
        <v>1</v>
      </c>
      <c r="H247" s="327">
        <f t="shared" si="101"/>
        <v>0</v>
      </c>
      <c r="I247" s="325">
        <f t="shared" si="102"/>
        <v>19860.449393173465</v>
      </c>
      <c r="J247" s="328">
        <f t="shared" si="103"/>
        <v>1.570745975466957</v>
      </c>
      <c r="K247" s="336">
        <f t="shared" si="123"/>
        <v>3.8850599177163643</v>
      </c>
      <c r="L247" s="337">
        <f t="shared" si="124"/>
        <v>1.3104695959074684</v>
      </c>
      <c r="M247" s="325">
        <f t="shared" si="104"/>
        <v>1.0006554277293402</v>
      </c>
      <c r="N247" s="337">
        <f t="shared" si="105"/>
        <v>3.6195854500880927E-2</v>
      </c>
      <c r="O247" s="343">
        <f t="shared" si="106"/>
        <v>1.0037732080842898</v>
      </c>
      <c r="P247" s="691">
        <f t="shared" si="107"/>
        <v>8.673386778435821E-2</v>
      </c>
      <c r="Q247" s="336">
        <f t="shared" si="122"/>
        <v>6.3367073486441585</v>
      </c>
      <c r="R247" s="692">
        <f t="shared" si="108"/>
        <v>9.6051752720137981E-2</v>
      </c>
      <c r="S247" s="329">
        <f t="shared" si="109"/>
        <v>1.0036717496766021</v>
      </c>
      <c r="T247" s="330">
        <f t="shared" si="110"/>
        <v>8.789938123144668E-2</v>
      </c>
      <c r="U247" s="331">
        <f t="shared" si="111"/>
        <v>8.7047036100795339</v>
      </c>
      <c r="V247" s="332">
        <f t="shared" si="112"/>
        <v>-105.32998253014237</v>
      </c>
      <c r="W247" s="334">
        <f t="shared" si="113"/>
        <v>74.670017469857626</v>
      </c>
      <c r="Y247" s="307">
        <f t="shared" si="114"/>
        <v>1000000000</v>
      </c>
      <c r="Z247" s="307">
        <f t="shared" si="115"/>
        <v>223906332.25</v>
      </c>
      <c r="AB247" s="333">
        <f t="shared" si="116"/>
        <v>23.529706289559982</v>
      </c>
      <c r="AC247" s="334">
        <f t="shared" si="117"/>
        <v>-16.9866077738839</v>
      </c>
      <c r="AE247" s="333">
        <f t="shared" si="118"/>
        <v>27.924401700667389</v>
      </c>
      <c r="AF247" s="334">
        <f t="shared" si="119"/>
        <v>-87.809499274839709</v>
      </c>
      <c r="AH247">
        <f t="shared" si="120"/>
        <v>0</v>
      </c>
      <c r="AI247">
        <f t="shared" si="125"/>
        <v>0</v>
      </c>
    </row>
    <row r="248" spans="1:35" x14ac:dyDescent="0.2">
      <c r="A248" s="335">
        <v>15049.75</v>
      </c>
      <c r="B248" s="352">
        <f t="shared" si="121"/>
        <v>15.04975</v>
      </c>
      <c r="C248" s="325">
        <f t="shared" si="96"/>
        <v>9.3882190173701421</v>
      </c>
      <c r="D248" s="326">
        <f t="shared" si="97"/>
        <v>1.4640773976512464</v>
      </c>
      <c r="E248" s="326">
        <f t="shared" si="98"/>
        <v>1.0001788172759982</v>
      </c>
      <c r="F248" s="327">
        <f t="shared" si="99"/>
        <v>1.8909819338914037E-2</v>
      </c>
      <c r="G248" s="326">
        <f t="shared" si="100"/>
        <v>1</v>
      </c>
      <c r="H248" s="327">
        <f t="shared" si="101"/>
        <v>0</v>
      </c>
      <c r="I248" s="325">
        <f t="shared" si="102"/>
        <v>19974.925535508537</v>
      </c>
      <c r="J248" s="328">
        <f t="shared" si="103"/>
        <v>1.5707462640300247</v>
      </c>
      <c r="K248" s="336">
        <f t="shared" si="123"/>
        <v>3.905973835662178</v>
      </c>
      <c r="L248" s="337">
        <f t="shared" si="124"/>
        <v>1.3118955691555456</v>
      </c>
      <c r="M248" s="325">
        <f t="shared" si="104"/>
        <v>1.0006630027996219</v>
      </c>
      <c r="N248" s="337">
        <f t="shared" si="105"/>
        <v>3.6404304584855947E-2</v>
      </c>
      <c r="O248" s="343">
        <f t="shared" si="106"/>
        <v>1.0038167482483362</v>
      </c>
      <c r="P248" s="691">
        <f t="shared" si="107"/>
        <v>8.7231278981607263E-2</v>
      </c>
      <c r="Q248" s="336">
        <f t="shared" si="122"/>
        <v>6.3370401433617722</v>
      </c>
      <c r="R248" s="692">
        <f t="shared" si="108"/>
        <v>9.6602032084443928E-2</v>
      </c>
      <c r="S248" s="329">
        <f t="shared" si="109"/>
        <v>1.0037141214844076</v>
      </c>
      <c r="T248" s="330">
        <f t="shared" si="110"/>
        <v>8.8403613953018392E-2</v>
      </c>
      <c r="U248" s="331">
        <f t="shared" si="111"/>
        <v>8.6515674169699199</v>
      </c>
      <c r="V248" s="332">
        <f t="shared" si="112"/>
        <v>-105.32092697280596</v>
      </c>
      <c r="W248" s="334">
        <f t="shared" si="113"/>
        <v>74.679073027194036</v>
      </c>
      <c r="Y248" s="307">
        <f t="shared" si="114"/>
        <v>1000000000</v>
      </c>
      <c r="Z248" s="307">
        <f t="shared" si="115"/>
        <v>226494975.0625</v>
      </c>
      <c r="AB248" s="333">
        <f t="shared" si="116"/>
        <v>23.526350756429327</v>
      </c>
      <c r="AC248" s="334">
        <f t="shared" si="117"/>
        <v>-16.916865368487635</v>
      </c>
      <c r="AE248" s="333">
        <f t="shared" si="118"/>
        <v>27.874700443806873</v>
      </c>
      <c r="AF248" s="334">
        <f t="shared" si="119"/>
        <v>-87.867157000053169</v>
      </c>
      <c r="AH248">
        <f t="shared" si="120"/>
        <v>0</v>
      </c>
      <c r="AI248">
        <f t="shared" si="125"/>
        <v>0</v>
      </c>
    </row>
    <row r="249" spans="1:35" x14ac:dyDescent="0.2">
      <c r="A249" s="335">
        <v>15136</v>
      </c>
      <c r="B249" s="352">
        <f t="shared" si="121"/>
        <v>15.135999999999999</v>
      </c>
      <c r="C249" s="325">
        <f t="shared" si="96"/>
        <v>9.441414101964174</v>
      </c>
      <c r="D249" s="326">
        <f t="shared" si="97"/>
        <v>1.4646809500980342</v>
      </c>
      <c r="E249" s="326">
        <f t="shared" si="98"/>
        <v>1.0001808725640968</v>
      </c>
      <c r="F249" s="327">
        <f t="shared" si="99"/>
        <v>1.9018165311101429E-2</v>
      </c>
      <c r="G249" s="326">
        <f t="shared" si="100"/>
        <v>1</v>
      </c>
      <c r="H249" s="327">
        <f t="shared" si="101"/>
        <v>0</v>
      </c>
      <c r="I249" s="325">
        <f t="shared" si="102"/>
        <v>20089.401677845253</v>
      </c>
      <c r="J249" s="328">
        <f t="shared" si="103"/>
        <v>1.5707465493044344</v>
      </c>
      <c r="K249" s="336">
        <f t="shared" si="123"/>
        <v>3.926895611405107</v>
      </c>
      <c r="L249" s="337">
        <f t="shared" si="124"/>
        <v>1.3133063506018257</v>
      </c>
      <c r="M249" s="325">
        <f t="shared" si="104"/>
        <v>1.00067062134949</v>
      </c>
      <c r="N249" s="337">
        <f t="shared" si="105"/>
        <v>3.661275150384203E-2</v>
      </c>
      <c r="O249" s="343">
        <f t="shared" si="106"/>
        <v>1.0038605367530333</v>
      </c>
      <c r="P249" s="691">
        <f t="shared" si="107"/>
        <v>8.7728646907645189E-2</v>
      </c>
      <c r="Q249" s="336">
        <f t="shared" si="122"/>
        <v>6.3373748331799238</v>
      </c>
      <c r="R249" s="692">
        <f t="shared" si="108"/>
        <v>9.7152253851408063E-2</v>
      </c>
      <c r="S249" s="329">
        <f t="shared" si="109"/>
        <v>1.0037567350239884</v>
      </c>
      <c r="T249" s="330">
        <f t="shared" si="110"/>
        <v>8.8907805169561427E-2</v>
      </c>
      <c r="U249" s="331">
        <f t="shared" si="111"/>
        <v>8.5987577286205568</v>
      </c>
      <c r="V249" s="332">
        <f t="shared" si="112"/>
        <v>-105.31234419561282</v>
      </c>
      <c r="W249" s="334">
        <f t="shared" si="113"/>
        <v>74.687655804387177</v>
      </c>
      <c r="Y249" s="307">
        <f t="shared" si="114"/>
        <v>1000000000</v>
      </c>
      <c r="Z249" s="307">
        <f t="shared" si="115"/>
        <v>229098496</v>
      </c>
      <c r="AB249" s="333">
        <f t="shared" si="116"/>
        <v>23.523048494342504</v>
      </c>
      <c r="AC249" s="334">
        <f t="shared" si="117"/>
        <v>-16.84799301945182</v>
      </c>
      <c r="AE249" s="333">
        <f t="shared" si="118"/>
        <v>27.825272861675177</v>
      </c>
      <c r="AF249" s="334">
        <f t="shared" si="119"/>
        <v>-87.924418269876242</v>
      </c>
      <c r="AH249">
        <f t="shared" si="120"/>
        <v>0</v>
      </c>
      <c r="AI249">
        <f t="shared" si="125"/>
        <v>0</v>
      </c>
    </row>
    <row r="250" spans="1:35" x14ac:dyDescent="0.2">
      <c r="A250" s="335">
        <v>15224</v>
      </c>
      <c r="B250" s="352">
        <f t="shared" si="121"/>
        <v>15.224</v>
      </c>
      <c r="C250" s="325">
        <f t="shared" si="96"/>
        <v>9.4956920116549473</v>
      </c>
      <c r="D250" s="326">
        <f t="shared" si="97"/>
        <v>1.465289778881645</v>
      </c>
      <c r="E250" s="326">
        <f t="shared" si="98"/>
        <v>1.0001829816543661</v>
      </c>
      <c r="F250" s="327">
        <f t="shared" si="99"/>
        <v>1.9128709147107001E-2</v>
      </c>
      <c r="G250" s="326">
        <f t="shared" si="100"/>
        <v>1</v>
      </c>
      <c r="H250" s="327">
        <f t="shared" si="101"/>
        <v>0</v>
      </c>
      <c r="I250" s="325">
        <f t="shared" si="102"/>
        <v>20206.200524520904</v>
      </c>
      <c r="J250" s="328">
        <f t="shared" si="103"/>
        <v>1.5707468370355926</v>
      </c>
      <c r="K250" s="336">
        <f t="shared" si="123"/>
        <v>3.9482498558967691</v>
      </c>
      <c r="L250" s="337">
        <f t="shared" si="124"/>
        <v>1.3147303441191807</v>
      </c>
      <c r="M250" s="325">
        <f t="shared" si="104"/>
        <v>1.0006784392894286</v>
      </c>
      <c r="N250" s="337">
        <f t="shared" si="105"/>
        <v>3.6825424499918345E-2</v>
      </c>
      <c r="O250" s="343">
        <f t="shared" si="106"/>
        <v>1.0039054696363878</v>
      </c>
      <c r="P250" s="691">
        <f t="shared" si="107"/>
        <v>8.8236061510317057E-2</v>
      </c>
      <c r="Q250" s="336">
        <f t="shared" si="122"/>
        <v>6.3377182666620886</v>
      </c>
      <c r="R250" s="692">
        <f t="shared" si="108"/>
        <v>9.7713579846313389E-2</v>
      </c>
      <c r="S250" s="329">
        <f t="shared" si="109"/>
        <v>1.003800462292852</v>
      </c>
      <c r="T250" s="330">
        <f t="shared" si="110"/>
        <v>8.9422183336586608E-2</v>
      </c>
      <c r="U250" s="331">
        <f t="shared" si="111"/>
        <v>8.5452087184910486</v>
      </c>
      <c r="V250" s="332">
        <f t="shared" si="112"/>
        <v>-105.30406734565702</v>
      </c>
      <c r="W250" s="334">
        <f t="shared" si="113"/>
        <v>74.695932654342982</v>
      </c>
      <c r="Y250" s="307">
        <f t="shared" si="114"/>
        <v>1000000000</v>
      </c>
      <c r="Z250" s="307">
        <f t="shared" si="115"/>
        <v>231770176</v>
      </c>
      <c r="AB250" s="333">
        <f t="shared" si="116"/>
        <v>23.519732942282797</v>
      </c>
      <c r="AC250" s="334">
        <f t="shared" si="117"/>
        <v>-16.778605951646679</v>
      </c>
      <c r="AE250" s="333">
        <f t="shared" si="118"/>
        <v>27.775121322018116</v>
      </c>
      <c r="AF250" s="334">
        <f t="shared" si="119"/>
        <v>-87.982439592479437</v>
      </c>
      <c r="AH250">
        <f t="shared" si="120"/>
        <v>0</v>
      </c>
      <c r="AI250">
        <f t="shared" si="125"/>
        <v>0</v>
      </c>
    </row>
    <row r="251" spans="1:35" x14ac:dyDescent="0.2">
      <c r="A251" s="335">
        <v>15312</v>
      </c>
      <c r="B251" s="352">
        <f t="shared" si="121"/>
        <v>15.311999999999999</v>
      </c>
      <c r="C251" s="325">
        <f t="shared" si="96"/>
        <v>9.5499734011268025</v>
      </c>
      <c r="D251" s="326">
        <f t="shared" si="97"/>
        <v>1.4658916868047138</v>
      </c>
      <c r="E251" s="326">
        <f t="shared" si="98"/>
        <v>1.0001851029667597</v>
      </c>
      <c r="F251" s="327">
        <f t="shared" si="99"/>
        <v>1.9239252515554171E-2</v>
      </c>
      <c r="G251" s="326">
        <f t="shared" si="100"/>
        <v>1</v>
      </c>
      <c r="H251" s="327">
        <f t="shared" si="101"/>
        <v>0</v>
      </c>
      <c r="I251" s="325">
        <f t="shared" si="102"/>
        <v>20322.999371198206</v>
      </c>
      <c r="J251" s="328">
        <f t="shared" si="103"/>
        <v>1.5707471214594961</v>
      </c>
      <c r="K251" s="336">
        <f t="shared" si="123"/>
        <v>3.969612020336009</v>
      </c>
      <c r="L251" s="337">
        <f t="shared" si="124"/>
        <v>1.3161390142423237</v>
      </c>
      <c r="M251" s="325">
        <f t="shared" si="104"/>
        <v>1.0006863024891475</v>
      </c>
      <c r="N251" s="337">
        <f t="shared" si="105"/>
        <v>3.7038094163326866E-2</v>
      </c>
      <c r="O251" s="343">
        <f t="shared" si="106"/>
        <v>1.0039506609716853</v>
      </c>
      <c r="P251" s="691">
        <f t="shared" si="107"/>
        <v>8.8743430562594594E-2</v>
      </c>
      <c r="Q251" s="336">
        <f t="shared" si="122"/>
        <v>6.3380636722945018</v>
      </c>
      <c r="R251" s="692">
        <f t="shared" si="108"/>
        <v>9.8274845214622791E-2</v>
      </c>
      <c r="S251" s="329">
        <f t="shared" si="109"/>
        <v>1.0038444411376839</v>
      </c>
      <c r="T251" s="330">
        <f t="shared" si="110"/>
        <v>8.9936517812003611E-2</v>
      </c>
      <c r="U251" s="331">
        <f t="shared" si="111"/>
        <v>8.4919909051625062</v>
      </c>
      <c r="V251" s="332">
        <f t="shared" si="112"/>
        <v>-105.29626820462046</v>
      </c>
      <c r="W251" s="334">
        <f t="shared" si="113"/>
        <v>74.703731795379539</v>
      </c>
      <c r="Y251" s="307">
        <f t="shared" si="114"/>
        <v>1000000000</v>
      </c>
      <c r="Z251" s="307">
        <f t="shared" si="115"/>
        <v>234457344</v>
      </c>
      <c r="AB251" s="333">
        <f t="shared" si="116"/>
        <v>23.516470463399529</v>
      </c>
      <c r="AC251" s="334">
        <f t="shared" si="117"/>
        <v>-16.710096469219156</v>
      </c>
      <c r="AE251" s="333">
        <f t="shared" si="118"/>
        <v>27.725248364528539</v>
      </c>
      <c r="AF251" s="334">
        <f t="shared" si="119"/>
        <v>-88.040061902426885</v>
      </c>
      <c r="AH251">
        <f t="shared" si="120"/>
        <v>0</v>
      </c>
      <c r="AI251">
        <f t="shared" si="125"/>
        <v>0</v>
      </c>
    </row>
    <row r="252" spans="1:35" x14ac:dyDescent="0.2">
      <c r="A252" s="335">
        <v>15400</v>
      </c>
      <c r="B252" s="352">
        <f t="shared" si="121"/>
        <v>15.4</v>
      </c>
      <c r="C252" s="325">
        <f t="shared" si="96"/>
        <v>9.6042582113786139</v>
      </c>
      <c r="D252" s="326">
        <f t="shared" si="97"/>
        <v>1.4664867907808135</v>
      </c>
      <c r="E252" s="326">
        <f t="shared" si="98"/>
        <v>1.0001872365011992</v>
      </c>
      <c r="F252" s="327">
        <f t="shared" si="99"/>
        <v>1.9349795413744292E-2</v>
      </c>
      <c r="G252" s="326">
        <f t="shared" si="100"/>
        <v>1</v>
      </c>
      <c r="H252" s="327">
        <f t="shared" si="101"/>
        <v>0</v>
      </c>
      <c r="I252" s="325">
        <f t="shared" si="102"/>
        <v>20439.798217877131</v>
      </c>
      <c r="J252" s="328">
        <f t="shared" si="103"/>
        <v>1.5707474026328407</v>
      </c>
      <c r="K252" s="336">
        <f t="shared" si="123"/>
        <v>3.9909819775456912</v>
      </c>
      <c r="L252" s="337">
        <f t="shared" si="124"/>
        <v>1.317532601485468</v>
      </c>
      <c r="M252" s="325">
        <f t="shared" si="104"/>
        <v>1.00069421094758</v>
      </c>
      <c r="N252" s="337">
        <f t="shared" si="105"/>
        <v>3.7250760474908981E-2</v>
      </c>
      <c r="O252" s="343">
        <f t="shared" si="106"/>
        <v>1.0039961107240261</v>
      </c>
      <c r="P252" s="691">
        <f t="shared" si="107"/>
        <v>8.9250753809429068E-2</v>
      </c>
      <c r="Q252" s="336">
        <f t="shared" si="122"/>
        <v>6.3384110497548027</v>
      </c>
      <c r="R252" s="692">
        <f t="shared" si="108"/>
        <v>9.8836049619184116E-2</v>
      </c>
      <c r="S252" s="329">
        <f t="shared" si="109"/>
        <v>1.0038886715255226</v>
      </c>
      <c r="T252" s="330">
        <f t="shared" si="110"/>
        <v>9.0450808350954037E-2</v>
      </c>
      <c r="U252" s="331">
        <f t="shared" si="111"/>
        <v>8.4391000245820766</v>
      </c>
      <c r="V252" s="332">
        <f t="shared" si="112"/>
        <v>-105.28893967427977</v>
      </c>
      <c r="W252" s="334">
        <f t="shared" si="113"/>
        <v>74.711060325720226</v>
      </c>
      <c r="Y252" s="307">
        <f t="shared" si="114"/>
        <v>1000000000</v>
      </c>
      <c r="Z252" s="307">
        <f t="shared" si="115"/>
        <v>237160000</v>
      </c>
      <c r="AB252" s="333">
        <f t="shared" si="116"/>
        <v>23.513259902663496</v>
      </c>
      <c r="AC252" s="334">
        <f t="shared" si="117"/>
        <v>-16.642450793870655</v>
      </c>
      <c r="AE252" s="333">
        <f t="shared" si="118"/>
        <v>27.675650879904282</v>
      </c>
      <c r="AF252" s="334">
        <f t="shared" si="119"/>
        <v>-88.09729188449819</v>
      </c>
      <c r="AH252">
        <f t="shared" si="120"/>
        <v>0</v>
      </c>
      <c r="AI252">
        <f t="shared" si="125"/>
        <v>0</v>
      </c>
    </row>
    <row r="253" spans="1:35" x14ac:dyDescent="0.2">
      <c r="A253" s="335">
        <v>15488</v>
      </c>
      <c r="B253" s="352">
        <f t="shared" si="121"/>
        <v>15.488</v>
      </c>
      <c r="C253" s="325">
        <f t="shared" si="96"/>
        <v>9.6585463847320163</v>
      </c>
      <c r="D253" s="326">
        <f t="shared" si="97"/>
        <v>1.4670752051144798</v>
      </c>
      <c r="E253" s="326">
        <f t="shared" si="98"/>
        <v>1.0001893822576073</v>
      </c>
      <c r="F253" s="327">
        <f t="shared" si="99"/>
        <v>1.9460337838978766E-2</v>
      </c>
      <c r="G253" s="326">
        <f t="shared" si="100"/>
        <v>1</v>
      </c>
      <c r="H253" s="327">
        <f t="shared" si="101"/>
        <v>0</v>
      </c>
      <c r="I253" s="325">
        <f t="shared" si="102"/>
        <v>20556.59706455766</v>
      </c>
      <c r="J253" s="328">
        <f t="shared" si="103"/>
        <v>1.5707476806110339</v>
      </c>
      <c r="K253" s="336">
        <f t="shared" si="123"/>
        <v>4.0123596030121735</v>
      </c>
      <c r="L253" s="337">
        <f t="shared" si="124"/>
        <v>1.3189113414741942</v>
      </c>
      <c r="M253" s="325">
        <f t="shared" si="104"/>
        <v>1.0007021646636534</v>
      </c>
      <c r="N253" s="337">
        <f t="shared" si="105"/>
        <v>3.7463423415507888E-2</v>
      </c>
      <c r="O253" s="343">
        <f t="shared" si="106"/>
        <v>1.0040418188583171</v>
      </c>
      <c r="P253" s="691">
        <f t="shared" si="107"/>
        <v>8.9758030995912161E-2</v>
      </c>
      <c r="Q253" s="336">
        <f t="shared" si="122"/>
        <v>6.3387603987188612</v>
      </c>
      <c r="R253" s="692">
        <f t="shared" si="108"/>
        <v>9.9397192723070724E-2</v>
      </c>
      <c r="S253" s="329">
        <f t="shared" si="109"/>
        <v>1.0039331534232243</v>
      </c>
      <c r="T253" s="330">
        <f t="shared" si="110"/>
        <v>9.0965054708710483E-2</v>
      </c>
      <c r="U253" s="331">
        <f t="shared" si="111"/>
        <v>8.3865318942002745</v>
      </c>
      <c r="V253" s="332">
        <f t="shared" si="112"/>
        <v>-105.28207478696167</v>
      </c>
      <c r="W253" s="334">
        <f t="shared" si="113"/>
        <v>74.717925213038328</v>
      </c>
      <c r="Y253" s="307">
        <f t="shared" si="114"/>
        <v>1000000000</v>
      </c>
      <c r="Z253" s="307">
        <f t="shared" si="115"/>
        <v>239878144</v>
      </c>
      <c r="AB253" s="333">
        <f t="shared" si="116"/>
        <v>23.510100135749251</v>
      </c>
      <c r="AC253" s="334">
        <f t="shared" si="117"/>
        <v>-16.575655427326815</v>
      </c>
      <c r="AE253" s="333">
        <f t="shared" si="118"/>
        <v>27.626325809641319</v>
      </c>
      <c r="AF253" s="334">
        <f t="shared" si="119"/>
        <v>-88.154136073993556</v>
      </c>
      <c r="AH253">
        <f t="shared" si="120"/>
        <v>0</v>
      </c>
      <c r="AI253">
        <f t="shared" si="125"/>
        <v>0</v>
      </c>
    </row>
    <row r="254" spans="1:35" x14ac:dyDescent="0.2">
      <c r="A254" s="335">
        <v>15578.25</v>
      </c>
      <c r="B254" s="352">
        <f t="shared" si="121"/>
        <v>15.578250000000001</v>
      </c>
      <c r="C254" s="325">
        <f t="shared" si="96"/>
        <v>9.7142260420913971</v>
      </c>
      <c r="D254" s="326">
        <f t="shared" si="97"/>
        <v>1.4676718328042568</v>
      </c>
      <c r="E254" s="326">
        <f t="shared" si="98"/>
        <v>1.000191595571726</v>
      </c>
      <c r="F254" s="327">
        <f t="shared" si="99"/>
        <v>1.9573706138964309E-2</v>
      </c>
      <c r="G254" s="326">
        <f t="shared" si="100"/>
        <v>1</v>
      </c>
      <c r="H254" s="327">
        <f t="shared" si="101"/>
        <v>0</v>
      </c>
      <c r="I254" s="325">
        <f t="shared" si="102"/>
        <v>20676.382245387897</v>
      </c>
      <c r="J254" s="328">
        <f t="shared" si="103"/>
        <v>1.5707479624346077</v>
      </c>
      <c r="K254" s="336">
        <f t="shared" si="123"/>
        <v>4.0342916526555372</v>
      </c>
      <c r="L254" s="337">
        <f t="shared" si="124"/>
        <v>1.3203101536032325</v>
      </c>
      <c r="M254" s="325">
        <f t="shared" si="104"/>
        <v>1.0007103687488219</v>
      </c>
      <c r="N254" s="337">
        <f t="shared" si="105"/>
        <v>3.7681520239402647E-2</v>
      </c>
      <c r="O254" s="343">
        <f t="shared" si="106"/>
        <v>1.0040889640054727</v>
      </c>
      <c r="P254" s="691">
        <f t="shared" si="107"/>
        <v>9.0278230228929585E-2</v>
      </c>
      <c r="Q254" s="336">
        <f t="shared" si="122"/>
        <v>6.3391207273191741</v>
      </c>
      <c r="R254" s="692">
        <f t="shared" si="108"/>
        <v>9.9972619211429053E-2</v>
      </c>
      <c r="S254" s="329">
        <f t="shared" si="109"/>
        <v>1.0039790338453105</v>
      </c>
      <c r="T254" s="330">
        <f t="shared" si="110"/>
        <v>9.1492403264536074E-2</v>
      </c>
      <c r="U254" s="331">
        <f t="shared" si="111"/>
        <v>8.3329506285996899</v>
      </c>
      <c r="V254" s="332">
        <f t="shared" si="112"/>
        <v>-105.27550878913567</v>
      </c>
      <c r="W254" s="334">
        <f t="shared" si="113"/>
        <v>74.724491210864329</v>
      </c>
      <c r="Y254" s="307">
        <f t="shared" si="114"/>
        <v>1000000000</v>
      </c>
      <c r="Z254" s="307">
        <f t="shared" si="115"/>
        <v>242681873.0625</v>
      </c>
      <c r="AB254" s="333">
        <f t="shared" si="116"/>
        <v>23.50691119140405</v>
      </c>
      <c r="AC254" s="334">
        <f t="shared" si="117"/>
        <v>-16.50802157075967</v>
      </c>
      <c r="AE254" s="333">
        <f t="shared" si="118"/>
        <v>27.576019386650422</v>
      </c>
      <c r="AF254" s="334">
        <f t="shared" si="119"/>
        <v>-88.212039644085976</v>
      </c>
      <c r="AH254">
        <f t="shared" si="120"/>
        <v>0</v>
      </c>
      <c r="AI254">
        <f t="shared" si="125"/>
        <v>0</v>
      </c>
    </row>
    <row r="255" spans="1:35" x14ac:dyDescent="0.2">
      <c r="A255" s="335">
        <v>15668.5</v>
      </c>
      <c r="B255" s="352">
        <f t="shared" si="121"/>
        <v>15.6685</v>
      </c>
      <c r="C255" s="325">
        <f t="shared" si="96"/>
        <v>9.7699091179566029</v>
      </c>
      <c r="D255" s="326">
        <f t="shared" si="97"/>
        <v>1.4682616598066172</v>
      </c>
      <c r="E255" s="326">
        <f t="shared" si="98"/>
        <v>1.0001938217406217</v>
      </c>
      <c r="F255" s="327">
        <f t="shared" si="99"/>
        <v>1.968707393575074E-2</v>
      </c>
      <c r="G255" s="326">
        <f t="shared" si="100"/>
        <v>1</v>
      </c>
      <c r="H255" s="327">
        <f t="shared" si="101"/>
        <v>0</v>
      </c>
      <c r="I255" s="325">
        <f t="shared" si="102"/>
        <v>20796.167426219759</v>
      </c>
      <c r="J255" s="328">
        <f t="shared" si="103"/>
        <v>1.5707482410115938</v>
      </c>
      <c r="K255" s="336">
        <f t="shared" si="123"/>
        <v>4.0562315107255023</v>
      </c>
      <c r="L255" s="337">
        <f t="shared" si="124"/>
        <v>1.3216938362713784</v>
      </c>
      <c r="M255" s="325">
        <f t="shared" si="104"/>
        <v>1.000718620433223</v>
      </c>
      <c r="N255" s="337">
        <f t="shared" si="105"/>
        <v>3.7899613476923506E-2</v>
      </c>
      <c r="O255" s="343">
        <f t="shared" si="106"/>
        <v>1.0041363808408164</v>
      </c>
      <c r="P255" s="691">
        <f t="shared" si="107"/>
        <v>9.0798380473506662E-2</v>
      </c>
      <c r="Q255" s="336">
        <f t="shared" si="122"/>
        <v>6.3394831288313558</v>
      </c>
      <c r="R255" s="692">
        <f t="shared" si="108"/>
        <v>0.10054798050726431</v>
      </c>
      <c r="S255" s="329">
        <f t="shared" si="109"/>
        <v>1.0040251787317787</v>
      </c>
      <c r="T255" s="330">
        <f t="shared" si="110"/>
        <v>9.2019704830060195E-2</v>
      </c>
      <c r="U255" s="331">
        <f t="shared" si="111"/>
        <v>8.2797001718808954</v>
      </c>
      <c r="V255" s="332">
        <f t="shared" si="112"/>
        <v>-105.26941601143872</v>
      </c>
      <c r="W255" s="334">
        <f t="shared" si="113"/>
        <v>74.730583988561278</v>
      </c>
      <c r="Y255" s="307">
        <f t="shared" si="114"/>
        <v>1000000000</v>
      </c>
      <c r="Z255" s="307">
        <f t="shared" si="115"/>
        <v>245501892.25</v>
      </c>
      <c r="AB255" s="333">
        <f t="shared" si="116"/>
        <v>23.503773371104959</v>
      </c>
      <c r="AC255" s="334">
        <f t="shared" si="117"/>
        <v>-16.44125417694908</v>
      </c>
      <c r="AE255" s="333">
        <f t="shared" si="118"/>
        <v>27.52599312959752</v>
      </c>
      <c r="AF255" s="334">
        <f t="shared" si="119"/>
        <v>-88.269550899976409</v>
      </c>
      <c r="AH255">
        <f t="shared" si="120"/>
        <v>0</v>
      </c>
      <c r="AI255">
        <f t="shared" si="125"/>
        <v>0</v>
      </c>
    </row>
    <row r="256" spans="1:35" x14ac:dyDescent="0.2">
      <c r="A256" s="335">
        <v>15758.75</v>
      </c>
      <c r="B256" s="352">
        <f t="shared" si="121"/>
        <v>15.758749999999999</v>
      </c>
      <c r="C256" s="325">
        <f t="shared" si="96"/>
        <v>9.8255955542081299</v>
      </c>
      <c r="D256" s="326">
        <f t="shared" si="97"/>
        <v>1.4688448013360602</v>
      </c>
      <c r="E256" s="326">
        <f t="shared" si="98"/>
        <v>1.0001960607642082</v>
      </c>
      <c r="F256" s="327">
        <f t="shared" si="99"/>
        <v>1.9800441226427365E-2</v>
      </c>
      <c r="G256" s="326">
        <f t="shared" si="100"/>
        <v>1</v>
      </c>
      <c r="H256" s="327">
        <f t="shared" si="101"/>
        <v>0</v>
      </c>
      <c r="I256" s="325">
        <f t="shared" si="102"/>
        <v>20915.952607053216</v>
      </c>
      <c r="J256" s="328">
        <f t="shared" si="103"/>
        <v>1.5707485163977721</v>
      </c>
      <c r="K256" s="336">
        <f t="shared" si="123"/>
        <v>4.0781790511983456</v>
      </c>
      <c r="L256" s="337">
        <f t="shared" si="124"/>
        <v>1.3230626284038014</v>
      </c>
      <c r="M256" s="325">
        <f t="shared" si="104"/>
        <v>1.000726919715679</v>
      </c>
      <c r="N256" s="337">
        <f t="shared" si="105"/>
        <v>3.8117703107412387E-2</v>
      </c>
      <c r="O256" s="343">
        <f t="shared" si="106"/>
        <v>1.0041840693258612</v>
      </c>
      <c r="P256" s="691">
        <f t="shared" si="107"/>
        <v>9.131848145514318E-2</v>
      </c>
      <c r="Q256" s="336">
        <f t="shared" si="122"/>
        <v>6.3398476028999848</v>
      </c>
      <c r="R256" s="692">
        <f t="shared" si="108"/>
        <v>0.10112327624788613</v>
      </c>
      <c r="S256" s="329">
        <f t="shared" si="109"/>
        <v>1.0040715880462785</v>
      </c>
      <c r="T256" s="330">
        <f t="shared" si="110"/>
        <v>9.2546959141733651E-2</v>
      </c>
      <c r="U256" s="331">
        <f t="shared" si="111"/>
        <v>8.226776266221826</v>
      </c>
      <c r="V256" s="332">
        <f t="shared" si="112"/>
        <v>-105.2637893477974</v>
      </c>
      <c r="W256" s="334">
        <f t="shared" si="113"/>
        <v>74.736210652202601</v>
      </c>
      <c r="Y256" s="307">
        <f t="shared" si="114"/>
        <v>1000000000</v>
      </c>
      <c r="Z256" s="307">
        <f t="shared" si="115"/>
        <v>248338201.5625</v>
      </c>
      <c r="AB256" s="333">
        <f t="shared" si="116"/>
        <v>23.500685556459043</v>
      </c>
      <c r="AC256" s="334">
        <f t="shared" si="117"/>
        <v>-16.375339558503541</v>
      </c>
      <c r="AE256" s="333">
        <f t="shared" si="118"/>
        <v>27.476243898746699</v>
      </c>
      <c r="AF256" s="334">
        <f t="shared" si="119"/>
        <v>-88.326676428035924</v>
      </c>
      <c r="AH256">
        <f t="shared" si="120"/>
        <v>0</v>
      </c>
      <c r="AI256">
        <f t="shared" si="125"/>
        <v>0</v>
      </c>
    </row>
    <row r="257" spans="1:35" x14ac:dyDescent="0.2">
      <c r="A257" s="335">
        <v>15849</v>
      </c>
      <c r="B257" s="352">
        <f t="shared" si="121"/>
        <v>15.849</v>
      </c>
      <c r="C257" s="325">
        <f t="shared" si="96"/>
        <v>9.8812852940331481</v>
      </c>
      <c r="D257" s="326">
        <f t="shared" si="97"/>
        <v>1.4694213700281682</v>
      </c>
      <c r="E257" s="326">
        <f t="shared" si="98"/>
        <v>1.0001983126423997</v>
      </c>
      <c r="F257" s="327">
        <f t="shared" si="99"/>
        <v>1.9913808008083563E-2</v>
      </c>
      <c r="G257" s="326">
        <f t="shared" si="100"/>
        <v>1</v>
      </c>
      <c r="H257" s="327">
        <f t="shared" si="101"/>
        <v>0</v>
      </c>
      <c r="I257" s="325">
        <f t="shared" si="102"/>
        <v>21035.73778788824</v>
      </c>
      <c r="J257" s="328">
        <f t="shared" si="103"/>
        <v>1.5707487886476512</v>
      </c>
      <c r="K257" s="336">
        <f t="shared" si="123"/>
        <v>4.1001341507050482</v>
      </c>
      <c r="L257" s="337">
        <f t="shared" si="124"/>
        <v>1.3244167640340425</v>
      </c>
      <c r="M257" s="325">
        <f t="shared" si="104"/>
        <v>1.0007352665950053</v>
      </c>
      <c r="N257" s="337">
        <f t="shared" si="105"/>
        <v>3.8335789110213264E-2</v>
      </c>
      <c r="O257" s="343">
        <f t="shared" si="106"/>
        <v>1.0042320294219074</v>
      </c>
      <c r="P257" s="691">
        <f t="shared" si="107"/>
        <v>9.1838532899497519E-2</v>
      </c>
      <c r="Q257" s="336">
        <f t="shared" si="122"/>
        <v>6.3402141491676849</v>
      </c>
      <c r="R257" s="692">
        <f t="shared" si="108"/>
        <v>0.10169850607085866</v>
      </c>
      <c r="S257" s="329">
        <f t="shared" si="109"/>
        <v>1.0041182617522593</v>
      </c>
      <c r="T257" s="330">
        <f t="shared" si="110"/>
        <v>9.3074165936155182E-2</v>
      </c>
      <c r="U257" s="331">
        <f t="shared" si="111"/>
        <v>8.1741747351980525</v>
      </c>
      <c r="V257" s="332">
        <f t="shared" si="112"/>
        <v>-105.25862182458826</v>
      </c>
      <c r="W257" s="334">
        <f t="shared" si="113"/>
        <v>74.741378175411739</v>
      </c>
      <c r="Y257" s="307">
        <f t="shared" si="114"/>
        <v>1000000000</v>
      </c>
      <c r="Z257" s="307">
        <f t="shared" si="115"/>
        <v>251190801</v>
      </c>
      <c r="AB257" s="333">
        <f t="shared" si="116"/>
        <v>23.497646658950238</v>
      </c>
      <c r="AC257" s="334">
        <f t="shared" si="117"/>
        <v>-16.310264308228483</v>
      </c>
      <c r="AE257" s="333">
        <f t="shared" si="118"/>
        <v>27.426768605881186</v>
      </c>
      <c r="AF257" s="334">
        <f t="shared" si="119"/>
        <v>-88.383422666883021</v>
      </c>
      <c r="AH257">
        <f t="shared" si="120"/>
        <v>0</v>
      </c>
      <c r="AI257">
        <f t="shared" si="125"/>
        <v>0</v>
      </c>
    </row>
    <row r="258" spans="1:35" x14ac:dyDescent="0.2">
      <c r="A258" s="335">
        <v>15941.25</v>
      </c>
      <c r="B258" s="352">
        <f t="shared" si="121"/>
        <v>15.94125</v>
      </c>
      <c r="C258" s="325">
        <f t="shared" si="96"/>
        <v>9.9382125118957152</v>
      </c>
      <c r="D258" s="326">
        <f t="shared" si="97"/>
        <v>1.4700040375694483</v>
      </c>
      <c r="E258" s="326">
        <f t="shared" si="98"/>
        <v>1.0002006277086795</v>
      </c>
      <c r="F258" s="327">
        <f t="shared" si="99"/>
        <v>2.0029686543893782E-2</v>
      </c>
      <c r="G258" s="326">
        <f t="shared" si="100"/>
        <v>1</v>
      </c>
      <c r="H258" s="327">
        <f t="shared" si="101"/>
        <v>0</v>
      </c>
      <c r="I258" s="325">
        <f t="shared" si="102"/>
        <v>21158.17748796774</v>
      </c>
      <c r="J258" s="328">
        <f t="shared" si="103"/>
        <v>1.5707490637449038</v>
      </c>
      <c r="K258" s="336">
        <f t="shared" si="123"/>
        <v>4.122583476238006</v>
      </c>
      <c r="L258" s="337">
        <f t="shared" si="124"/>
        <v>1.325785999576242</v>
      </c>
      <c r="M258" s="325">
        <f t="shared" si="104"/>
        <v>1.0007438476362125</v>
      </c>
      <c r="N258" s="337">
        <f t="shared" si="105"/>
        <v>3.8558704273154117E-2</v>
      </c>
      <c r="O258" s="343">
        <f t="shared" si="106"/>
        <v>1.0042813330113678</v>
      </c>
      <c r="P258" s="691">
        <f t="shared" si="107"/>
        <v>9.2370057548028919E-2</v>
      </c>
      <c r="Q258" s="336">
        <f t="shared" si="122"/>
        <v>6.3405909595601155</v>
      </c>
      <c r="R258" s="692">
        <f t="shared" si="108"/>
        <v>0.10228641486705733</v>
      </c>
      <c r="S258" s="329">
        <f t="shared" si="109"/>
        <v>1.0041662429853673</v>
      </c>
      <c r="T258" s="330">
        <f t="shared" si="110"/>
        <v>9.3613006601121485E-2</v>
      </c>
      <c r="U258" s="331">
        <f t="shared" si="111"/>
        <v>8.1207364240203876</v>
      </c>
      <c r="V258" s="332">
        <f t="shared" si="112"/>
        <v>-105.25380717635484</v>
      </c>
      <c r="W258" s="334">
        <f t="shared" si="113"/>
        <v>74.74619282364516</v>
      </c>
      <c r="Y258" s="307">
        <f t="shared" si="114"/>
        <v>1000000000</v>
      </c>
      <c r="Z258" s="307">
        <f t="shared" si="115"/>
        <v>254123451.5625</v>
      </c>
      <c r="AB258" s="333">
        <f t="shared" si="116"/>
        <v>23.494589869664722</v>
      </c>
      <c r="AC258" s="334">
        <f t="shared" si="117"/>
        <v>-16.244600750363624</v>
      </c>
      <c r="AE258" s="333">
        <f t="shared" si="118"/>
        <v>27.376476856419583</v>
      </c>
      <c r="AF258" s="334">
        <f t="shared" si="119"/>
        <v>-88.441041002817983</v>
      </c>
      <c r="AH258">
        <f t="shared" si="120"/>
        <v>0</v>
      </c>
      <c r="AI258">
        <f t="shared" si="125"/>
        <v>0</v>
      </c>
    </row>
    <row r="259" spans="1:35" x14ac:dyDescent="0.2">
      <c r="A259" s="335">
        <v>16033.5</v>
      </c>
      <c r="B259" s="352">
        <f t="shared" si="121"/>
        <v>16.0335</v>
      </c>
      <c r="C259" s="325">
        <f t="shared" si="96"/>
        <v>9.9951430653617255</v>
      </c>
      <c r="D259" s="326">
        <f t="shared" si="97"/>
        <v>1.4705800677635068</v>
      </c>
      <c r="E259" s="326">
        <f t="shared" si="98"/>
        <v>1.0002029562054264</v>
      </c>
      <c r="F259" s="327">
        <f t="shared" si="99"/>
        <v>2.0145564541723896E-2</v>
      </c>
      <c r="G259" s="326">
        <f t="shared" si="100"/>
        <v>1</v>
      </c>
      <c r="H259" s="327">
        <f t="shared" si="101"/>
        <v>0</v>
      </c>
      <c r="I259" s="325">
        <f t="shared" si="102"/>
        <v>21280.617188048822</v>
      </c>
      <c r="J259" s="328">
        <f t="shared" si="103"/>
        <v>1.5707493356765689</v>
      </c>
      <c r="K259" s="336">
        <f t="shared" si="123"/>
        <v>4.1450404470864681</v>
      </c>
      <c r="L259" s="337">
        <f t="shared" si="124"/>
        <v>1.3271404011655132</v>
      </c>
      <c r="M259" s="325">
        <f t="shared" si="104"/>
        <v>1.0007524784046977</v>
      </c>
      <c r="N259" s="337">
        <f t="shared" si="105"/>
        <v>3.8781615602206464E-2</v>
      </c>
      <c r="O259" s="343">
        <f t="shared" si="106"/>
        <v>1.0043309203009323</v>
      </c>
      <c r="P259" s="691">
        <f t="shared" si="107"/>
        <v>9.2901529860279913E-2</v>
      </c>
      <c r="Q259" s="336">
        <f t="shared" si="122"/>
        <v>6.3409699342506025</v>
      </c>
      <c r="R259" s="692">
        <f t="shared" si="108"/>
        <v>0.1028742540267498</v>
      </c>
      <c r="S259" s="329">
        <f t="shared" si="109"/>
        <v>1.0042145003801113</v>
      </c>
      <c r="T259" s="330">
        <f t="shared" si="110"/>
        <v>9.4151797063440665E-2</v>
      </c>
      <c r="U259" s="331">
        <f t="shared" si="111"/>
        <v>8.0676263614626578</v>
      </c>
      <c r="V259" s="332">
        <f t="shared" si="112"/>
        <v>-105.24945792118909</v>
      </c>
      <c r="W259" s="334">
        <f t="shared" si="113"/>
        <v>74.750542078810909</v>
      </c>
      <c r="Y259" s="307">
        <f t="shared" si="114"/>
        <v>1000000000</v>
      </c>
      <c r="Z259" s="307">
        <f t="shared" si="115"/>
        <v>257073122.25</v>
      </c>
      <c r="AB259" s="333">
        <f t="shared" si="116"/>
        <v>23.491581981308642</v>
      </c>
      <c r="AC259" s="334">
        <f t="shared" si="117"/>
        <v>-16.179786714355597</v>
      </c>
      <c r="AE259" s="333">
        <f t="shared" si="118"/>
        <v>27.326464956010668</v>
      </c>
      <c r="AF259" s="334">
        <f t="shared" si="119"/>
        <v>-88.498276201193747</v>
      </c>
      <c r="AH259">
        <f t="shared" si="120"/>
        <v>0</v>
      </c>
      <c r="AI259">
        <f t="shared" si="125"/>
        <v>0</v>
      </c>
    </row>
    <row r="260" spans="1:35" x14ac:dyDescent="0.2">
      <c r="A260" s="335">
        <v>16125.75</v>
      </c>
      <c r="B260" s="352">
        <f t="shared" si="121"/>
        <v>16.12575</v>
      </c>
      <c r="C260" s="325">
        <f t="shared" si="96"/>
        <v>10.052076897757001</v>
      </c>
      <c r="D260" s="326">
        <f t="shared" si="97"/>
        <v>1.4711495730043556</v>
      </c>
      <c r="E260" s="326">
        <f t="shared" si="98"/>
        <v>1.000205298132546</v>
      </c>
      <c r="F260" s="327">
        <f t="shared" si="99"/>
        <v>2.0261441998465728E-2</v>
      </c>
      <c r="G260" s="326">
        <f t="shared" si="100"/>
        <v>1</v>
      </c>
      <c r="H260" s="327">
        <f t="shared" si="101"/>
        <v>0</v>
      </c>
      <c r="I260" s="325">
        <f t="shared" si="102"/>
        <v>21403.056888131461</v>
      </c>
      <c r="J260" s="328">
        <f t="shared" si="103"/>
        <v>1.5707496044969749</v>
      </c>
      <c r="K260" s="336">
        <f t="shared" si="123"/>
        <v>4.1675049396580492</v>
      </c>
      <c r="L260" s="337">
        <f t="shared" si="124"/>
        <v>1.3284802036747754</v>
      </c>
      <c r="M260" s="325">
        <f t="shared" si="104"/>
        <v>1.0007611588991747</v>
      </c>
      <c r="N260" s="337">
        <f t="shared" si="105"/>
        <v>3.9004523075317099E-2</v>
      </c>
      <c r="O260" s="343">
        <f t="shared" si="106"/>
        <v>1.0043807912485807</v>
      </c>
      <c r="P260" s="691">
        <f t="shared" si="107"/>
        <v>9.3432949543782173E-2</v>
      </c>
      <c r="Q260" s="336">
        <f t="shared" si="122"/>
        <v>6.3413510728511762</v>
      </c>
      <c r="R260" s="692">
        <f t="shared" si="108"/>
        <v>0.10346202316370012</v>
      </c>
      <c r="S260" s="329">
        <f t="shared" si="109"/>
        <v>1.0042630338968037</v>
      </c>
      <c r="T260" s="330">
        <f t="shared" si="110"/>
        <v>9.4690537042293743E-2</v>
      </c>
      <c r="U260" s="331">
        <f t="shared" si="111"/>
        <v>8.0148403377971711</v>
      </c>
      <c r="V260" s="332">
        <f t="shared" si="112"/>
        <v>-105.24556702213167</v>
      </c>
      <c r="W260" s="334">
        <f t="shared" si="113"/>
        <v>74.754432977868333</v>
      </c>
      <c r="Y260" s="307">
        <f t="shared" si="114"/>
        <v>1000000000</v>
      </c>
      <c r="Z260" s="307">
        <f t="shared" si="115"/>
        <v>260039813.0625</v>
      </c>
      <c r="AB260" s="333">
        <f t="shared" si="116"/>
        <v>23.488621922149907</v>
      </c>
      <c r="AC260" s="334">
        <f t="shared" si="117"/>
        <v>-16.115808744826602</v>
      </c>
      <c r="AE260" s="333">
        <f t="shared" si="118"/>
        <v>27.276729766324301</v>
      </c>
      <c r="AF260" s="334">
        <f t="shared" si="119"/>
        <v>-88.555134685801164</v>
      </c>
      <c r="AH260">
        <f t="shared" si="120"/>
        <v>0</v>
      </c>
      <c r="AI260">
        <f t="shared" si="125"/>
        <v>0</v>
      </c>
    </row>
    <row r="261" spans="1:35" x14ac:dyDescent="0.2">
      <c r="A261" s="335">
        <v>16218</v>
      </c>
      <c r="B261" s="352">
        <f t="shared" si="121"/>
        <v>16.218</v>
      </c>
      <c r="C261" s="325">
        <f t="shared" si="96"/>
        <v>10.109013953680886</v>
      </c>
      <c r="D261" s="326">
        <f t="shared" si="97"/>
        <v>1.4717126631710076</v>
      </c>
      <c r="E261" s="326">
        <f t="shared" si="98"/>
        <v>1.0002076534899442</v>
      </c>
      <c r="F261" s="327">
        <f t="shared" si="99"/>
        <v>2.0377318911011182E-2</v>
      </c>
      <c r="G261" s="326">
        <f t="shared" si="100"/>
        <v>1</v>
      </c>
      <c r="H261" s="327">
        <f t="shared" si="101"/>
        <v>0</v>
      </c>
      <c r="I261" s="325">
        <f t="shared" si="102"/>
        <v>21525.496588215628</v>
      </c>
      <c r="J261" s="328">
        <f t="shared" si="103"/>
        <v>1.5707498702592129</v>
      </c>
      <c r="K261" s="336">
        <f t="shared" si="123"/>
        <v>4.1899768329699629</v>
      </c>
      <c r="L261" s="337">
        <f t="shared" si="124"/>
        <v>1.3298056371504103</v>
      </c>
      <c r="M261" s="325">
        <f t="shared" si="104"/>
        <v>1.0007698891183496</v>
      </c>
      <c r="N261" s="337">
        <f t="shared" si="105"/>
        <v>3.9227426670435099E-2</v>
      </c>
      <c r="O261" s="343">
        <f t="shared" si="106"/>
        <v>1.0044309458120615</v>
      </c>
      <c r="P261" s="691">
        <f t="shared" si="107"/>
        <v>9.3964316306244244E-2</v>
      </c>
      <c r="Q261" s="336">
        <f t="shared" si="122"/>
        <v>6.3417343749717432</v>
      </c>
      <c r="R261" s="692">
        <f t="shared" si="108"/>
        <v>0.10404972189195619</v>
      </c>
      <c r="S261" s="329">
        <f t="shared" si="109"/>
        <v>1.0043118434955378</v>
      </c>
      <c r="T261" s="330">
        <f t="shared" si="110"/>
        <v>9.522922625702672E-2</v>
      </c>
      <c r="U261" s="331">
        <f t="shared" si="111"/>
        <v>7.9623742235167194</v>
      </c>
      <c r="V261" s="332">
        <f t="shared" si="112"/>
        <v>-105.24212757460933</v>
      </c>
      <c r="W261" s="334">
        <f t="shared" si="113"/>
        <v>74.757872425390673</v>
      </c>
      <c r="Y261" s="307">
        <f t="shared" si="114"/>
        <v>1000000000</v>
      </c>
      <c r="Z261" s="307">
        <f t="shared" si="115"/>
        <v>263023524</v>
      </c>
      <c r="AB261" s="333">
        <f t="shared" si="116"/>
        <v>23.485708649130579</v>
      </c>
      <c r="AC261" s="334">
        <f t="shared" si="117"/>
        <v>-16.052653662868344</v>
      </c>
      <c r="AE261" s="333">
        <f t="shared" si="118"/>
        <v>27.227268200574912</v>
      </c>
      <c r="AF261" s="334">
        <f t="shared" si="119"/>
        <v>-88.611622736341744</v>
      </c>
      <c r="AH261">
        <f t="shared" si="120"/>
        <v>0</v>
      </c>
      <c r="AI261">
        <f t="shared" si="125"/>
        <v>0</v>
      </c>
    </row>
    <row r="262" spans="1:35" x14ac:dyDescent="0.2">
      <c r="A262" s="335">
        <v>16312.5</v>
      </c>
      <c r="B262" s="352">
        <f t="shared" si="121"/>
        <v>16.3125</v>
      </c>
      <c r="C262" s="325">
        <f t="shared" si="96"/>
        <v>10.167343004098068</v>
      </c>
      <c r="D262" s="326">
        <f t="shared" si="97"/>
        <v>1.4722829478506314</v>
      </c>
      <c r="E262" s="326">
        <f t="shared" si="98"/>
        <v>1.00021008022061</v>
      </c>
      <c r="F262" s="327">
        <f t="shared" si="99"/>
        <v>2.0496021522199561E-2</v>
      </c>
      <c r="G262" s="326">
        <f t="shared" si="100"/>
        <v>1</v>
      </c>
      <c r="H262" s="327">
        <f t="shared" si="101"/>
        <v>0</v>
      </c>
      <c r="I262" s="325">
        <f t="shared" si="102"/>
        <v>21650.922622449747</v>
      </c>
      <c r="J262" s="328">
        <f t="shared" si="103"/>
        <v>1.5707501393867296</v>
      </c>
      <c r="K262" s="336">
        <f t="shared" si="123"/>
        <v>4.2130043711494887</v>
      </c>
      <c r="L262" s="337">
        <f t="shared" si="124"/>
        <v>1.331148734789577</v>
      </c>
      <c r="M262" s="325">
        <f t="shared" si="104"/>
        <v>1.0007788838270233</v>
      </c>
      <c r="N262" s="337">
        <f t="shared" si="105"/>
        <v>3.9455762894533217E-2</v>
      </c>
      <c r="O262" s="343">
        <f t="shared" si="106"/>
        <v>1.0044826176895494</v>
      </c>
      <c r="P262" s="691">
        <f t="shared" si="107"/>
        <v>9.4508588055378553E-2</v>
      </c>
      <c r="Q262" s="336">
        <f t="shared" si="122"/>
        <v>6.3421292688312061</v>
      </c>
      <c r="R262" s="692">
        <f t="shared" si="108"/>
        <v>0.10465168132683014</v>
      </c>
      <c r="S262" s="329">
        <f t="shared" si="109"/>
        <v>1.0043621297950669</v>
      </c>
      <c r="T262" s="330">
        <f t="shared" si="110"/>
        <v>9.5781001303454627E-2</v>
      </c>
      <c r="U262" s="331">
        <f t="shared" si="111"/>
        <v>7.9089559220633907</v>
      </c>
      <c r="V262" s="332">
        <f t="shared" si="112"/>
        <v>-105.23906525917808</v>
      </c>
      <c r="W262" s="334">
        <f t="shared" si="113"/>
        <v>74.760934740821924</v>
      </c>
      <c r="Y262" s="307">
        <f t="shared" si="114"/>
        <v>1000000000</v>
      </c>
      <c r="Z262" s="307">
        <f t="shared" si="115"/>
        <v>266097656.25</v>
      </c>
      <c r="AB262" s="333">
        <f t="shared" si="116"/>
        <v>23.482771771291429</v>
      </c>
      <c r="AC262" s="334">
        <f t="shared" si="117"/>
        <v>-15.988797958418774</v>
      </c>
      <c r="AE262" s="333">
        <f t="shared" si="118"/>
        <v>27.176880797509327</v>
      </c>
      <c r="AF262" s="334">
        <f t="shared" si="119"/>
        <v>-88.66911086443352</v>
      </c>
      <c r="AH262">
        <f t="shared" si="120"/>
        <v>0</v>
      </c>
      <c r="AI262">
        <f t="shared" si="125"/>
        <v>0</v>
      </c>
    </row>
    <row r="263" spans="1:35" x14ac:dyDescent="0.2">
      <c r="A263" s="335">
        <v>16407</v>
      </c>
      <c r="B263" s="352">
        <f t="shared" si="121"/>
        <v>16.407</v>
      </c>
      <c r="C263" s="325">
        <f t="shared" si="96"/>
        <v>10.225675323461196</v>
      </c>
      <c r="D263" s="326">
        <f t="shared" si="97"/>
        <v>1.4728467263390381</v>
      </c>
      <c r="E263" s="326">
        <f t="shared" si="98"/>
        <v>1.000212521044477</v>
      </c>
      <c r="F263" s="327">
        <f t="shared" si="99"/>
        <v>2.0614723555719274E-2</v>
      </c>
      <c r="G263" s="326">
        <f t="shared" si="100"/>
        <v>1</v>
      </c>
      <c r="H263" s="327">
        <f t="shared" si="101"/>
        <v>0</v>
      </c>
      <c r="I263" s="325">
        <f t="shared" si="102"/>
        <v>21776.348656685412</v>
      </c>
      <c r="J263" s="328">
        <f t="shared" si="103"/>
        <v>1.5707504054140391</v>
      </c>
      <c r="K263" s="336">
        <f t="shared" si="123"/>
        <v>4.2360394265796302</v>
      </c>
      <c r="L263" s="337">
        <f t="shared" si="124"/>
        <v>1.3324772276078019</v>
      </c>
      <c r="M263" s="325">
        <f t="shared" si="104"/>
        <v>1.0007879307127978</v>
      </c>
      <c r="N263" s="337">
        <f t="shared" si="105"/>
        <v>3.9684095002325073E-2</v>
      </c>
      <c r="O263" s="343">
        <f t="shared" si="106"/>
        <v>1.0045345870960043</v>
      </c>
      <c r="P263" s="691">
        <f t="shared" si="107"/>
        <v>9.5052803650121392E-2</v>
      </c>
      <c r="Q263" s="336">
        <f t="shared" si="122"/>
        <v>6.3425264321997599</v>
      </c>
      <c r="R263" s="692">
        <f t="shared" si="108"/>
        <v>0.10525356605757764</v>
      </c>
      <c r="S263" s="329">
        <f t="shared" si="109"/>
        <v>1.0044127057228103</v>
      </c>
      <c r="T263" s="330">
        <f t="shared" si="110"/>
        <v>9.6332722483593911E-2</v>
      </c>
      <c r="U263" s="331">
        <f t="shared" si="111"/>
        <v>7.8558648025433842</v>
      </c>
      <c r="V263" s="332">
        <f t="shared" si="112"/>
        <v>-105.23646243154009</v>
      </c>
      <c r="W263" s="334">
        <f t="shared" si="113"/>
        <v>74.76353756845991</v>
      </c>
      <c r="Y263" s="307">
        <f t="shared" si="114"/>
        <v>1000000000</v>
      </c>
      <c r="Z263" s="307">
        <f t="shared" si="115"/>
        <v>269189649</v>
      </c>
      <c r="AB263" s="333">
        <f t="shared" si="116"/>
        <v>23.479881862213219</v>
      </c>
      <c r="AC263" s="334">
        <f t="shared" si="117"/>
        <v>-15.925778635094918</v>
      </c>
      <c r="AE263" s="333">
        <f t="shared" si="118"/>
        <v>27.126774132309265</v>
      </c>
      <c r="AF263" s="334">
        <f t="shared" si="119"/>
        <v>-88.726223162014421</v>
      </c>
      <c r="AH263">
        <f t="shared" si="120"/>
        <v>0</v>
      </c>
      <c r="AI263">
        <f t="shared" si="125"/>
        <v>0</v>
      </c>
    </row>
    <row r="264" spans="1:35" x14ac:dyDescent="0.2">
      <c r="A264" s="335">
        <v>16501.5</v>
      </c>
      <c r="B264" s="352">
        <f t="shared" si="121"/>
        <v>16.5015</v>
      </c>
      <c r="C264" s="325">
        <f t="shared" si="96"/>
        <v>10.284010856144539</v>
      </c>
      <c r="D264" s="326">
        <f t="shared" si="97"/>
        <v>1.4734041089928775</v>
      </c>
      <c r="E264" s="326">
        <f t="shared" si="98"/>
        <v>1.0002149759614423</v>
      </c>
      <c r="F264" s="327">
        <f t="shared" si="99"/>
        <v>2.0733425008229497E-2</v>
      </c>
      <c r="G264" s="326">
        <f t="shared" si="100"/>
        <v>1</v>
      </c>
      <c r="H264" s="327">
        <f t="shared" si="101"/>
        <v>0</v>
      </c>
      <c r="I264" s="325">
        <f t="shared" si="102"/>
        <v>21901.774690922608</v>
      </c>
      <c r="J264" s="328">
        <f t="shared" si="103"/>
        <v>1.5707506683944035</v>
      </c>
      <c r="K264" s="336">
        <f t="shared" si="123"/>
        <v>4.2590818772902388</v>
      </c>
      <c r="L264" s="337">
        <f t="shared" si="124"/>
        <v>1.3337913479220029</v>
      </c>
      <c r="M264" s="325">
        <f t="shared" si="104"/>
        <v>1.0007970297742579</v>
      </c>
      <c r="N264" s="337">
        <f t="shared" si="105"/>
        <v>3.9912422970114179E-2</v>
      </c>
      <c r="O264" s="343">
        <f t="shared" si="106"/>
        <v>1.0045868539852505</v>
      </c>
      <c r="P264" s="691">
        <f t="shared" si="107"/>
        <v>9.5596962776851493E-2</v>
      </c>
      <c r="Q264" s="336">
        <f t="shared" si="122"/>
        <v>6.3429258646511517</v>
      </c>
      <c r="R264" s="692">
        <f t="shared" si="108"/>
        <v>0.10585537567024747</v>
      </c>
      <c r="S264" s="329">
        <f t="shared" si="109"/>
        <v>1.0044635712351542</v>
      </c>
      <c r="T264" s="330">
        <f t="shared" si="110"/>
        <v>9.6884389496294451E-2</v>
      </c>
      <c r="U264" s="331">
        <f t="shared" si="111"/>
        <v>7.8030966746990575</v>
      </c>
      <c r="V264" s="332">
        <f t="shared" si="112"/>
        <v>-105.23431208276908</v>
      </c>
      <c r="W264" s="334">
        <f t="shared" si="113"/>
        <v>74.76568791723092</v>
      </c>
      <c r="Y264" s="307">
        <f t="shared" si="114"/>
        <v>1000000000</v>
      </c>
      <c r="Z264" s="307">
        <f t="shared" si="115"/>
        <v>272299502.25</v>
      </c>
      <c r="AB264" s="333">
        <f t="shared" si="116"/>
        <v>23.477037888404276</v>
      </c>
      <c r="AC264" s="334">
        <f t="shared" si="117"/>
        <v>-15.863582383811806</v>
      </c>
      <c r="AE264" s="333">
        <f t="shared" si="118"/>
        <v>27.076945047841569</v>
      </c>
      <c r="AF264" s="334">
        <f t="shared" si="119"/>
        <v>-88.782965934991495</v>
      </c>
      <c r="AH264">
        <f t="shared" si="120"/>
        <v>0</v>
      </c>
      <c r="AI264">
        <f t="shared" si="125"/>
        <v>0</v>
      </c>
    </row>
    <row r="265" spans="1:35" x14ac:dyDescent="0.2">
      <c r="A265" s="335">
        <v>16596</v>
      </c>
      <c r="B265" s="352">
        <f t="shared" si="121"/>
        <v>16.596</v>
      </c>
      <c r="C265" s="325">
        <f t="shared" si="96"/>
        <v>10.342349547774349</v>
      </c>
      <c r="D265" s="326">
        <f t="shared" si="97"/>
        <v>1.4739552036949222</v>
      </c>
      <c r="E265" s="326">
        <f t="shared" si="98"/>
        <v>1.0002174449714023</v>
      </c>
      <c r="F265" s="327">
        <f t="shared" si="99"/>
        <v>2.0852125876389502E-2</v>
      </c>
      <c r="G265" s="326">
        <f t="shared" si="100"/>
        <v>1</v>
      </c>
      <c r="H265" s="327">
        <f t="shared" si="101"/>
        <v>0</v>
      </c>
      <c r="I265" s="325">
        <f t="shared" si="102"/>
        <v>22027.200725161299</v>
      </c>
      <c r="J265" s="328">
        <f t="shared" si="103"/>
        <v>1.5707509283798724</v>
      </c>
      <c r="K265" s="336">
        <f t="shared" si="123"/>
        <v>4.2821316038977466</v>
      </c>
      <c r="L265" s="337">
        <f t="shared" si="124"/>
        <v>1.3350913232480419</v>
      </c>
      <c r="M265" s="325">
        <f t="shared" si="104"/>
        <v>1.0008061810099809</v>
      </c>
      <c r="N265" s="337">
        <f t="shared" si="105"/>
        <v>4.0140746774206641E-2</v>
      </c>
      <c r="O265" s="343">
        <f t="shared" si="106"/>
        <v>1.0046394183108585</v>
      </c>
      <c r="P265" s="691">
        <f t="shared" si="107"/>
        <v>9.6141065122146471E-2</v>
      </c>
      <c r="Q265" s="336">
        <f t="shared" si="122"/>
        <v>6.3433275657568036</v>
      </c>
      <c r="R265" s="692">
        <f t="shared" si="108"/>
        <v>0.10645710975120735</v>
      </c>
      <c r="S265" s="329">
        <f t="shared" si="109"/>
        <v>1.0045147262882443</v>
      </c>
      <c r="T265" s="330">
        <f t="shared" si="110"/>
        <v>9.7436002040591732E-2</v>
      </c>
      <c r="U265" s="331">
        <f t="shared" si="111"/>
        <v>7.7506474280342399</v>
      </c>
      <c r="V265" s="332">
        <f t="shared" si="112"/>
        <v>-105.23260733722432</v>
      </c>
      <c r="W265" s="334">
        <f t="shared" si="113"/>
        <v>74.767392662775677</v>
      </c>
      <c r="Y265" s="307">
        <f t="shared" si="114"/>
        <v>1000000000</v>
      </c>
      <c r="Z265" s="307">
        <f t="shared" si="115"/>
        <v>275427216</v>
      </c>
      <c r="AB265" s="333">
        <f t="shared" si="116"/>
        <v>23.474238844122873</v>
      </c>
      <c r="AC265" s="334">
        <f t="shared" si="117"/>
        <v>-15.802196170495451</v>
      </c>
      <c r="AE265" s="333">
        <f t="shared" si="118"/>
        <v>27.027390438982675</v>
      </c>
      <c r="AF265" s="334">
        <f t="shared" si="119"/>
        <v>-88.839345347539691</v>
      </c>
      <c r="AH265">
        <f t="shared" si="120"/>
        <v>0</v>
      </c>
      <c r="AI265">
        <f t="shared" si="125"/>
        <v>0</v>
      </c>
    </row>
    <row r="266" spans="1:35" x14ac:dyDescent="0.2">
      <c r="A266" s="335">
        <v>16692.5</v>
      </c>
      <c r="B266" s="352">
        <f t="shared" si="121"/>
        <v>16.692499999999999</v>
      </c>
      <c r="C266" s="325">
        <f t="shared" si="96"/>
        <v>10.40192612540989</v>
      </c>
      <c r="D266" s="326">
        <f t="shared" si="97"/>
        <v>1.4745115824040531</v>
      </c>
      <c r="E266" s="326">
        <f t="shared" si="98"/>
        <v>1.0002199807789802</v>
      </c>
      <c r="F266" s="327">
        <f t="shared" si="99"/>
        <v>2.0973338325731797E-2</v>
      </c>
      <c r="G266" s="326">
        <f t="shared" si="100"/>
        <v>1</v>
      </c>
      <c r="H266" s="327">
        <f t="shared" si="101"/>
        <v>0</v>
      </c>
      <c r="I266" s="325">
        <f t="shared" si="102"/>
        <v>22155.281278644656</v>
      </c>
      <c r="J266" s="328">
        <f t="shared" si="103"/>
        <v>1.5707511908298974</v>
      </c>
      <c r="K266" s="336">
        <f t="shared" si="123"/>
        <v>4.3056765424766965</v>
      </c>
      <c r="L266" s="337">
        <f t="shared" si="124"/>
        <v>1.3364044456327002</v>
      </c>
      <c r="M266" s="325">
        <f t="shared" si="104"/>
        <v>1.0008155797634359</v>
      </c>
      <c r="N266" s="337">
        <f t="shared" si="105"/>
        <v>4.0373898506690008E-2</v>
      </c>
      <c r="O266" s="343">
        <f t="shared" si="106"/>
        <v>1.0046934020058464</v>
      </c>
      <c r="P266" s="691">
        <f t="shared" si="107"/>
        <v>9.6696623938740192E-2</v>
      </c>
      <c r="Q266" s="336">
        <f t="shared" si="122"/>
        <v>6.3437401092084418</v>
      </c>
      <c r="R266" s="692">
        <f t="shared" si="108"/>
        <v>0.10707150056900129</v>
      </c>
      <c r="S266" s="329">
        <f t="shared" si="109"/>
        <v>1.0045672627394941</v>
      </c>
      <c r="T266" s="330">
        <f t="shared" si="110"/>
        <v>9.7999232402110809E-2</v>
      </c>
      <c r="U266" s="331">
        <f t="shared" si="111"/>
        <v>7.6974130296042063</v>
      </c>
      <c r="V266" s="332">
        <f t="shared" si="112"/>
        <v>-105.23131935218414</v>
      </c>
      <c r="W266" s="334">
        <f t="shared" si="113"/>
        <v>74.768680647815856</v>
      </c>
      <c r="Y266" s="307">
        <f t="shared" si="114"/>
        <v>1000000000</v>
      </c>
      <c r="Z266" s="307">
        <f t="shared" si="115"/>
        <v>278639556.25</v>
      </c>
      <c r="AB266" s="333">
        <f t="shared" si="116"/>
        <v>23.471425909583093</v>
      </c>
      <c r="AC266" s="334">
        <f t="shared" si="117"/>
        <v>-15.740333447335917</v>
      </c>
      <c r="AE266" s="333">
        <f t="shared" si="118"/>
        <v>26.9770671320825</v>
      </c>
      <c r="AF266" s="334">
        <f t="shared" si="119"/>
        <v>-88.896549260286108</v>
      </c>
      <c r="AH266">
        <f t="shared" si="120"/>
        <v>0</v>
      </c>
      <c r="AI266">
        <f t="shared" si="125"/>
        <v>0</v>
      </c>
    </row>
    <row r="267" spans="1:35" x14ac:dyDescent="0.2">
      <c r="A267" s="335">
        <v>16789</v>
      </c>
      <c r="B267" s="352">
        <f t="shared" si="121"/>
        <v>16.789000000000001</v>
      </c>
      <c r="C267" s="325">
        <f t="shared" si="96"/>
        <v>10.461505886362024</v>
      </c>
      <c r="D267" s="326">
        <f t="shared" si="97"/>
        <v>1.4750616239703964</v>
      </c>
      <c r="E267" s="326">
        <f t="shared" si="98"/>
        <v>1.0002225312821735</v>
      </c>
      <c r="F267" s="327">
        <f t="shared" si="99"/>
        <v>2.1094550158687071E-2</v>
      </c>
      <c r="G267" s="326">
        <f t="shared" si="100"/>
        <v>1</v>
      </c>
      <c r="H267" s="327">
        <f t="shared" si="101"/>
        <v>0</v>
      </c>
      <c r="I267" s="325">
        <f t="shared" si="102"/>
        <v>22283.361832129518</v>
      </c>
      <c r="J267" s="328">
        <f t="shared" si="103"/>
        <v>1.5707514502628963</v>
      </c>
      <c r="K267" s="336">
        <f t="shared" si="123"/>
        <v>4.3292288245300519</v>
      </c>
      <c r="L267" s="337">
        <f t="shared" si="124"/>
        <v>1.3377032826903077</v>
      </c>
      <c r="M267" s="325">
        <f t="shared" si="104"/>
        <v>1.0008250329199326</v>
      </c>
      <c r="N267" s="337">
        <f t="shared" si="105"/>
        <v>4.0607045847441153E-2</v>
      </c>
      <c r="O267" s="343">
        <f t="shared" si="106"/>
        <v>1.0047476957616535</v>
      </c>
      <c r="P267" s="691">
        <f t="shared" si="107"/>
        <v>9.7252122885081019E-2</v>
      </c>
      <c r="Q267" s="336">
        <f t="shared" si="122"/>
        <v>6.3441550174475108</v>
      </c>
      <c r="R267" s="692">
        <f t="shared" si="108"/>
        <v>0.1076858117533873</v>
      </c>
      <c r="S267" s="329">
        <f t="shared" si="109"/>
        <v>1.0046201010236773</v>
      </c>
      <c r="T267" s="330">
        <f t="shared" si="110"/>
        <v>9.8562405331565017E-2</v>
      </c>
      <c r="U267" s="331">
        <f t="shared" si="111"/>
        <v>7.6445027351594241</v>
      </c>
      <c r="V267" s="332">
        <f t="shared" si="112"/>
        <v>-105.23048195242302</v>
      </c>
      <c r="W267" s="334">
        <f t="shared" si="113"/>
        <v>74.76951804757698</v>
      </c>
      <c r="Y267" s="307">
        <f t="shared" si="114"/>
        <v>1000000000</v>
      </c>
      <c r="Z267" s="307">
        <f t="shared" si="115"/>
        <v>281870521</v>
      </c>
      <c r="AB267" s="333">
        <f t="shared" si="116"/>
        <v>23.468657791468161</v>
      </c>
      <c r="AC267" s="334">
        <f t="shared" si="117"/>
        <v>-15.679288788635715</v>
      </c>
      <c r="AE267" s="333">
        <f t="shared" si="118"/>
        <v>26.927023658328331</v>
      </c>
      <c r="AF267" s="334">
        <f t="shared" si="119"/>
        <v>-88.953386826197644</v>
      </c>
      <c r="AH267">
        <f t="shared" si="120"/>
        <v>0</v>
      </c>
      <c r="AI267">
        <f t="shared" si="125"/>
        <v>0</v>
      </c>
    </row>
    <row r="268" spans="1:35" x14ac:dyDescent="0.2">
      <c r="A268" s="335">
        <v>16885.5</v>
      </c>
      <c r="B268" s="352">
        <f t="shared" si="121"/>
        <v>16.8855</v>
      </c>
      <c r="C268" s="325">
        <f t="shared" si="96"/>
        <v>10.521088776550442</v>
      </c>
      <c r="D268" s="326">
        <f t="shared" si="97"/>
        <v>1.475605435723536</v>
      </c>
      <c r="E268" s="326">
        <f t="shared" si="98"/>
        <v>1.0002250964808697</v>
      </c>
      <c r="F268" s="327">
        <f t="shared" si="99"/>
        <v>2.1215761371698283E-2</v>
      </c>
      <c r="G268" s="326">
        <f t="shared" si="100"/>
        <v>1</v>
      </c>
      <c r="H268" s="327">
        <f t="shared" si="101"/>
        <v>0</v>
      </c>
      <c r="I268" s="325">
        <f t="shared" si="102"/>
        <v>22411.442385615868</v>
      </c>
      <c r="J268" s="328">
        <f t="shared" si="103"/>
        <v>1.5707517067305954</v>
      </c>
      <c r="K268" s="336">
        <f t="shared" si="123"/>
        <v>4.352788330854513</v>
      </c>
      <c r="L268" s="337">
        <f t="shared" si="124"/>
        <v>1.3389880619610908</v>
      </c>
      <c r="M268" s="325">
        <f t="shared" si="104"/>
        <v>1.0008345404779293</v>
      </c>
      <c r="N268" s="337">
        <f t="shared" si="105"/>
        <v>4.0840188771238177E-2</v>
      </c>
      <c r="O268" s="343">
        <f t="shared" si="106"/>
        <v>1.0048022995280175</v>
      </c>
      <c r="P268" s="691">
        <f t="shared" si="107"/>
        <v>9.7807561628071346E-2</v>
      </c>
      <c r="Q268" s="336">
        <f t="shared" si="122"/>
        <v>6.3445722900101407</v>
      </c>
      <c r="R268" s="692">
        <f t="shared" si="108"/>
        <v>0.10830004286495126</v>
      </c>
      <c r="S268" s="329">
        <f t="shared" si="109"/>
        <v>1.0046732410933192</v>
      </c>
      <c r="T268" s="330">
        <f t="shared" si="110"/>
        <v>9.912552050907926E-2</v>
      </c>
      <c r="U268" s="331">
        <f t="shared" si="111"/>
        <v>7.5919124123688766</v>
      </c>
      <c r="V268" s="332">
        <f t="shared" si="112"/>
        <v>-105.23008822768195</v>
      </c>
      <c r="W268" s="334">
        <f t="shared" si="113"/>
        <v>74.769911772318054</v>
      </c>
      <c r="Y268" s="307">
        <f t="shared" si="114"/>
        <v>1000000000</v>
      </c>
      <c r="Z268" s="307">
        <f t="shared" si="115"/>
        <v>285120110.25</v>
      </c>
      <c r="AB268" s="333">
        <f t="shared" si="116"/>
        <v>23.465933502805633</v>
      </c>
      <c r="AC268" s="334">
        <f t="shared" si="117"/>
        <v>-15.619049158818759</v>
      </c>
      <c r="AE268" s="333">
        <f t="shared" si="118"/>
        <v>26.877256871962448</v>
      </c>
      <c r="AF268" s="334">
        <f t="shared" si="119"/>
        <v>-89.009864176682811</v>
      </c>
      <c r="AH268">
        <f t="shared" si="120"/>
        <v>0</v>
      </c>
      <c r="AI268">
        <f t="shared" si="125"/>
        <v>0</v>
      </c>
    </row>
    <row r="269" spans="1:35" x14ac:dyDescent="0.2">
      <c r="A269" s="335">
        <v>16982</v>
      </c>
      <c r="B269" s="352">
        <f t="shared" si="121"/>
        <v>16.981999999999999</v>
      </c>
      <c r="C269" s="325">
        <f t="shared" ref="C269:C332" si="126">SQRT(1+(A269/pole1)^2)</f>
        <v>10.580674743110199</v>
      </c>
      <c r="D269" s="326">
        <f t="shared" ref="D269:D332" si="127">ATAN(A269/pole1)</f>
        <v>1.4761431225902422</v>
      </c>
      <c r="E269" s="326">
        <f t="shared" ref="E269:E332" si="128">SQRT(1+(A269/Zero1)^2)</f>
        <v>1.0002276763749556</v>
      </c>
      <c r="F269" s="327">
        <f t="shared" ref="F269:F332" si="129">ATAN(A269/Zero1)</f>
        <v>2.1336971961208515E-2</v>
      </c>
      <c r="G269" s="326">
        <f t="shared" ref="G269:G332" si="130">IF(VIN_nom&gt;Vout, 1, SQRT(1+(A269/z_RHP)^2))</f>
        <v>1</v>
      </c>
      <c r="H269" s="327">
        <f t="shared" ref="H269:H332" si="131">IF(VIN_nom&gt;Vout, 0, -ATAN(A269/z_RHP))</f>
        <v>0</v>
      </c>
      <c r="I269" s="325">
        <f t="shared" ref="I269:I332" si="132">SQRT(1+(A269/Pole2)^2)</f>
        <v>22539.522939103674</v>
      </c>
      <c r="J269" s="328">
        <f t="shared" ref="J269:J332" si="133">ATAN(A269/Pole2)</f>
        <v>1.5707519602835454</v>
      </c>
      <c r="K269" s="336">
        <f t="shared" si="123"/>
        <v>4.3763549447774635</v>
      </c>
      <c r="L269" s="337">
        <f t="shared" si="124"/>
        <v>1.3402590062719704</v>
      </c>
      <c r="M269" s="325">
        <f t="shared" ref="M269:M332" si="134">SQRT(1+(A269/pole4)^2)</f>
        <v>1.0008441024358756</v>
      </c>
      <c r="N269" s="337">
        <f t="shared" ref="N269:N332" si="135">ATAN(A269/pole4)</f>
        <v>4.1073327252862071E-2</v>
      </c>
      <c r="O269" s="343">
        <f t="shared" ref="O269:O332" si="136">IF(VOUT_setting=1,1,SQRT(1+(A269*zterm1)^2))</f>
        <v>1.0048572132544009</v>
      </c>
      <c r="P269" s="691">
        <f t="shared" ref="P269:P332" si="137">IF(VOUT_setting=1,0,ATAN(((A269*zterm1))))</f>
        <v>9.8362939834834268E-2</v>
      </c>
      <c r="Q269" s="336">
        <f t="shared" si="122"/>
        <v>6.3449919264299419</v>
      </c>
      <c r="R269" s="692">
        <f t="shared" ref="R269:R332" si="138">IF(VOUT_setting=1,0,ATAN(A269*$Q$4/(1+Afbr-$Q$5*(A269)^2)))</f>
        <v>0.10891419346463285</v>
      </c>
      <c r="S269" s="329">
        <f t="shared" ref="S269:S332" si="139">SQRT((1-(Z269/pterm2))^2+(A269/pterm1)^2)</f>
        <v>1.004726682900684</v>
      </c>
      <c r="T269" s="330">
        <f t="shared" ref="T269:T332" si="140">IF((ATAN((A269/pterm1)/(1-A269^2/pterm2))&gt;0),ATAN((A269/pterm1)/(1-A269^2/pterm2)),PI()+ATAN((A269/pterm1)/(1-A269^2/pterm2)))</f>
        <v>9.9688577614984494E-2</v>
      </c>
      <c r="U269" s="331">
        <f t="shared" ref="U269:U332" si="141">20*LOG10(((E269*K269*G269*O269)/(C269*I269*S269*M269*Q269))*Adc)</f>
        <v>7.5396380072260873</v>
      </c>
      <c r="V269" s="332">
        <f t="shared" ref="V269:V332" si="142">((F269+L269+H269+P269)-(D269+J269+T269+N269+R269))*radconv</f>
        <v>-105.23013140003546</v>
      </c>
      <c r="W269" s="334">
        <f t="shared" ref="W269:W332" si="143">IF(V269&gt;0,V269,V269+180)</f>
        <v>74.769868599964539</v>
      </c>
      <c r="Y269" s="307">
        <f t="shared" ref="Y269:Y332" si="144">IF(U269&lt;0,A269,1000000000)</f>
        <v>1000000000</v>
      </c>
      <c r="Z269" s="307">
        <f t="shared" ref="Z269:Z332" si="145">A269^2</f>
        <v>288388324</v>
      </c>
      <c r="AB269" s="333">
        <f t="shared" ref="AB269:AB332" si="146">20*LOG10((K269/(I269*M269))*AEA)</f>
        <v>23.463252083133614</v>
      </c>
      <c r="AC269" s="334">
        <f t="shared" ref="AC269:AC332" si="147">(L269-(J269+N269))*radconv</f>
        <v>-15.55960179229432</v>
      </c>
      <c r="AE269" s="333">
        <f t="shared" ref="AE269:AE332" si="148">20*LOG10((E269*G269/(C269*S269))*Acs*Am)</f>
        <v>26.827763679039016</v>
      </c>
      <c r="AF269" s="334">
        <f t="shared" ref="AF269:AF332" si="149">(F269+H269-(D269+T269))*radconv</f>
        <v>-89.065987305490822</v>
      </c>
      <c r="AH269">
        <f t="shared" ref="AH269:AH332" si="150">SUM((U270&lt;0)*(U269&gt;0))*A269</f>
        <v>0</v>
      </c>
      <c r="AI269">
        <f t="shared" si="125"/>
        <v>0</v>
      </c>
    </row>
    <row r="270" spans="1:35" x14ac:dyDescent="0.2">
      <c r="A270" s="335">
        <v>17081</v>
      </c>
      <c r="B270" s="352">
        <f t="shared" ref="B270:B333" si="151">A270/1000</f>
        <v>17.081</v>
      </c>
      <c r="C270" s="325">
        <f t="shared" si="126"/>
        <v>10.641807530346716</v>
      </c>
      <c r="D270" s="326">
        <f t="shared" si="127"/>
        <v>1.4766884817298598</v>
      </c>
      <c r="E270" s="326">
        <f t="shared" si="128"/>
        <v>1.0002303383769424</v>
      </c>
      <c r="F270" s="327">
        <f t="shared" si="129"/>
        <v>2.1461322069763769E-2</v>
      </c>
      <c r="G270" s="326">
        <f t="shared" si="130"/>
        <v>1</v>
      </c>
      <c r="H270" s="327">
        <f t="shared" si="131"/>
        <v>0</v>
      </c>
      <c r="I270" s="325">
        <f t="shared" si="132"/>
        <v>22670.921641647052</v>
      </c>
      <c r="J270" s="328">
        <f t="shared" si="133"/>
        <v>1.5707522174280111</v>
      </c>
      <c r="K270" s="336">
        <f t="shared" si="123"/>
        <v>4.4005393592327779</v>
      </c>
      <c r="L270" s="337">
        <f t="shared" si="124"/>
        <v>1.3415487280847938</v>
      </c>
      <c r="M270" s="325">
        <f t="shared" si="134"/>
        <v>1.0008539686434981</v>
      </c>
      <c r="N270" s="337">
        <f t="shared" si="135"/>
        <v>4.1312500948804946E-2</v>
      </c>
      <c r="O270" s="343">
        <f t="shared" si="136"/>
        <v>1.0049138716720338</v>
      </c>
      <c r="P270" s="691">
        <f t="shared" si="137"/>
        <v>9.8932642820378322E-2</v>
      </c>
      <c r="Q270" s="336">
        <f t="shared" si="122"/>
        <v>6.3454248902782355</v>
      </c>
      <c r="R270" s="692">
        <f t="shared" si="138"/>
        <v>0.10954417057417698</v>
      </c>
      <c r="S270" s="329">
        <f t="shared" si="139"/>
        <v>1.0047818227250593</v>
      </c>
      <c r="T270" s="330">
        <f t="shared" si="140"/>
        <v>0.10026616100993101</v>
      </c>
      <c r="U270" s="331">
        <f t="shared" si="141"/>
        <v>7.4863334744004177</v>
      </c>
      <c r="V270" s="332">
        <f t="shared" si="142"/>
        <v>-105.2306227444391</v>
      </c>
      <c r="W270" s="334">
        <f t="shared" si="143"/>
        <v>74.769377255560897</v>
      </c>
      <c r="Y270" s="307">
        <f t="shared" si="144"/>
        <v>1000000000</v>
      </c>
      <c r="Z270" s="307">
        <f t="shared" si="145"/>
        <v>291760561</v>
      </c>
      <c r="AB270" s="333">
        <f t="shared" si="146"/>
        <v>23.460544766247764</v>
      </c>
      <c r="AC270" s="334">
        <f t="shared" si="147"/>
        <v>-15.499424552245497</v>
      </c>
      <c r="AE270" s="333">
        <f t="shared" si="148"/>
        <v>26.777269406661411</v>
      </c>
      <c r="AF270" s="334">
        <f t="shared" si="149"/>
        <v>-89.123202437020225</v>
      </c>
      <c r="AH270">
        <f t="shared" si="150"/>
        <v>0</v>
      </c>
      <c r="AI270">
        <f t="shared" si="125"/>
        <v>0</v>
      </c>
    </row>
    <row r="271" spans="1:35" x14ac:dyDescent="0.2">
      <c r="A271" s="335">
        <v>17180</v>
      </c>
      <c r="B271" s="352">
        <f t="shared" si="151"/>
        <v>17.18</v>
      </c>
      <c r="C271" s="325">
        <f t="shared" si="126"/>
        <v>10.702943446476709</v>
      </c>
      <c r="D271" s="326">
        <f t="shared" si="127"/>
        <v>1.4772276107738314</v>
      </c>
      <c r="E271" s="326">
        <f t="shared" si="128"/>
        <v>1.0002330158453578</v>
      </c>
      <c r="F271" s="327">
        <f t="shared" si="129"/>
        <v>2.1585671514509974E-2</v>
      </c>
      <c r="G271" s="326">
        <f t="shared" si="130"/>
        <v>1</v>
      </c>
      <c r="H271" s="327">
        <f t="shared" si="131"/>
        <v>0</v>
      </c>
      <c r="I271" s="325">
        <f t="shared" si="132"/>
        <v>22802.320344191918</v>
      </c>
      <c r="J271" s="328">
        <f t="shared" si="133"/>
        <v>1.5707524716088794</v>
      </c>
      <c r="K271" s="336">
        <f t="shared" si="123"/>
        <v>4.4247310134445819</v>
      </c>
      <c r="L271" s="337">
        <f t="shared" si="124"/>
        <v>1.3428243492201255</v>
      </c>
      <c r="M271" s="325">
        <f t="shared" si="134"/>
        <v>1.0008638921028974</v>
      </c>
      <c r="N271" s="337">
        <f t="shared" si="135"/>
        <v>4.1551669915665349E-2</v>
      </c>
      <c r="O271" s="343">
        <f t="shared" si="136"/>
        <v>1.0049708562091741</v>
      </c>
      <c r="P271" s="691">
        <f t="shared" si="137"/>
        <v>9.9502281383419738E-2</v>
      </c>
      <c r="Q271" s="336">
        <f t="shared" ref="Q271:Q334" si="152">IF(VOUT_setting=1,1,SQRT((1+Afbr-$Q$5*(A271)^2)^2+(A271*$Q$4)^2))</f>
        <v>6.3458603410472847</v>
      </c>
      <c r="R271" s="692">
        <f t="shared" si="138"/>
        <v>0.11017406201117372</v>
      </c>
      <c r="S271" s="329">
        <f t="shared" si="139"/>
        <v>1.004837280021124</v>
      </c>
      <c r="T271" s="330">
        <f t="shared" si="140"/>
        <v>0.10084368260446229</v>
      </c>
      <c r="U271" s="331">
        <f t="shared" si="141"/>
        <v>7.4333530405264447</v>
      </c>
      <c r="V271" s="332">
        <f t="shared" si="142"/>
        <v>-105.23155987879974</v>
      </c>
      <c r="W271" s="334">
        <f t="shared" si="143"/>
        <v>74.768440121200257</v>
      </c>
      <c r="Y271" s="307">
        <f t="shared" si="144"/>
        <v>1000000000</v>
      </c>
      <c r="Z271" s="307">
        <f t="shared" si="145"/>
        <v>295152400</v>
      </c>
      <c r="AB271" s="333">
        <f t="shared" si="146"/>
        <v>23.457880602404249</v>
      </c>
      <c r="AC271" s="334">
        <f t="shared" si="147"/>
        <v>-15.440054780748055</v>
      </c>
      <c r="AE271" s="333">
        <f t="shared" si="148"/>
        <v>26.727056652709081</v>
      </c>
      <c r="AF271" s="334">
        <f t="shared" si="149"/>
        <v>-89.180057107493241</v>
      </c>
      <c r="AH271">
        <f t="shared" si="150"/>
        <v>0</v>
      </c>
      <c r="AI271">
        <f t="shared" si="125"/>
        <v>0</v>
      </c>
    </row>
    <row r="272" spans="1:35" x14ac:dyDescent="0.2">
      <c r="A272" s="335">
        <v>17279</v>
      </c>
      <c r="B272" s="352">
        <f t="shared" si="151"/>
        <v>17.279</v>
      </c>
      <c r="C272" s="325">
        <f t="shared" si="126"/>
        <v>10.764082438187385</v>
      </c>
      <c r="D272" s="326">
        <f t="shared" si="127"/>
        <v>1.4777606155651484</v>
      </c>
      <c r="E272" s="326">
        <f t="shared" si="128"/>
        <v>1.0002357087800779</v>
      </c>
      <c r="F272" s="327">
        <f t="shared" si="129"/>
        <v>2.1710020291606898E-2</v>
      </c>
      <c r="G272" s="326">
        <f t="shared" si="130"/>
        <v>1</v>
      </c>
      <c r="H272" s="327">
        <f t="shared" si="131"/>
        <v>0</v>
      </c>
      <c r="I272" s="325">
        <f t="shared" si="132"/>
        <v>22933.719046738239</v>
      </c>
      <c r="J272" s="328">
        <f t="shared" si="133"/>
        <v>1.5707527228770899</v>
      </c>
      <c r="K272" s="336">
        <f t="shared" si="123"/>
        <v>4.4489297893114257</v>
      </c>
      <c r="L272" s="337">
        <f t="shared" si="124"/>
        <v>1.3440860955830478</v>
      </c>
      <c r="M272" s="325">
        <f t="shared" si="134"/>
        <v>1.0008738728123701</v>
      </c>
      <c r="N272" s="337">
        <f t="shared" si="135"/>
        <v>4.1790834126222559E-2</v>
      </c>
      <c r="O272" s="343">
        <f t="shared" si="136"/>
        <v>1.0050281668103496</v>
      </c>
      <c r="P272" s="691">
        <f t="shared" si="137"/>
        <v>0.10007185516526641</v>
      </c>
      <c r="Q272" s="336">
        <f t="shared" si="152"/>
        <v>6.3462982782252482</v>
      </c>
      <c r="R272" s="692">
        <f t="shared" si="138"/>
        <v>0.11080386730272061</v>
      </c>
      <c r="S272" s="329">
        <f t="shared" si="139"/>
        <v>1.0048930547364805</v>
      </c>
      <c r="T272" s="330">
        <f t="shared" si="140"/>
        <v>0.10142114205409866</v>
      </c>
      <c r="U272" s="331">
        <f t="shared" si="141"/>
        <v>7.3806925725426398</v>
      </c>
      <c r="V272" s="332">
        <f t="shared" si="142"/>
        <v>-105.23293589936446</v>
      </c>
      <c r="W272" s="334">
        <f t="shared" si="143"/>
        <v>74.767064100635537</v>
      </c>
      <c r="Y272" s="307">
        <f t="shared" si="144"/>
        <v>1000000000</v>
      </c>
      <c r="Z272" s="307">
        <f t="shared" si="145"/>
        <v>298563841</v>
      </c>
      <c r="AB272" s="333">
        <f t="shared" si="146"/>
        <v>23.455258636079208</v>
      </c>
      <c r="AC272" s="334">
        <f t="shared" si="147"/>
        <v>-15.381479535753186</v>
      </c>
      <c r="AE272" s="333">
        <f t="shared" si="148"/>
        <v>26.677122239204412</v>
      </c>
      <c r="AF272" s="334">
        <f t="shared" si="149"/>
        <v>-89.236557361749362</v>
      </c>
      <c r="AH272">
        <f t="shared" si="150"/>
        <v>0</v>
      </c>
      <c r="AI272">
        <f t="shared" si="125"/>
        <v>0</v>
      </c>
    </row>
    <row r="273" spans="1:35" x14ac:dyDescent="0.2">
      <c r="A273" s="335">
        <v>17378</v>
      </c>
      <c r="B273" s="352">
        <f t="shared" si="151"/>
        <v>17.378</v>
      </c>
      <c r="C273" s="325">
        <f t="shared" si="126"/>
        <v>10.825224453367706</v>
      </c>
      <c r="D273" s="326">
        <f t="shared" si="127"/>
        <v>1.4782875995696532</v>
      </c>
      <c r="E273" s="326">
        <f t="shared" si="128"/>
        <v>1.0002384171809777</v>
      </c>
      <c r="F273" s="327">
        <f t="shared" si="129"/>
        <v>2.1834368397214435E-2</v>
      </c>
      <c r="G273" s="326">
        <f t="shared" si="130"/>
        <v>1</v>
      </c>
      <c r="H273" s="327">
        <f t="shared" si="131"/>
        <v>0</v>
      </c>
      <c r="I273" s="325">
        <f t="shared" si="132"/>
        <v>23065.117749285986</v>
      </c>
      <c r="J273" s="328">
        <f t="shared" si="133"/>
        <v>1.5707529712824218</v>
      </c>
      <c r="K273" s="336">
        <f t="shared" si="123"/>
        <v>4.4731355712530894</v>
      </c>
      <c r="L273" s="337">
        <f t="shared" si="124"/>
        <v>1.3453341883676966</v>
      </c>
      <c r="M273" s="325">
        <f t="shared" si="134"/>
        <v>1.0008839107702039</v>
      </c>
      <c r="N273" s="337">
        <f t="shared" si="135"/>
        <v>4.2029993553259121E-2</v>
      </c>
      <c r="O273" s="343">
        <f t="shared" si="136"/>
        <v>1.0050858034197827</v>
      </c>
      <c r="P273" s="691">
        <f t="shared" si="137"/>
        <v>0.10064136380747594</v>
      </c>
      <c r="Q273" s="336">
        <f t="shared" si="152"/>
        <v>6.3467387012975074</v>
      </c>
      <c r="R273" s="692">
        <f t="shared" si="138"/>
        <v>0.11143358597631529</v>
      </c>
      <c r="S273" s="329">
        <f t="shared" si="139"/>
        <v>1.0049491468184426</v>
      </c>
      <c r="T273" s="330">
        <f t="shared" si="140"/>
        <v>0.10199853901459356</v>
      </c>
      <c r="U273" s="331">
        <f t="shared" si="141"/>
        <v>7.3283480157483982</v>
      </c>
      <c r="V273" s="332">
        <f t="shared" si="142"/>
        <v>-105.23474403605253</v>
      </c>
      <c r="W273" s="334">
        <f t="shared" si="143"/>
        <v>74.765255963947467</v>
      </c>
      <c r="Y273" s="307">
        <f t="shared" si="144"/>
        <v>1000000000</v>
      </c>
      <c r="Z273" s="307">
        <f t="shared" si="145"/>
        <v>301994884</v>
      </c>
      <c r="AB273" s="333">
        <f t="shared" si="146"/>
        <v>23.452677937538958</v>
      </c>
      <c r="AC273" s="334">
        <f t="shared" si="147"/>
        <v>-15.32368614506313</v>
      </c>
      <c r="AE273" s="333">
        <f t="shared" si="148"/>
        <v>26.627463040738245</v>
      </c>
      <c r="AF273" s="334">
        <f t="shared" si="149"/>
        <v>-89.292709108440846</v>
      </c>
      <c r="AH273">
        <f t="shared" si="150"/>
        <v>0</v>
      </c>
      <c r="AI273">
        <f t="shared" si="125"/>
        <v>0</v>
      </c>
    </row>
    <row r="274" spans="1:35" x14ac:dyDescent="0.2">
      <c r="A274" s="335">
        <v>17479.25</v>
      </c>
      <c r="B274" s="352">
        <f t="shared" si="151"/>
        <v>17.47925</v>
      </c>
      <c r="C274" s="325">
        <f t="shared" si="126"/>
        <v>10.887759134040291</v>
      </c>
      <c r="D274" s="326">
        <f t="shared" si="127"/>
        <v>1.4788204382962069</v>
      </c>
      <c r="E274" s="326">
        <f t="shared" si="128"/>
        <v>1.0002412031337424</v>
      </c>
      <c r="F274" s="327">
        <f t="shared" si="129"/>
        <v>2.1961541897574769E-2</v>
      </c>
      <c r="G274" s="326">
        <f t="shared" si="130"/>
        <v>1</v>
      </c>
      <c r="H274" s="327">
        <f t="shared" si="131"/>
        <v>0</v>
      </c>
      <c r="I274" s="325">
        <f t="shared" si="132"/>
        <v>23199.502785984005</v>
      </c>
      <c r="J274" s="328">
        <f t="shared" si="133"/>
        <v>1.57075322242281</v>
      </c>
      <c r="K274" s="336">
        <f t="shared" si="123"/>
        <v>4.4978986134472478</v>
      </c>
      <c r="L274" s="337">
        <f t="shared" si="124"/>
        <v>1.3465967500437754</v>
      </c>
      <c r="M274" s="325">
        <f t="shared" si="134"/>
        <v>1.0008942360764428</v>
      </c>
      <c r="N274" s="337">
        <f t="shared" si="135"/>
        <v>4.2274583445626415E-2</v>
      </c>
      <c r="O274" s="343">
        <f t="shared" si="136"/>
        <v>1.0051450871000802</v>
      </c>
      <c r="P274" s="691">
        <f t="shared" si="137"/>
        <v>0.10122374807748741</v>
      </c>
      <c r="Q274" s="336">
        <f t="shared" si="152"/>
        <v>6.3471917047285116</v>
      </c>
      <c r="R274" s="692">
        <f t="shared" si="138"/>
        <v>0.11207752635272551</v>
      </c>
      <c r="S274" s="329">
        <f t="shared" si="139"/>
        <v>1.0050068419331253</v>
      </c>
      <c r="T274" s="330">
        <f t="shared" si="140"/>
        <v>0.10258899363916664</v>
      </c>
      <c r="U274" s="331">
        <f t="shared" si="141"/>
        <v>7.2751364267269807</v>
      </c>
      <c r="V274" s="332">
        <f t="shared" si="142"/>
        <v>-105.23703330690745</v>
      </c>
      <c r="W274" s="334">
        <f t="shared" si="143"/>
        <v>74.762966693092551</v>
      </c>
      <c r="Y274" s="307">
        <f t="shared" si="144"/>
        <v>1000000000</v>
      </c>
      <c r="Z274" s="307">
        <f t="shared" si="145"/>
        <v>305524180.5625</v>
      </c>
      <c r="AB274" s="333">
        <f t="shared" si="146"/>
        <v>23.450080329267138</v>
      </c>
      <c r="AC274" s="334">
        <f t="shared" si="147"/>
        <v>-15.265375047410735</v>
      </c>
      <c r="AE274" s="333">
        <f t="shared" si="148"/>
        <v>26.576956689213667</v>
      </c>
      <c r="AF274" s="334">
        <f t="shared" si="149"/>
        <v>-89.349782571844173</v>
      </c>
      <c r="AH274">
        <f t="shared" si="150"/>
        <v>0</v>
      </c>
      <c r="AI274">
        <f t="shared" si="125"/>
        <v>0</v>
      </c>
    </row>
    <row r="275" spans="1:35" x14ac:dyDescent="0.2">
      <c r="A275" s="335">
        <v>17580.5</v>
      </c>
      <c r="B275" s="352">
        <f t="shared" si="151"/>
        <v>17.580500000000001</v>
      </c>
      <c r="C275" s="325">
        <f t="shared" si="126"/>
        <v>10.950296870626923</v>
      </c>
      <c r="D275" s="326">
        <f t="shared" si="127"/>
        <v>1.4793471910294287</v>
      </c>
      <c r="E275" s="326">
        <f t="shared" si="128"/>
        <v>1.0002440052634169</v>
      </c>
      <c r="F275" s="327">
        <f t="shared" si="129"/>
        <v>2.2088714687452451E-2</v>
      </c>
      <c r="G275" s="326">
        <f t="shared" si="130"/>
        <v>1</v>
      </c>
      <c r="H275" s="327">
        <f t="shared" si="131"/>
        <v>0</v>
      </c>
      <c r="I275" s="325">
        <f t="shared" si="132"/>
        <v>23333.887822683475</v>
      </c>
      <c r="J275" s="328">
        <f t="shared" si="133"/>
        <v>1.570753470670452</v>
      </c>
      <c r="K275" s="336">
        <f t="shared" si="123"/>
        <v>4.5226687470487175</v>
      </c>
      <c r="L275" s="337">
        <f t="shared" si="124"/>
        <v>1.3478454838837608</v>
      </c>
      <c r="M275" s="325">
        <f t="shared" si="134"/>
        <v>1.0009046212591568</v>
      </c>
      <c r="N275" s="337">
        <f t="shared" si="135"/>
        <v>4.2519168276995631E-2</v>
      </c>
      <c r="O275" s="343">
        <f t="shared" si="136"/>
        <v>1.0052047116566027</v>
      </c>
      <c r="P275" s="691">
        <f t="shared" si="137"/>
        <v>0.10180606345576594</v>
      </c>
      <c r="Q275" s="336">
        <f t="shared" si="152"/>
        <v>6.3476473072353601</v>
      </c>
      <c r="R275" s="692">
        <f t="shared" si="138"/>
        <v>0.11272137513087303</v>
      </c>
      <c r="S275" s="329">
        <f t="shared" si="139"/>
        <v>1.0050648688917065</v>
      </c>
      <c r="T275" s="330">
        <f t="shared" si="140"/>
        <v>0.10317938217432948</v>
      </c>
      <c r="U275" s="331">
        <f t="shared" si="141"/>
        <v>7.222246935583688</v>
      </c>
      <c r="V275" s="332">
        <f t="shared" si="142"/>
        <v>-105.23976065003777</v>
      </c>
      <c r="W275" s="334">
        <f t="shared" si="143"/>
        <v>74.760239349962234</v>
      </c>
      <c r="Y275" s="307">
        <f t="shared" si="144"/>
        <v>1000000000</v>
      </c>
      <c r="Z275" s="307">
        <f t="shared" si="145"/>
        <v>309073980.25</v>
      </c>
      <c r="AB275" s="333">
        <f t="shared" si="146"/>
        <v>23.447523997915045</v>
      </c>
      <c r="AC275" s="334">
        <f t="shared" si="147"/>
        <v>-15.207855770691221</v>
      </c>
      <c r="AE275" s="333">
        <f t="shared" si="148"/>
        <v>26.526731755617003</v>
      </c>
      <c r="AF275" s="334">
        <f t="shared" si="149"/>
        <v>-89.406503587578413</v>
      </c>
      <c r="AH275">
        <f t="shared" si="150"/>
        <v>0</v>
      </c>
      <c r="AI275">
        <f t="shared" si="125"/>
        <v>0</v>
      </c>
    </row>
    <row r="276" spans="1:35" x14ac:dyDescent="0.2">
      <c r="A276" s="335">
        <v>17681.75</v>
      </c>
      <c r="B276" s="352">
        <f t="shared" si="151"/>
        <v>17.681750000000001</v>
      </c>
      <c r="C276" s="325">
        <f t="shared" si="126"/>
        <v>11.012837611067466</v>
      </c>
      <c r="D276" s="326">
        <f t="shared" si="127"/>
        <v>1.4798679611596233</v>
      </c>
      <c r="E276" s="326">
        <f t="shared" si="128"/>
        <v>1.0002468235698656</v>
      </c>
      <c r="F276" s="327">
        <f t="shared" si="129"/>
        <v>2.2215886762739973E-2</v>
      </c>
      <c r="G276" s="326">
        <f t="shared" si="130"/>
        <v>1</v>
      </c>
      <c r="H276" s="327">
        <f t="shared" si="131"/>
        <v>0</v>
      </c>
      <c r="I276" s="325">
        <f t="shared" si="132"/>
        <v>23468.27285938436</v>
      </c>
      <c r="J276" s="328">
        <f t="shared" si="133"/>
        <v>1.5707537160750411</v>
      </c>
      <c r="K276" s="336">
        <f t="shared" si="123"/>
        <v>4.5474458561758944</v>
      </c>
      <c r="L276" s="337">
        <f t="shared" si="124"/>
        <v>1.3490806119871928</v>
      </c>
      <c r="M276" s="325">
        <f t="shared" si="134"/>
        <v>1.0009150663164819</v>
      </c>
      <c r="N276" s="337">
        <f t="shared" si="135"/>
        <v>4.2763748018261785E-2</v>
      </c>
      <c r="O276" s="343">
        <f t="shared" si="136"/>
        <v>1.0052646770286955</v>
      </c>
      <c r="P276" s="691">
        <f t="shared" si="137"/>
        <v>0.10238830955968918</v>
      </c>
      <c r="Q276" s="336">
        <f t="shared" si="152"/>
        <v>6.3481055082585343</v>
      </c>
      <c r="R276" s="692">
        <f t="shared" si="138"/>
        <v>0.1133651318066137</v>
      </c>
      <c r="S276" s="329">
        <f t="shared" si="139"/>
        <v>1.0051232276368924</v>
      </c>
      <c r="T276" s="330">
        <f t="shared" si="140"/>
        <v>0.10376970425259117</v>
      </c>
      <c r="U276" s="331">
        <f t="shared" si="141"/>
        <v>7.1696754465572088</v>
      </c>
      <c r="V276" s="332">
        <f t="shared" si="142"/>
        <v>-105.242919237302</v>
      </c>
      <c r="W276" s="334">
        <f t="shared" si="143"/>
        <v>74.757080762697996</v>
      </c>
      <c r="Y276" s="307">
        <f t="shared" si="144"/>
        <v>1000000000</v>
      </c>
      <c r="Z276" s="307">
        <f t="shared" si="145"/>
        <v>312644283.0625</v>
      </c>
      <c r="AB276" s="333">
        <f t="shared" si="146"/>
        <v>23.44500802734823</v>
      </c>
      <c r="AC276" s="334">
        <f t="shared" si="147"/>
        <v>-15.151115590717923</v>
      </c>
      <c r="AE276" s="333">
        <f t="shared" si="148"/>
        <v>26.476785059841028</v>
      </c>
      <c r="AF276" s="334">
        <f t="shared" si="149"/>
        <v>-89.462878058651356</v>
      </c>
      <c r="AH276">
        <f t="shared" si="150"/>
        <v>0</v>
      </c>
      <c r="AI276">
        <f t="shared" si="125"/>
        <v>0</v>
      </c>
    </row>
    <row r="277" spans="1:35" x14ac:dyDescent="0.2">
      <c r="A277" s="335">
        <v>17783</v>
      </c>
      <c r="B277" s="352">
        <f t="shared" si="151"/>
        <v>17.783000000000001</v>
      </c>
      <c r="C277" s="325">
        <f t="shared" si="126"/>
        <v>11.075381304475204</v>
      </c>
      <c r="D277" s="326">
        <f t="shared" si="127"/>
        <v>1.4803828497548259</v>
      </c>
      <c r="E277" s="326">
        <f t="shared" si="128"/>
        <v>1.0002496580529514</v>
      </c>
      <c r="F277" s="327">
        <f t="shared" si="129"/>
        <v>2.2343058119329937E-2</v>
      </c>
      <c r="G277" s="326">
        <f t="shared" si="130"/>
        <v>1</v>
      </c>
      <c r="H277" s="327">
        <f t="shared" si="131"/>
        <v>0</v>
      </c>
      <c r="I277" s="325">
        <f t="shared" si="132"/>
        <v>23602.657896086646</v>
      </c>
      <c r="J277" s="328">
        <f t="shared" si="133"/>
        <v>1.5707539586851396</v>
      </c>
      <c r="K277" s="336">
        <f t="shared" si="123"/>
        <v>4.5722298274267636</v>
      </c>
      <c r="L277" s="337">
        <f t="shared" si="124"/>
        <v>1.3503023518061017</v>
      </c>
      <c r="M277" s="325">
        <f t="shared" si="134"/>
        <v>1.0009255712465435</v>
      </c>
      <c r="N277" s="337">
        <f t="shared" si="135"/>
        <v>4.3008322640323525E-2</v>
      </c>
      <c r="O277" s="343">
        <f t="shared" si="136"/>
        <v>1.0053249831553719</v>
      </c>
      <c r="P277" s="691">
        <f t="shared" si="137"/>
        <v>0.10297048600691368</v>
      </c>
      <c r="Q277" s="336">
        <f t="shared" si="152"/>
        <v>6.3485663072354876</v>
      </c>
      <c r="R277" s="692">
        <f t="shared" si="138"/>
        <v>0.11400879587624997</v>
      </c>
      <c r="S277" s="329">
        <f t="shared" si="139"/>
        <v>1.0051819181110739</v>
      </c>
      <c r="T277" s="330">
        <f t="shared" si="140"/>
        <v>0.10435995950672121</v>
      </c>
      <c r="U277" s="331">
        <f t="shared" si="141"/>
        <v>7.1174179413197365</v>
      </c>
      <c r="V277" s="332">
        <f t="shared" si="142"/>
        <v>-105.24650237374493</v>
      </c>
      <c r="W277" s="334">
        <f t="shared" si="143"/>
        <v>74.753497626255069</v>
      </c>
      <c r="Y277" s="307">
        <f t="shared" si="144"/>
        <v>1000000000</v>
      </c>
      <c r="Z277" s="307">
        <f t="shared" si="145"/>
        <v>316235089</v>
      </c>
      <c r="AB277" s="333">
        <f t="shared" si="146"/>
        <v>23.442531526200238</v>
      </c>
      <c r="AC277" s="334">
        <f t="shared" si="147"/>
        <v>-15.095142049522252</v>
      </c>
      <c r="AE277" s="333">
        <f t="shared" si="148"/>
        <v>26.427113474441558</v>
      </c>
      <c r="AF277" s="334">
        <f t="shared" si="149"/>
        <v>-89.518911755029436</v>
      </c>
      <c r="AH277">
        <f t="shared" si="150"/>
        <v>0</v>
      </c>
      <c r="AI277">
        <f t="shared" si="125"/>
        <v>0</v>
      </c>
    </row>
    <row r="278" spans="1:35" x14ac:dyDescent="0.2">
      <c r="A278" s="335">
        <v>17886.5</v>
      </c>
      <c r="B278" s="352">
        <f t="shared" si="151"/>
        <v>17.886500000000002</v>
      </c>
      <c r="C278" s="325">
        <f t="shared" si="126"/>
        <v>11.139317858074019</v>
      </c>
      <c r="D278" s="326">
        <f t="shared" si="127"/>
        <v>1.4809032041526646</v>
      </c>
      <c r="E278" s="326">
        <f t="shared" si="128"/>
        <v>1.0002525722442599</v>
      </c>
      <c r="F278" s="327">
        <f t="shared" si="129"/>
        <v>2.2473054758958149E-2</v>
      </c>
      <c r="G278" s="326">
        <f t="shared" si="130"/>
        <v>1</v>
      </c>
      <c r="H278" s="327">
        <f t="shared" si="131"/>
        <v>0</v>
      </c>
      <c r="I278" s="325">
        <f t="shared" si="132"/>
        <v>23740.029266939287</v>
      </c>
      <c r="J278" s="328">
        <f t="shared" si="133"/>
        <v>1.5707542038476563</v>
      </c>
      <c r="K278" s="336">
        <f t="shared" si="123"/>
        <v>4.5975715305992191</v>
      </c>
      <c r="L278" s="337">
        <f t="shared" si="124"/>
        <v>1.3515376252100388</v>
      </c>
      <c r="M278" s="325">
        <f t="shared" si="134"/>
        <v>1.0009363715008108</v>
      </c>
      <c r="N278" s="337">
        <f t="shared" si="135"/>
        <v>4.3258326932580547E-2</v>
      </c>
      <c r="O278" s="343">
        <f t="shared" si="136"/>
        <v>1.0053869815515546</v>
      </c>
      <c r="P278" s="691">
        <f t="shared" si="137"/>
        <v>0.10356552731491669</v>
      </c>
      <c r="Q278" s="336">
        <f t="shared" si="152"/>
        <v>6.3490400307945025</v>
      </c>
      <c r="R278" s="692">
        <f t="shared" si="138"/>
        <v>0.1146666673520398</v>
      </c>
      <c r="S278" s="329">
        <f t="shared" si="139"/>
        <v>1.0052422556262395</v>
      </c>
      <c r="T278" s="330">
        <f t="shared" si="140"/>
        <v>0.10496326209407417</v>
      </c>
      <c r="U278" s="331">
        <f t="shared" si="141"/>
        <v>7.0643195806377799</v>
      </c>
      <c r="V278" s="332">
        <f t="shared" si="142"/>
        <v>-105.25059710625382</v>
      </c>
      <c r="W278" s="334">
        <f t="shared" si="143"/>
        <v>74.749402893746179</v>
      </c>
      <c r="Y278" s="307">
        <f t="shared" si="144"/>
        <v>1000000000</v>
      </c>
      <c r="Z278" s="307">
        <f t="shared" si="145"/>
        <v>319926882.25</v>
      </c>
      <c r="AB278" s="333">
        <f t="shared" si="146"/>
        <v>23.440039883480779</v>
      </c>
      <c r="AC278" s="334">
        <f t="shared" si="147"/>
        <v>-15.038704334451394</v>
      </c>
      <c r="AE278" s="333">
        <f t="shared" si="148"/>
        <v>26.376619222210572</v>
      </c>
      <c r="AF278" s="334">
        <f t="shared" si="149"/>
        <v>-89.575844299164771</v>
      </c>
      <c r="AH278">
        <f t="shared" si="150"/>
        <v>0</v>
      </c>
      <c r="AI278">
        <f t="shared" si="125"/>
        <v>0</v>
      </c>
    </row>
    <row r="279" spans="1:35" x14ac:dyDescent="0.2">
      <c r="A279" s="335">
        <v>17990</v>
      </c>
      <c r="B279" s="352">
        <f t="shared" si="151"/>
        <v>17.989999999999998</v>
      </c>
      <c r="C279" s="325">
        <f t="shared" si="126"/>
        <v>11.20325739342454</v>
      </c>
      <c r="D279" s="326">
        <f t="shared" si="127"/>
        <v>1.4814176191269208</v>
      </c>
      <c r="E279" s="326">
        <f t="shared" si="128"/>
        <v>1.0002555033388643</v>
      </c>
      <c r="F279" s="327">
        <f t="shared" si="129"/>
        <v>2.2603050638912922E-2</v>
      </c>
      <c r="G279" s="326">
        <f t="shared" si="130"/>
        <v>1</v>
      </c>
      <c r="H279" s="327">
        <f t="shared" si="131"/>
        <v>0</v>
      </c>
      <c r="I279" s="325">
        <f t="shared" si="132"/>
        <v>23877.400637793344</v>
      </c>
      <c r="J279" s="328">
        <f t="shared" si="133"/>
        <v>1.5707544461892369</v>
      </c>
      <c r="K279" s="336">
        <f t="shared" ref="K279:K342" si="153">SQRT(1+(A279/Zero2)^2)</f>
        <v>4.622920172287861</v>
      </c>
      <c r="L279" s="337">
        <f t="shared" ref="L279:L342" si="154">ATAN(A279/Zero2)</f>
        <v>1.3527593538275993</v>
      </c>
      <c r="M279" s="325">
        <f t="shared" si="134"/>
        <v>1.0009472343143968</v>
      </c>
      <c r="N279" s="337">
        <f t="shared" si="135"/>
        <v>4.3508325814102744E-2</v>
      </c>
      <c r="O279" s="343">
        <f t="shared" si="136"/>
        <v>1.0054493358853116</v>
      </c>
      <c r="P279" s="691">
        <f t="shared" si="137"/>
        <v>0.10416049502893822</v>
      </c>
      <c r="Q279" s="336">
        <f t="shared" si="152"/>
        <v>6.3495164678564588</v>
      </c>
      <c r="R279" s="692">
        <f t="shared" si="138"/>
        <v>0.1153244409972429</v>
      </c>
      <c r="S279" s="329">
        <f t="shared" si="139"/>
        <v>1.005302939654992</v>
      </c>
      <c r="T279" s="330">
        <f t="shared" si="140"/>
        <v>0.1055664940791789</v>
      </c>
      <c r="U279" s="331">
        <f t="shared" si="141"/>
        <v>7.0115410618201697</v>
      </c>
      <c r="V279" s="332">
        <f t="shared" si="142"/>
        <v>-105.25512173197301</v>
      </c>
      <c r="W279" s="334">
        <f t="shared" si="143"/>
        <v>74.744878268026994</v>
      </c>
      <c r="Y279" s="307">
        <f t="shared" si="144"/>
        <v>1000000000</v>
      </c>
      <c r="Z279" s="307">
        <f t="shared" si="145"/>
        <v>323640100</v>
      </c>
      <c r="AB279" s="333">
        <f t="shared" si="146"/>
        <v>23.437587676136413</v>
      </c>
      <c r="AC279" s="334">
        <f t="shared" si="147"/>
        <v>-14.983042206835201</v>
      </c>
      <c r="AE279" s="333">
        <f t="shared" si="148"/>
        <v>26.326405998230559</v>
      </c>
      <c r="AF279" s="334">
        <f t="shared" si="149"/>
        <v>-89.632432537710955</v>
      </c>
      <c r="AH279">
        <f t="shared" si="150"/>
        <v>0</v>
      </c>
      <c r="AI279">
        <f t="shared" si="125"/>
        <v>0</v>
      </c>
    </row>
    <row r="280" spans="1:35" x14ac:dyDescent="0.2">
      <c r="A280" s="335">
        <v>18093.5</v>
      </c>
      <c r="B280" s="352">
        <f t="shared" si="151"/>
        <v>18.093499999999999</v>
      </c>
      <c r="C280" s="325">
        <f t="shared" si="126"/>
        <v>11.267199859763894</v>
      </c>
      <c r="D280" s="326">
        <f t="shared" si="127"/>
        <v>1.4819261955234353</v>
      </c>
      <c r="E280" s="326">
        <f t="shared" si="128"/>
        <v>1.000258451336616</v>
      </c>
      <c r="F280" s="327">
        <f t="shared" si="129"/>
        <v>2.273304575480738E-2</v>
      </c>
      <c r="G280" s="326">
        <f t="shared" si="130"/>
        <v>1</v>
      </c>
      <c r="H280" s="327">
        <f t="shared" si="131"/>
        <v>0</v>
      </c>
      <c r="I280" s="325">
        <f t="shared" si="132"/>
        <v>24014.772008648779</v>
      </c>
      <c r="J280" s="328">
        <f t="shared" si="133"/>
        <v>1.570754685758291</v>
      </c>
      <c r="K280" s="336">
        <f t="shared" si="153"/>
        <v>4.6482756389783626</v>
      </c>
      <c r="L280" s="337">
        <f t="shared" si="154"/>
        <v>1.353967755634238</v>
      </c>
      <c r="M280" s="325">
        <f t="shared" si="134"/>
        <v>1.0009581596852652</v>
      </c>
      <c r="N280" s="337">
        <f t="shared" si="135"/>
        <v>4.3758319253817207E-2</v>
      </c>
      <c r="O280" s="343">
        <f t="shared" si="136"/>
        <v>1.0055120460904252</v>
      </c>
      <c r="P280" s="691">
        <f t="shared" si="137"/>
        <v>0.1047553887414877</v>
      </c>
      <c r="Q280" s="336">
        <f t="shared" si="152"/>
        <v>6.349995617810678</v>
      </c>
      <c r="R280" s="692">
        <f t="shared" si="138"/>
        <v>0.11598211627529215</v>
      </c>
      <c r="S280" s="329">
        <f t="shared" si="139"/>
        <v>1.0053639701347796</v>
      </c>
      <c r="T280" s="330">
        <f t="shared" si="140"/>
        <v>0.10616965507062723</v>
      </c>
      <c r="U280" s="331">
        <f t="shared" si="141"/>
        <v>6.9590783311336359</v>
      </c>
      <c r="V280" s="332">
        <f t="shared" si="142"/>
        <v>-105.26006951129304</v>
      </c>
      <c r="W280" s="334">
        <f t="shared" si="143"/>
        <v>74.73993048870696</v>
      </c>
      <c r="Y280" s="307">
        <f t="shared" si="144"/>
        <v>1000000000</v>
      </c>
      <c r="Z280" s="307">
        <f t="shared" si="145"/>
        <v>327374742.25</v>
      </c>
      <c r="AB280" s="333">
        <f t="shared" si="146"/>
        <v>23.435174027239558</v>
      </c>
      <c r="AC280" s="334">
        <f t="shared" si="147"/>
        <v>-14.928143178593388</v>
      </c>
      <c r="AE280" s="333">
        <f t="shared" si="148"/>
        <v>26.276470625172188</v>
      </c>
      <c r="AF280" s="334">
        <f t="shared" si="149"/>
        <v>-89.688682226534326</v>
      </c>
      <c r="AH280">
        <f t="shared" si="150"/>
        <v>0</v>
      </c>
      <c r="AI280">
        <f t="shared" si="125"/>
        <v>0</v>
      </c>
    </row>
    <row r="281" spans="1:35" x14ac:dyDescent="0.2">
      <c r="A281" s="335">
        <v>18197</v>
      </c>
      <c r="B281" s="352">
        <f t="shared" si="151"/>
        <v>18.196999999999999</v>
      </c>
      <c r="C281" s="325">
        <f t="shared" si="126"/>
        <v>11.331145207472739</v>
      </c>
      <c r="D281" s="326">
        <f t="shared" si="127"/>
        <v>1.4824290319238638</v>
      </c>
      <c r="E281" s="326">
        <f t="shared" si="128"/>
        <v>1.0002614162373653</v>
      </c>
      <c r="F281" s="327">
        <f t="shared" si="129"/>
        <v>2.2863040102254796E-2</v>
      </c>
      <c r="G281" s="326">
        <f t="shared" si="130"/>
        <v>1</v>
      </c>
      <c r="H281" s="327">
        <f t="shared" si="131"/>
        <v>0</v>
      </c>
      <c r="I281" s="325">
        <f t="shared" si="132"/>
        <v>24152.143379505585</v>
      </c>
      <c r="J281" s="328">
        <f t="shared" si="133"/>
        <v>1.5707549226021269</v>
      </c>
      <c r="K281" s="336">
        <f t="shared" si="153"/>
        <v>4.673637819589521</v>
      </c>
      <c r="L281" s="337">
        <f t="shared" si="154"/>
        <v>1.3551630440315068</v>
      </c>
      <c r="M281" s="325">
        <f t="shared" si="134"/>
        <v>1.0009691476113676</v>
      </c>
      <c r="N281" s="337">
        <f t="shared" si="135"/>
        <v>4.4008307220655095E-2</v>
      </c>
      <c r="O281" s="343">
        <f t="shared" si="136"/>
        <v>1.0055751121003162</v>
      </c>
      <c r="P281" s="691">
        <f t="shared" si="137"/>
        <v>0.10535020804538542</v>
      </c>
      <c r="Q281" s="336">
        <f t="shared" si="152"/>
        <v>6.35047748004318</v>
      </c>
      <c r="R281" s="692">
        <f t="shared" si="138"/>
        <v>0.11663969265011817</v>
      </c>
      <c r="S281" s="329">
        <f t="shared" si="139"/>
        <v>1.0054253470027092</v>
      </c>
      <c r="T281" s="330">
        <f t="shared" si="140"/>
        <v>0.1067727446773012</v>
      </c>
      <c r="U281" s="331">
        <f t="shared" si="141"/>
        <v>6.9069274112290868</v>
      </c>
      <c r="V281" s="332">
        <f t="shared" si="142"/>
        <v>-105.265433836906</v>
      </c>
      <c r="W281" s="334">
        <f t="shared" si="143"/>
        <v>74.734566163094001</v>
      </c>
      <c r="Y281" s="307">
        <f t="shared" si="144"/>
        <v>1000000000</v>
      </c>
      <c r="Z281" s="307">
        <f t="shared" si="145"/>
        <v>331130809</v>
      </c>
      <c r="AB281" s="333">
        <f t="shared" si="146"/>
        <v>23.432798083596609</v>
      </c>
      <c r="AC281" s="334">
        <f t="shared" si="147"/>
        <v>-14.873995023648133</v>
      </c>
      <c r="AE281" s="333">
        <f t="shared" si="148"/>
        <v>26.22680997835365</v>
      </c>
      <c r="AF281" s="334">
        <f t="shared" si="149"/>
        <v>-89.744598991789658</v>
      </c>
      <c r="AH281">
        <f t="shared" si="150"/>
        <v>0</v>
      </c>
      <c r="AI281">
        <f t="shared" si="125"/>
        <v>0</v>
      </c>
    </row>
    <row r="282" spans="1:35" x14ac:dyDescent="0.2">
      <c r="A282" s="335">
        <v>18303</v>
      </c>
      <c r="B282" s="352">
        <f t="shared" si="151"/>
        <v>18.303000000000001</v>
      </c>
      <c r="C282" s="325">
        <f t="shared" si="126"/>
        <v>11.396638064727819</v>
      </c>
      <c r="D282" s="326">
        <f t="shared" si="127"/>
        <v>1.4829381651810558</v>
      </c>
      <c r="E282" s="326">
        <f t="shared" si="128"/>
        <v>1.0002644702742742</v>
      </c>
      <c r="F282" s="327">
        <f t="shared" si="129"/>
        <v>2.299617360868858E-2</v>
      </c>
      <c r="G282" s="326">
        <f t="shared" si="130"/>
        <v>1</v>
      </c>
      <c r="H282" s="327">
        <f t="shared" si="131"/>
        <v>0</v>
      </c>
      <c r="I282" s="325">
        <f t="shared" si="132"/>
        <v>24292.832899418288</v>
      </c>
      <c r="J282" s="328">
        <f t="shared" si="133"/>
        <v>1.5707551623903817</v>
      </c>
      <c r="K282" s="336">
        <f t="shared" si="153"/>
        <v>4.6996194588208473</v>
      </c>
      <c r="L282" s="337">
        <f t="shared" si="154"/>
        <v>1.3563738300633343</v>
      </c>
      <c r="M282" s="325">
        <f t="shared" si="134"/>
        <v>1.0009804657841368</v>
      </c>
      <c r="N282" s="337">
        <f t="shared" si="135"/>
        <v>4.426432783895555E-2</v>
      </c>
      <c r="O282" s="343">
        <f t="shared" si="136"/>
        <v>1.0056400701738848</v>
      </c>
      <c r="P282" s="691">
        <f t="shared" si="137"/>
        <v>0.10595931741387424</v>
      </c>
      <c r="Q282" s="336">
        <f t="shared" si="152"/>
        <v>6.350973792155532</v>
      </c>
      <c r="R282" s="692">
        <f t="shared" si="138"/>
        <v>0.11731304943713648</v>
      </c>
      <c r="S282" s="329">
        <f t="shared" si="139"/>
        <v>1.005488565377092</v>
      </c>
      <c r="T282" s="330">
        <f t="shared" si="140"/>
        <v>0.10739032726541475</v>
      </c>
      <c r="U282" s="331">
        <f t="shared" si="141"/>
        <v>6.8538359289751565</v>
      </c>
      <c r="V282" s="332">
        <f t="shared" si="142"/>
        <v>-105.27135272769004</v>
      </c>
      <c r="W282" s="334">
        <f t="shared" si="143"/>
        <v>74.728647272309956</v>
      </c>
      <c r="Y282" s="307">
        <f t="shared" si="144"/>
        <v>1000000000</v>
      </c>
      <c r="Z282" s="307">
        <f t="shared" si="145"/>
        <v>334999809</v>
      </c>
      <c r="AB282" s="333">
        <f t="shared" si="146"/>
        <v>23.430402965065763</v>
      </c>
      <c r="AC282" s="334">
        <f t="shared" si="147"/>
        <v>-14.81930473382045</v>
      </c>
      <c r="AE282" s="333">
        <f t="shared" si="148"/>
        <v>26.176231348484041</v>
      </c>
      <c r="AF282" s="334">
        <f t="shared" si="149"/>
        <v>-89.801527066470811</v>
      </c>
      <c r="AH282">
        <f t="shared" si="150"/>
        <v>0</v>
      </c>
      <c r="AI282">
        <f t="shared" ref="AI282:AI345" si="155">IF(AH282&gt;0,W282,0)</f>
        <v>0</v>
      </c>
    </row>
    <row r="283" spans="1:35" x14ac:dyDescent="0.2">
      <c r="A283" s="335">
        <v>18409</v>
      </c>
      <c r="B283" s="352">
        <f t="shared" si="151"/>
        <v>18.408999999999999</v>
      </c>
      <c r="C283" s="325">
        <f t="shared" si="126"/>
        <v>11.4621338424214</v>
      </c>
      <c r="D283" s="326">
        <f t="shared" si="127"/>
        <v>1.4834414800909008</v>
      </c>
      <c r="E283" s="326">
        <f t="shared" si="128"/>
        <v>1.0002675420402927</v>
      </c>
      <c r="F283" s="327">
        <f t="shared" si="129"/>
        <v>2.3129306299790875E-2</v>
      </c>
      <c r="G283" s="326">
        <f t="shared" si="130"/>
        <v>1</v>
      </c>
      <c r="H283" s="327">
        <f t="shared" si="131"/>
        <v>0</v>
      </c>
      <c r="I283" s="325">
        <f t="shared" si="132"/>
        <v>24433.52241933237</v>
      </c>
      <c r="J283" s="328">
        <f t="shared" si="133"/>
        <v>1.5707553994172097</v>
      </c>
      <c r="K283" s="336">
        <f t="shared" si="153"/>
        <v>4.7256079119423058</v>
      </c>
      <c r="L283" s="337">
        <f t="shared" si="154"/>
        <v>1.357571300413178</v>
      </c>
      <c r="M283" s="325">
        <f t="shared" si="134"/>
        <v>1.0009918495662431</v>
      </c>
      <c r="N283" s="337">
        <f t="shared" si="135"/>
        <v>4.4520342650846451E-2</v>
      </c>
      <c r="O283" s="343">
        <f t="shared" si="136"/>
        <v>1.0057054013059437</v>
      </c>
      <c r="P283" s="691">
        <f t="shared" si="137"/>
        <v>0.10656834787219167</v>
      </c>
      <c r="Q283" s="336">
        <f t="shared" si="152"/>
        <v>6.3514729478424563</v>
      </c>
      <c r="R283" s="692">
        <f t="shared" si="138"/>
        <v>0.11798630134876383</v>
      </c>
      <c r="S283" s="329">
        <f t="shared" si="139"/>
        <v>1.0055521469408135</v>
      </c>
      <c r="T283" s="330">
        <f t="shared" si="140"/>
        <v>0.10800783414911388</v>
      </c>
      <c r="U283" s="331">
        <f t="shared" si="141"/>
        <v>6.8010632957318347</v>
      </c>
      <c r="V283" s="332">
        <f t="shared" si="142"/>
        <v>-105.27769491468007</v>
      </c>
      <c r="W283" s="334">
        <f t="shared" si="143"/>
        <v>74.722305085319931</v>
      </c>
      <c r="Y283" s="307">
        <f t="shared" si="144"/>
        <v>1000000000</v>
      </c>
      <c r="Z283" s="307">
        <f t="shared" si="145"/>
        <v>338891281</v>
      </c>
      <c r="AB283" s="333">
        <f t="shared" si="146"/>
        <v>23.428045656904814</v>
      </c>
      <c r="AC283" s="334">
        <f t="shared" si="147"/>
        <v>-14.765376885471788</v>
      </c>
      <c r="AE283" s="333">
        <f t="shared" si="148"/>
        <v>26.125934407189195</v>
      </c>
      <c r="AF283" s="334">
        <f t="shared" si="149"/>
        <v>-89.85811748357645</v>
      </c>
      <c r="AH283">
        <f t="shared" si="150"/>
        <v>0</v>
      </c>
      <c r="AI283">
        <f t="shared" si="155"/>
        <v>0</v>
      </c>
    </row>
    <row r="284" spans="1:35" x14ac:dyDescent="0.2">
      <c r="A284" s="335">
        <v>18515</v>
      </c>
      <c r="B284" s="352">
        <f t="shared" si="151"/>
        <v>18.515000000000001</v>
      </c>
      <c r="C284" s="325">
        <f t="shared" si="126"/>
        <v>11.527632490774899</v>
      </c>
      <c r="D284" s="326">
        <f t="shared" si="127"/>
        <v>1.4839390755736857</v>
      </c>
      <c r="E284" s="326">
        <f t="shared" si="128"/>
        <v>1.0002706315352576</v>
      </c>
      <c r="F284" s="327">
        <f t="shared" si="129"/>
        <v>2.3262438170849838E-2</v>
      </c>
      <c r="G284" s="326">
        <f t="shared" si="130"/>
        <v>1</v>
      </c>
      <c r="H284" s="327">
        <f t="shared" si="131"/>
        <v>0</v>
      </c>
      <c r="I284" s="325">
        <f t="shared" si="132"/>
        <v>24574.211939247809</v>
      </c>
      <c r="J284" s="328">
        <f t="shared" si="133"/>
        <v>1.5707556337300388</v>
      </c>
      <c r="K284" s="336">
        <f t="shared" si="153"/>
        <v>4.7516030671500715</v>
      </c>
      <c r="L284" s="337">
        <f t="shared" si="154"/>
        <v>1.3587556701613845</v>
      </c>
      <c r="M284" s="325">
        <f t="shared" si="134"/>
        <v>1.001003298955448</v>
      </c>
      <c r="N284" s="337">
        <f t="shared" si="135"/>
        <v>4.4776351622966198E-2</v>
      </c>
      <c r="O284" s="343">
        <f t="shared" si="136"/>
        <v>1.0057711054237959</v>
      </c>
      <c r="P284" s="691">
        <f t="shared" si="137"/>
        <v>0.10717729898395824</v>
      </c>
      <c r="Q284" s="336">
        <f t="shared" si="152"/>
        <v>6.3519749464336916</v>
      </c>
      <c r="R284" s="692">
        <f t="shared" si="138"/>
        <v>0.1186594478107787</v>
      </c>
      <c r="S284" s="329">
        <f t="shared" si="139"/>
        <v>1.0056160916251986</v>
      </c>
      <c r="T284" s="330">
        <f t="shared" si="140"/>
        <v>0.10862526490920515</v>
      </c>
      <c r="U284" s="331">
        <f t="shared" si="141"/>
        <v>6.7486054757518268</v>
      </c>
      <c r="V284" s="332">
        <f t="shared" si="142"/>
        <v>-105.28445371155509</v>
      </c>
      <c r="W284" s="334">
        <f t="shared" si="143"/>
        <v>74.715546288444912</v>
      </c>
      <c r="Y284" s="307">
        <f t="shared" si="144"/>
        <v>1000000000</v>
      </c>
      <c r="Z284" s="307">
        <f t="shared" si="145"/>
        <v>342805225</v>
      </c>
      <c r="AB284" s="333">
        <f t="shared" si="146"/>
        <v>23.425725315111706</v>
      </c>
      <c r="AC284" s="334">
        <f t="shared" si="147"/>
        <v>-14.712199156211955</v>
      </c>
      <c r="AE284" s="333">
        <f t="shared" si="148"/>
        <v>26.075915962149846</v>
      </c>
      <c r="AF284" s="334">
        <f t="shared" si="149"/>
        <v>-89.914375887073504</v>
      </c>
      <c r="AH284">
        <f t="shared" si="150"/>
        <v>0</v>
      </c>
      <c r="AI284">
        <f t="shared" si="155"/>
        <v>0</v>
      </c>
    </row>
    <row r="285" spans="1:35" x14ac:dyDescent="0.2">
      <c r="A285" s="335">
        <v>18621</v>
      </c>
      <c r="B285" s="352">
        <f t="shared" si="151"/>
        <v>18.620999999999999</v>
      </c>
      <c r="C285" s="325">
        <f t="shared" si="126"/>
        <v>11.593133961132533</v>
      </c>
      <c r="D285" s="326">
        <f t="shared" si="127"/>
        <v>1.4844310483255658</v>
      </c>
      <c r="E285" s="326">
        <f t="shared" si="128"/>
        <v>1.0002737387590046</v>
      </c>
      <c r="F285" s="327">
        <f t="shared" si="129"/>
        <v>2.3395569217153807E-2</v>
      </c>
      <c r="G285" s="326">
        <f t="shared" si="130"/>
        <v>1</v>
      </c>
      <c r="H285" s="327">
        <f t="shared" si="131"/>
        <v>0</v>
      </c>
      <c r="I285" s="325">
        <f t="shared" si="132"/>
        <v>24714.901459164586</v>
      </c>
      <c r="J285" s="328">
        <f t="shared" si="133"/>
        <v>1.5707558653752174</v>
      </c>
      <c r="K285" s="336">
        <f t="shared" si="153"/>
        <v>4.7776048150451205</v>
      </c>
      <c r="L285" s="337">
        <f t="shared" si="154"/>
        <v>1.3599271498548993</v>
      </c>
      <c r="M285" s="325">
        <f t="shared" si="134"/>
        <v>1.0010148139495001</v>
      </c>
      <c r="N285" s="337">
        <f t="shared" si="135"/>
        <v>4.5032354721957796E-2</v>
      </c>
      <c r="O285" s="343">
        <f t="shared" si="136"/>
        <v>1.0058371824543482</v>
      </c>
      <c r="P285" s="691">
        <f t="shared" si="137"/>
        <v>0.10778617031314355</v>
      </c>
      <c r="Q285" s="336">
        <f t="shared" si="152"/>
        <v>6.35247978725537</v>
      </c>
      <c r="R285" s="692">
        <f t="shared" si="138"/>
        <v>0.11933248824951813</v>
      </c>
      <c r="S285" s="329">
        <f t="shared" si="139"/>
        <v>1.0056803993611976</v>
      </c>
      <c r="T285" s="330">
        <f t="shared" si="140"/>
        <v>0.10924261912682103</v>
      </c>
      <c r="U285" s="331">
        <f t="shared" si="141"/>
        <v>6.6964585092213555</v>
      </c>
      <c r="V285" s="332">
        <f t="shared" si="142"/>
        <v>-105.29162256427455</v>
      </c>
      <c r="W285" s="334">
        <f t="shared" si="143"/>
        <v>74.708377435725453</v>
      </c>
      <c r="Y285" s="307">
        <f t="shared" si="144"/>
        <v>1000000000</v>
      </c>
      <c r="Z285" s="307">
        <f t="shared" si="145"/>
        <v>346741641</v>
      </c>
      <c r="AB285" s="333">
        <f t="shared" si="146"/>
        <v>23.423441118592937</v>
      </c>
      <c r="AC285" s="334">
        <f t="shared" si="147"/>
        <v>-14.659759483333925</v>
      </c>
      <c r="AE285" s="333">
        <f t="shared" si="148"/>
        <v>26.026172874068834</v>
      </c>
      <c r="AF285" s="334">
        <f t="shared" si="149"/>
        <v>-89.970307793514181</v>
      </c>
      <c r="AH285">
        <f t="shared" si="150"/>
        <v>0</v>
      </c>
      <c r="AI285">
        <f t="shared" si="155"/>
        <v>0</v>
      </c>
    </row>
    <row r="286" spans="1:35" x14ac:dyDescent="0.2">
      <c r="A286" s="335">
        <v>18729.5</v>
      </c>
      <c r="B286" s="352">
        <f t="shared" si="151"/>
        <v>18.729500000000002</v>
      </c>
      <c r="C286" s="325">
        <f t="shared" si="126"/>
        <v>11.660183150472175</v>
      </c>
      <c r="D286" s="326">
        <f t="shared" si="127"/>
        <v>1.4849288996576671</v>
      </c>
      <c r="E286" s="326">
        <f t="shared" si="128"/>
        <v>1.0002769376270684</v>
      </c>
      <c r="F286" s="327">
        <f t="shared" si="129"/>
        <v>2.3531839287545455E-2</v>
      </c>
      <c r="G286" s="326">
        <f t="shared" si="130"/>
        <v>1</v>
      </c>
      <c r="H286" s="327">
        <f t="shared" si="131"/>
        <v>0</v>
      </c>
      <c r="I286" s="325">
        <f t="shared" si="132"/>
        <v>24858.909128137358</v>
      </c>
      <c r="J286" s="328">
        <f t="shared" si="133"/>
        <v>1.5707560997682353</v>
      </c>
      <c r="K286" s="336">
        <f t="shared" si="153"/>
        <v>4.8042265277314664</v>
      </c>
      <c r="L286" s="337">
        <f t="shared" si="154"/>
        <v>1.3611131242623615</v>
      </c>
      <c r="M286" s="325">
        <f t="shared" si="134"/>
        <v>1.0010266684652573</v>
      </c>
      <c r="N286" s="337">
        <f t="shared" si="135"/>
        <v>4.5294389512537399E-2</v>
      </c>
      <c r="O286" s="343">
        <f t="shared" si="136"/>
        <v>1.0059052040378038</v>
      </c>
      <c r="P286" s="691">
        <f t="shared" si="137"/>
        <v>0.1084093187331603</v>
      </c>
      <c r="Q286" s="336">
        <f t="shared" si="152"/>
        <v>6.3529994775645786</v>
      </c>
      <c r="R286" s="692">
        <f t="shared" si="138"/>
        <v>0.12002129188172585</v>
      </c>
      <c r="S286" s="329">
        <f t="shared" si="139"/>
        <v>1.0057465997130111</v>
      </c>
      <c r="T286" s="330">
        <f t="shared" si="140"/>
        <v>0.10987445387691525</v>
      </c>
      <c r="U286" s="331">
        <f t="shared" si="141"/>
        <v>6.6433995429694273</v>
      </c>
      <c r="V286" s="332">
        <f t="shared" si="142"/>
        <v>-105.2993784647804</v>
      </c>
      <c r="W286" s="334">
        <f t="shared" si="143"/>
        <v>74.700621535219597</v>
      </c>
      <c r="Y286" s="307">
        <f t="shared" si="144"/>
        <v>1000000000</v>
      </c>
      <c r="Z286" s="307">
        <f t="shared" si="145"/>
        <v>350794170.25</v>
      </c>
      <c r="AB286" s="333">
        <f t="shared" si="146"/>
        <v>23.421139649786756</v>
      </c>
      <c r="AC286" s="334">
        <f t="shared" si="147"/>
        <v>-14.606835072431819</v>
      </c>
      <c r="AE286" s="333">
        <f t="shared" si="148"/>
        <v>25.975538552551427</v>
      </c>
      <c r="AF286" s="334">
        <f t="shared" si="149"/>
        <v>-90.027226338356314</v>
      </c>
      <c r="AH286">
        <f t="shared" si="150"/>
        <v>0</v>
      </c>
      <c r="AI286">
        <f t="shared" si="155"/>
        <v>0</v>
      </c>
    </row>
    <row r="287" spans="1:35" x14ac:dyDescent="0.2">
      <c r="A287" s="335">
        <v>18838</v>
      </c>
      <c r="B287" s="352">
        <f t="shared" si="151"/>
        <v>18.838000000000001</v>
      </c>
      <c r="C287" s="325">
        <f t="shared" si="126"/>
        <v>11.727235196810119</v>
      </c>
      <c r="D287" s="326">
        <f t="shared" si="127"/>
        <v>1.4854210580465363</v>
      </c>
      <c r="E287" s="326">
        <f t="shared" si="128"/>
        <v>1.000280155069688</v>
      </c>
      <c r="F287" s="327">
        <f t="shared" si="129"/>
        <v>2.3668108483830871E-2</v>
      </c>
      <c r="G287" s="326">
        <f t="shared" si="130"/>
        <v>1</v>
      </c>
      <c r="H287" s="327">
        <f t="shared" si="131"/>
        <v>0</v>
      </c>
      <c r="I287" s="325">
        <f t="shared" si="132"/>
        <v>25002.916797111484</v>
      </c>
      <c r="J287" s="328">
        <f t="shared" si="133"/>
        <v>1.570756331461217</v>
      </c>
      <c r="K287" s="336">
        <f t="shared" si="153"/>
        <v>4.8308549232505227</v>
      </c>
      <c r="L287" s="337">
        <f t="shared" si="154"/>
        <v>1.36228602576748</v>
      </c>
      <c r="M287" s="325">
        <f t="shared" si="134"/>
        <v>1.0010385917121085</v>
      </c>
      <c r="N287" s="337">
        <f t="shared" si="135"/>
        <v>4.5556418078980157E-2</v>
      </c>
      <c r="O287" s="343">
        <f t="shared" si="136"/>
        <v>1.0059736161753738</v>
      </c>
      <c r="P287" s="691">
        <f t="shared" si="137"/>
        <v>0.10903238263956026</v>
      </c>
      <c r="Q287" s="336">
        <f t="shared" si="152"/>
        <v>6.3535221443124295</v>
      </c>
      <c r="R287" s="692">
        <f t="shared" si="138"/>
        <v>0.12070998321613065</v>
      </c>
      <c r="S287" s="329">
        <f t="shared" si="139"/>
        <v>1.0058131802958641</v>
      </c>
      <c r="T287" s="330">
        <f t="shared" si="140"/>
        <v>0.11050620754444931</v>
      </c>
      <c r="U287" s="331">
        <f t="shared" si="141"/>
        <v>6.5906581061291645</v>
      </c>
      <c r="V287" s="332">
        <f t="shared" si="142"/>
        <v>-105.30755050695687</v>
      </c>
      <c r="W287" s="334">
        <f t="shared" si="143"/>
        <v>74.692449493043128</v>
      </c>
      <c r="Y287" s="307">
        <f t="shared" si="144"/>
        <v>1000000000</v>
      </c>
      <c r="Z287" s="307">
        <f t="shared" si="145"/>
        <v>354870244</v>
      </c>
      <c r="AB287" s="333">
        <f t="shared" si="146"/>
        <v>23.418874380851538</v>
      </c>
      <c r="AC287" s="334">
        <f t="shared" si="147"/>
        <v>-14.554659172343392</v>
      </c>
      <c r="AE287" s="333">
        <f t="shared" si="148"/>
        <v>25.925186239089321</v>
      </c>
      <c r="AF287" s="334">
        <f t="shared" si="149"/>
        <v>-90.083814105971967</v>
      </c>
      <c r="AH287">
        <f t="shared" si="150"/>
        <v>0</v>
      </c>
      <c r="AI287">
        <f t="shared" si="155"/>
        <v>0</v>
      </c>
    </row>
    <row r="288" spans="1:35" x14ac:dyDescent="0.2">
      <c r="A288" s="335">
        <v>18946.5</v>
      </c>
      <c r="B288" s="352">
        <f t="shared" si="151"/>
        <v>18.9465</v>
      </c>
      <c r="C288" s="325">
        <f t="shared" si="126"/>
        <v>11.794290051419162</v>
      </c>
      <c r="D288" s="326">
        <f t="shared" si="127"/>
        <v>1.4859076203510924</v>
      </c>
      <c r="E288" s="326">
        <f t="shared" si="128"/>
        <v>1.000283391086684</v>
      </c>
      <c r="F288" s="327">
        <f t="shared" si="129"/>
        <v>2.3804376800957674E-2</v>
      </c>
      <c r="G288" s="326">
        <f t="shared" si="130"/>
        <v>1</v>
      </c>
      <c r="H288" s="327">
        <f t="shared" si="131"/>
        <v>0</v>
      </c>
      <c r="I288" s="325">
        <f t="shared" si="132"/>
        <v>25146.924466086934</v>
      </c>
      <c r="J288" s="328">
        <f t="shared" si="133"/>
        <v>1.5707565605005487</v>
      </c>
      <c r="K288" s="336">
        <f t="shared" si="153"/>
        <v>4.8574898916979263</v>
      </c>
      <c r="L288" s="337">
        <f t="shared" si="154"/>
        <v>1.3634460661633974</v>
      </c>
      <c r="M288" s="325">
        <f t="shared" si="134"/>
        <v>1.001050583687598</v>
      </c>
      <c r="N288" s="337">
        <f t="shared" si="135"/>
        <v>4.5818440385527875E-2</v>
      </c>
      <c r="O288" s="343">
        <f t="shared" si="136"/>
        <v>1.0060424187873835</v>
      </c>
      <c r="P288" s="691">
        <f t="shared" si="137"/>
        <v>0.10965536156587653</v>
      </c>
      <c r="Q288" s="336">
        <f t="shared" si="152"/>
        <v>6.354047786764534</v>
      </c>
      <c r="R288" s="692">
        <f t="shared" si="138"/>
        <v>0.12139856163935168</v>
      </c>
      <c r="S288" s="329">
        <f t="shared" si="139"/>
        <v>1.0058801410344882</v>
      </c>
      <c r="T288" s="330">
        <f t="shared" si="140"/>
        <v>0.11113787968128633</v>
      </c>
      <c r="U288" s="331">
        <f t="shared" si="141"/>
        <v>6.5382301870411208</v>
      </c>
      <c r="V288" s="332">
        <f t="shared" si="142"/>
        <v>-105.31613207236254</v>
      </c>
      <c r="W288" s="334">
        <f t="shared" si="143"/>
        <v>74.683867927637465</v>
      </c>
      <c r="Y288" s="307">
        <f t="shared" si="144"/>
        <v>1000000000</v>
      </c>
      <c r="Z288" s="307">
        <f t="shared" si="145"/>
        <v>358969862.25</v>
      </c>
      <c r="AB288" s="333">
        <f t="shared" si="146"/>
        <v>23.41664450106687</v>
      </c>
      <c r="AC288" s="334">
        <f t="shared" si="147"/>
        <v>-14.503219648824384</v>
      </c>
      <c r="AE288" s="333">
        <f t="shared" si="148"/>
        <v>25.875112732115419</v>
      </c>
      <c r="AF288" s="334">
        <f t="shared" si="149"/>
        <v>-90.140076620581524</v>
      </c>
      <c r="AH288">
        <f t="shared" si="150"/>
        <v>0</v>
      </c>
      <c r="AI288">
        <f t="shared" si="155"/>
        <v>0</v>
      </c>
    </row>
    <row r="289" spans="1:35" x14ac:dyDescent="0.2">
      <c r="A289" s="335">
        <v>19055</v>
      </c>
      <c r="B289" s="352">
        <f t="shared" si="151"/>
        <v>19.055</v>
      </c>
      <c r="C289" s="325">
        <f t="shared" si="126"/>
        <v>11.861347666671946</v>
      </c>
      <c r="D289" s="326">
        <f t="shared" si="127"/>
        <v>1.4863886812506393</v>
      </c>
      <c r="E289" s="326">
        <f t="shared" si="128"/>
        <v>1.0002866456778761</v>
      </c>
      <c r="F289" s="327">
        <f t="shared" si="129"/>
        <v>2.3940644233873671E-2</v>
      </c>
      <c r="G289" s="326">
        <f t="shared" si="130"/>
        <v>1</v>
      </c>
      <c r="H289" s="327">
        <f t="shared" si="131"/>
        <v>0</v>
      </c>
      <c r="I289" s="325">
        <f t="shared" si="132"/>
        <v>25290.932135063686</v>
      </c>
      <c r="J289" s="328">
        <f t="shared" si="133"/>
        <v>1.5707567869315606</v>
      </c>
      <c r="K289" s="336">
        <f t="shared" si="153"/>
        <v>4.8841313255398733</v>
      </c>
      <c r="L289" s="337">
        <f t="shared" si="154"/>
        <v>1.3645934527623635</v>
      </c>
      <c r="M289" s="325">
        <f t="shared" si="134"/>
        <v>1.0010626443892561</v>
      </c>
      <c r="N289" s="337">
        <f t="shared" si="135"/>
        <v>4.6080456396427556E-2</v>
      </c>
      <c r="O289" s="343">
        <f t="shared" si="136"/>
        <v>1.0061116117937254</v>
      </c>
      <c r="P289" s="691">
        <f t="shared" si="137"/>
        <v>0.11027825504603328</v>
      </c>
      <c r="Q289" s="336">
        <f t="shared" si="152"/>
        <v>6.354576404182569</v>
      </c>
      <c r="R289" s="692">
        <f t="shared" si="138"/>
        <v>0.12208702653863336</v>
      </c>
      <c r="S289" s="329">
        <f t="shared" si="139"/>
        <v>1.0059474818532048</v>
      </c>
      <c r="T289" s="330">
        <f t="shared" si="140"/>
        <v>0.11176946983965455</v>
      </c>
      <c r="U289" s="331">
        <f t="shared" si="141"/>
        <v>6.4861118493721603</v>
      </c>
      <c r="V289" s="332">
        <f t="shared" si="142"/>
        <v>-105.32511667438364</v>
      </c>
      <c r="W289" s="334">
        <f t="shared" si="143"/>
        <v>74.674883325616364</v>
      </c>
      <c r="Y289" s="307">
        <f t="shared" si="144"/>
        <v>1000000000</v>
      </c>
      <c r="Z289" s="307">
        <f t="shared" si="145"/>
        <v>363093025</v>
      </c>
      <c r="AB289" s="333">
        <f t="shared" si="146"/>
        <v>23.414449221766503</v>
      </c>
      <c r="AC289" s="334">
        <f t="shared" si="147"/>
        <v>-14.452504624306544</v>
      </c>
      <c r="AE289" s="333">
        <f t="shared" si="148"/>
        <v>25.825314883331608</v>
      </c>
      <c r="AF289" s="334">
        <f t="shared" si="149"/>
        <v>-90.196019281543585</v>
      </c>
      <c r="AH289">
        <f t="shared" si="150"/>
        <v>0</v>
      </c>
      <c r="AI289">
        <f t="shared" si="155"/>
        <v>0</v>
      </c>
    </row>
    <row r="290" spans="1:35" x14ac:dyDescent="0.2">
      <c r="A290" s="335">
        <v>19165.75</v>
      </c>
      <c r="B290" s="352">
        <f t="shared" si="151"/>
        <v>19.165749999999999</v>
      </c>
      <c r="C290" s="325">
        <f t="shared" si="126"/>
        <v>11.929798676399777</v>
      </c>
      <c r="D290" s="326">
        <f t="shared" si="127"/>
        <v>1.4868741404611996</v>
      </c>
      <c r="E290" s="326">
        <f t="shared" si="128"/>
        <v>1.0002899869163611</v>
      </c>
      <c r="F290" s="327">
        <f t="shared" si="129"/>
        <v>2.4079736571979822E-2</v>
      </c>
      <c r="G290" s="326">
        <f t="shared" si="130"/>
        <v>1</v>
      </c>
      <c r="H290" s="327">
        <f t="shared" si="131"/>
        <v>0</v>
      </c>
      <c r="I290" s="325">
        <f t="shared" si="132"/>
        <v>25437.926138191051</v>
      </c>
      <c r="J290" s="328">
        <f t="shared" si="133"/>
        <v>1.5707570154141328</v>
      </c>
      <c r="K290" s="336">
        <f t="shared" si="153"/>
        <v>4.9113317901495295</v>
      </c>
      <c r="L290" s="337">
        <f t="shared" si="154"/>
        <v>1.3657517936936472</v>
      </c>
      <c r="M290" s="325">
        <f t="shared" si="134"/>
        <v>1.001075026073792</v>
      </c>
      <c r="N290" s="337">
        <f t="shared" si="135"/>
        <v>4.6347899389117556E-2</v>
      </c>
      <c r="O290" s="343">
        <f t="shared" si="136"/>
        <v>1.0061826422163169</v>
      </c>
      <c r="P290" s="691">
        <f t="shared" si="137"/>
        <v>0.11091397706608633</v>
      </c>
      <c r="Q290" s="336">
        <f t="shared" si="152"/>
        <v>6.3551190510870104</v>
      </c>
      <c r="R290" s="692">
        <f t="shared" si="138"/>
        <v>0.12278965064450585</v>
      </c>
      <c r="S290" s="329">
        <f t="shared" si="139"/>
        <v>1.0060166110460822</v>
      </c>
      <c r="T290" s="330">
        <f t="shared" si="140"/>
        <v>0.11241407247906357</v>
      </c>
      <c r="U290" s="331">
        <f t="shared" si="141"/>
        <v>6.4332279834808297</v>
      </c>
      <c r="V290" s="332">
        <f t="shared" si="142"/>
        <v>-105.33469665143731</v>
      </c>
      <c r="W290" s="334">
        <f t="shared" si="143"/>
        <v>74.665303348562688</v>
      </c>
      <c r="Y290" s="307">
        <f t="shared" si="144"/>
        <v>1000000000</v>
      </c>
      <c r="Z290" s="307">
        <f t="shared" si="145"/>
        <v>367325973.0625</v>
      </c>
      <c r="AB290" s="333">
        <f t="shared" si="146"/>
        <v>23.412243305732716</v>
      </c>
      <c r="AC290" s="334">
        <f t="shared" si="147"/>
        <v>-14.401473023476983</v>
      </c>
      <c r="AE290" s="333">
        <f t="shared" si="148"/>
        <v>25.774765437379838</v>
      </c>
      <c r="AF290" s="334">
        <f t="shared" si="149"/>
        <v>-90.252797652264363</v>
      </c>
      <c r="AH290">
        <f t="shared" si="150"/>
        <v>0</v>
      </c>
      <c r="AI290">
        <f t="shared" si="155"/>
        <v>0</v>
      </c>
    </row>
    <row r="291" spans="1:35" x14ac:dyDescent="0.2">
      <c r="A291" s="335">
        <v>19276.5</v>
      </c>
      <c r="B291" s="352">
        <f t="shared" si="151"/>
        <v>19.276499999999999</v>
      </c>
      <c r="C291" s="325">
        <f t="shared" si="126"/>
        <v>11.998252465550863</v>
      </c>
      <c r="D291" s="326">
        <f t="shared" si="127"/>
        <v>1.4873540603900262</v>
      </c>
      <c r="E291" s="326">
        <f t="shared" si="128"/>
        <v>1.0002933475070055</v>
      </c>
      <c r="F291" s="327">
        <f t="shared" si="129"/>
        <v>2.4218827978186256E-2</v>
      </c>
      <c r="G291" s="326">
        <f t="shared" si="130"/>
        <v>1</v>
      </c>
      <c r="H291" s="327">
        <f t="shared" si="131"/>
        <v>0</v>
      </c>
      <c r="I291" s="325">
        <f t="shared" si="132"/>
        <v>25584.920141319726</v>
      </c>
      <c r="J291" s="328">
        <f t="shared" si="133"/>
        <v>1.5707572412712862</v>
      </c>
      <c r="K291" s="336">
        <f t="shared" si="153"/>
        <v>4.9385387719612028</v>
      </c>
      <c r="L291" s="337">
        <f t="shared" si="154"/>
        <v>1.3668973732793608</v>
      </c>
      <c r="M291" s="325">
        <f t="shared" si="134"/>
        <v>1.0010874793592002</v>
      </c>
      <c r="N291" s="337">
        <f t="shared" si="135"/>
        <v>4.6615335747083854E-2</v>
      </c>
      <c r="O291" s="343">
        <f t="shared" si="136"/>
        <v>1.0062540792225587</v>
      </c>
      <c r="P291" s="691">
        <f t="shared" si="137"/>
        <v>0.11154960907935507</v>
      </c>
      <c r="Q291" s="336">
        <f t="shared" si="152"/>
        <v>6.3556647960554189</v>
      </c>
      <c r="R291" s="692">
        <f t="shared" si="138"/>
        <v>0.12349215518115225</v>
      </c>
      <c r="S291" s="329">
        <f t="shared" si="139"/>
        <v>1.0060861360855546</v>
      </c>
      <c r="T291" s="330">
        <f t="shared" si="140"/>
        <v>0.11305858876314626</v>
      </c>
      <c r="U291" s="331">
        <f t="shared" si="141"/>
        <v>6.3806586161599244</v>
      </c>
      <c r="V291" s="332">
        <f t="shared" si="142"/>
        <v>-105.34468330349658</v>
      </c>
      <c r="W291" s="334">
        <f t="shared" si="143"/>
        <v>74.655316696503419</v>
      </c>
      <c r="Y291" s="307">
        <f t="shared" si="144"/>
        <v>1000000000</v>
      </c>
      <c r="Z291" s="307">
        <f t="shared" si="145"/>
        <v>371583452.25</v>
      </c>
      <c r="AB291" s="333">
        <f t="shared" si="146"/>
        <v>23.410071846837969</v>
      </c>
      <c r="AC291" s="334">
        <f t="shared" si="147"/>
        <v>-14.351172063323249</v>
      </c>
      <c r="AE291" s="333">
        <f t="shared" si="148"/>
        <v>25.72449673715596</v>
      </c>
      <c r="AF291" s="334">
        <f t="shared" si="149"/>
        <v>-90.309253751118078</v>
      </c>
      <c r="AH291">
        <f t="shared" si="150"/>
        <v>0</v>
      </c>
      <c r="AI291">
        <f t="shared" si="155"/>
        <v>0</v>
      </c>
    </row>
    <row r="292" spans="1:35" x14ac:dyDescent="0.2">
      <c r="A292" s="335">
        <v>19387.25</v>
      </c>
      <c r="B292" s="352">
        <f t="shared" si="151"/>
        <v>19.387250000000002</v>
      </c>
      <c r="C292" s="325">
        <f t="shared" si="126"/>
        <v>12.066708986822647</v>
      </c>
      <c r="D292" s="326">
        <f t="shared" si="127"/>
        <v>1.4878285350900446</v>
      </c>
      <c r="E292" s="326">
        <f t="shared" si="128"/>
        <v>1.000296727449614</v>
      </c>
      <c r="F292" s="327">
        <f t="shared" si="129"/>
        <v>2.4357918447120552E-2</v>
      </c>
      <c r="G292" s="326">
        <f t="shared" si="130"/>
        <v>1</v>
      </c>
      <c r="H292" s="327">
        <f t="shared" si="131"/>
        <v>0</v>
      </c>
      <c r="I292" s="325">
        <f t="shared" si="132"/>
        <v>25731.914144449689</v>
      </c>
      <c r="J292" s="328">
        <f t="shared" si="133"/>
        <v>1.5707574645480138</v>
      </c>
      <c r="K292" s="336">
        <f t="shared" si="153"/>
        <v>4.9657521638531179</v>
      </c>
      <c r="L292" s="337">
        <f t="shared" si="154"/>
        <v>1.3680303982924882</v>
      </c>
      <c r="M292" s="325">
        <f t="shared" si="134"/>
        <v>1.0011000042428084</v>
      </c>
      <c r="N292" s="337">
        <f t="shared" si="135"/>
        <v>4.6882765432319458E-2</v>
      </c>
      <c r="O292" s="343">
        <f t="shared" si="136"/>
        <v>1.0063259227258636</v>
      </c>
      <c r="P292" s="691">
        <f t="shared" si="137"/>
        <v>0.11218515059143633</v>
      </c>
      <c r="Q292" s="336">
        <f t="shared" si="152"/>
        <v>6.3562136382899208</v>
      </c>
      <c r="R292" s="692">
        <f t="shared" si="138"/>
        <v>0.12419453949893607</v>
      </c>
      <c r="S292" s="329">
        <f t="shared" si="139"/>
        <v>1.00615605688982</v>
      </c>
      <c r="T292" s="330">
        <f t="shared" si="140"/>
        <v>0.11370301821688167</v>
      </c>
      <c r="U292" s="331">
        <f t="shared" si="141"/>
        <v>6.3283997919513491</v>
      </c>
      <c r="V292" s="332">
        <f t="shared" si="142"/>
        <v>-105.35507013677504</v>
      </c>
      <c r="W292" s="334">
        <f t="shared" si="143"/>
        <v>74.644929863224959</v>
      </c>
      <c r="Y292" s="307">
        <f t="shared" si="144"/>
        <v>1000000000</v>
      </c>
      <c r="Z292" s="307">
        <f t="shared" si="145"/>
        <v>375865462.5625</v>
      </c>
      <c r="AB292" s="333">
        <f t="shared" si="146"/>
        <v>23.407934072912905</v>
      </c>
      <c r="AC292" s="334">
        <f t="shared" si="147"/>
        <v>-14.301589897026306</v>
      </c>
      <c r="AE292" s="333">
        <f t="shared" si="148"/>
        <v>25.674505598689841</v>
      </c>
      <c r="AF292" s="334">
        <f t="shared" si="149"/>
        <v>-90.365392940031555</v>
      </c>
      <c r="AH292">
        <f t="shared" si="150"/>
        <v>0</v>
      </c>
      <c r="AI292">
        <f t="shared" si="155"/>
        <v>0</v>
      </c>
    </row>
    <row r="293" spans="1:35" x14ac:dyDescent="0.2">
      <c r="A293" s="335">
        <v>19498</v>
      </c>
      <c r="B293" s="352">
        <f t="shared" si="151"/>
        <v>19.498000000000001</v>
      </c>
      <c r="C293" s="325">
        <f t="shared" si="126"/>
        <v>12.135168193978076</v>
      </c>
      <c r="D293" s="326">
        <f t="shared" si="127"/>
        <v>1.4882976565017589</v>
      </c>
      <c r="E293" s="326">
        <f t="shared" si="128"/>
        <v>1.0003001267439906</v>
      </c>
      <c r="F293" s="327">
        <f t="shared" si="129"/>
        <v>2.4497007973410496E-2</v>
      </c>
      <c r="G293" s="326">
        <f t="shared" si="130"/>
        <v>1</v>
      </c>
      <c r="H293" s="327">
        <f t="shared" si="131"/>
        <v>0</v>
      </c>
      <c r="I293" s="325">
        <f t="shared" si="132"/>
        <v>25878.908147580925</v>
      </c>
      <c r="J293" s="328">
        <f t="shared" si="133"/>
        <v>1.5707576852882865</v>
      </c>
      <c r="K293" s="336">
        <f t="shared" si="153"/>
        <v>4.9929718610139355</v>
      </c>
      <c r="L293" s="337">
        <f t="shared" si="154"/>
        <v>1.369151071127571</v>
      </c>
      <c r="M293" s="325">
        <f t="shared" si="134"/>
        <v>1.0011126007219295</v>
      </c>
      <c r="N293" s="337">
        <f t="shared" si="135"/>
        <v>4.7150188406823154E-2</v>
      </c>
      <c r="O293" s="343">
        <f t="shared" si="136"/>
        <v>1.006398172639176</v>
      </c>
      <c r="P293" s="691">
        <f t="shared" si="137"/>
        <v>0.11282060110836012</v>
      </c>
      <c r="Q293" s="336">
        <f t="shared" si="152"/>
        <v>6.3567655769883888</v>
      </c>
      <c r="R293" s="692">
        <f t="shared" si="138"/>
        <v>0.1248968029489132</v>
      </c>
      <c r="S293" s="329">
        <f t="shared" si="139"/>
        <v>1.0062263733766328</v>
      </c>
      <c r="T293" s="330">
        <f t="shared" si="140"/>
        <v>0.11434736036565339</v>
      </c>
      <c r="U293" s="331">
        <f t="shared" si="141"/>
        <v>6.2764476293142826</v>
      </c>
      <c r="V293" s="332">
        <f t="shared" si="142"/>
        <v>-105.36585078729949</v>
      </c>
      <c r="W293" s="334">
        <f t="shared" si="143"/>
        <v>74.634149212700507</v>
      </c>
      <c r="Y293" s="307">
        <f t="shared" si="144"/>
        <v>1000000000</v>
      </c>
      <c r="Z293" s="307">
        <f t="shared" si="145"/>
        <v>380172004</v>
      </c>
      <c r="AB293" s="333">
        <f t="shared" si="146"/>
        <v>23.405829232781453</v>
      </c>
      <c r="AC293" s="334">
        <f t="shared" si="147"/>
        <v>-14.252714928575143</v>
      </c>
      <c r="AE293" s="333">
        <f t="shared" si="148"/>
        <v>25.624788890931931</v>
      </c>
      <c r="AF293" s="334">
        <f t="shared" si="149"/>
        <v>-90.421220459921898</v>
      </c>
      <c r="AH293">
        <f t="shared" si="150"/>
        <v>0</v>
      </c>
      <c r="AI293">
        <f t="shared" si="155"/>
        <v>0</v>
      </c>
    </row>
    <row r="294" spans="1:35" x14ac:dyDescent="0.2">
      <c r="A294" s="335">
        <v>19611.75</v>
      </c>
      <c r="B294" s="352">
        <f t="shared" si="151"/>
        <v>19.611750000000001</v>
      </c>
      <c r="C294" s="325">
        <f t="shared" si="126"/>
        <v>12.205484575139298</v>
      </c>
      <c r="D294" s="326">
        <f t="shared" si="127"/>
        <v>1.4887740071265978</v>
      </c>
      <c r="E294" s="326">
        <f t="shared" si="128"/>
        <v>1.0003036382635391</v>
      </c>
      <c r="F294" s="327">
        <f t="shared" si="129"/>
        <v>2.4639864174877658E-2</v>
      </c>
      <c r="G294" s="326">
        <f t="shared" si="130"/>
        <v>1</v>
      </c>
      <c r="H294" s="327">
        <f t="shared" si="131"/>
        <v>0</v>
      </c>
      <c r="I294" s="325">
        <f t="shared" si="132"/>
        <v>26029.883929579319</v>
      </c>
      <c r="J294" s="328">
        <f t="shared" si="133"/>
        <v>1.5707579094126696</v>
      </c>
      <c r="K294" s="336">
        <f t="shared" si="153"/>
        <v>5.0209353423772409</v>
      </c>
      <c r="L294" s="337">
        <f t="shared" si="154"/>
        <v>1.370289450270038</v>
      </c>
      <c r="M294" s="325">
        <f t="shared" si="134"/>
        <v>1.001125612942946</v>
      </c>
      <c r="N294" s="337">
        <f t="shared" si="135"/>
        <v>4.7424848318743655E-2</v>
      </c>
      <c r="O294" s="343">
        <f t="shared" si="136"/>
        <v>1.0064728026411973</v>
      </c>
      <c r="P294" s="691">
        <f t="shared" si="137"/>
        <v>0.11347316948757023</v>
      </c>
      <c r="Q294" s="336">
        <f t="shared" si="152"/>
        <v>6.3573356891909043</v>
      </c>
      <c r="R294" s="692">
        <f t="shared" si="138"/>
        <v>0.12561796283241497</v>
      </c>
      <c r="S294" s="329">
        <f t="shared" si="139"/>
        <v>1.0062990064172326</v>
      </c>
      <c r="T294" s="330">
        <f t="shared" si="140"/>
        <v>0.11500906509534246</v>
      </c>
      <c r="U294" s="331">
        <f t="shared" si="141"/>
        <v>6.2234034180435138</v>
      </c>
      <c r="V294" s="332">
        <f t="shared" si="142"/>
        <v>-105.37732687705098</v>
      </c>
      <c r="W294" s="334">
        <f t="shared" si="143"/>
        <v>74.622673122949024</v>
      </c>
      <c r="Y294" s="307">
        <f t="shared" si="144"/>
        <v>1000000000</v>
      </c>
      <c r="Z294" s="307">
        <f t="shared" si="145"/>
        <v>384620738.0625</v>
      </c>
      <c r="AB294" s="333">
        <f t="shared" si="146"/>
        <v>23.403700893155733</v>
      </c>
      <c r="AC294" s="334">
        <f t="shared" si="147"/>
        <v>-14.203240303305243</v>
      </c>
      <c r="AE294" s="333">
        <f t="shared" si="148"/>
        <v>25.574007903158442</v>
      </c>
      <c r="AF294" s="334">
        <f t="shared" si="149"/>
        <v>-90.478241171232426</v>
      </c>
      <c r="AH294">
        <f t="shared" si="150"/>
        <v>0</v>
      </c>
      <c r="AI294">
        <f t="shared" si="155"/>
        <v>0</v>
      </c>
    </row>
    <row r="295" spans="1:35" x14ac:dyDescent="0.2">
      <c r="A295" s="335">
        <v>19725.5</v>
      </c>
      <c r="B295" s="352">
        <f t="shared" si="151"/>
        <v>19.7255</v>
      </c>
      <c r="C295" s="325">
        <f t="shared" si="126"/>
        <v>12.275803694117483</v>
      </c>
      <c r="D295" s="326">
        <f t="shared" si="127"/>
        <v>1.4892449005272079</v>
      </c>
      <c r="E295" s="326">
        <f t="shared" si="128"/>
        <v>1.0003071701970345</v>
      </c>
      <c r="F295" s="327">
        <f t="shared" si="129"/>
        <v>2.478271937045284E-2</v>
      </c>
      <c r="G295" s="326">
        <f t="shared" si="130"/>
        <v>1</v>
      </c>
      <c r="H295" s="327">
        <f t="shared" si="131"/>
        <v>0</v>
      </c>
      <c r="I295" s="325">
        <f t="shared" si="132"/>
        <v>26180.859711579</v>
      </c>
      <c r="J295" s="328">
        <f t="shared" si="133"/>
        <v>1.5707581309521603</v>
      </c>
      <c r="K295" s="336">
        <f t="shared" si="153"/>
        <v>5.0489052583266343</v>
      </c>
      <c r="L295" s="337">
        <f t="shared" si="154"/>
        <v>1.3714152180766495</v>
      </c>
      <c r="M295" s="325">
        <f t="shared" si="134"/>
        <v>1.001138700684977</v>
      </c>
      <c r="N295" s="337">
        <f t="shared" si="135"/>
        <v>4.7699501070204049E-2</v>
      </c>
      <c r="O295" s="343">
        <f t="shared" si="136"/>
        <v>1.0065478611814587</v>
      </c>
      <c r="P295" s="691">
        <f t="shared" si="137"/>
        <v>0.11412564082020456</v>
      </c>
      <c r="Q295" s="336">
        <f t="shared" si="152"/>
        <v>6.3579090661546882</v>
      </c>
      <c r="R295" s="692">
        <f t="shared" si="138"/>
        <v>0.12633899382583863</v>
      </c>
      <c r="S295" s="329">
        <f t="shared" si="139"/>
        <v>1.006372056689937</v>
      </c>
      <c r="T295" s="330">
        <f t="shared" si="140"/>
        <v>0.11567067671256964</v>
      </c>
      <c r="U295" s="331">
        <f t="shared" si="141"/>
        <v>6.1706746384781921</v>
      </c>
      <c r="V295" s="332">
        <f t="shared" si="142"/>
        <v>-105.38920520702176</v>
      </c>
      <c r="W295" s="334">
        <f t="shared" si="143"/>
        <v>74.61079479297824</v>
      </c>
      <c r="Y295" s="307">
        <f t="shared" si="144"/>
        <v>1000000000</v>
      </c>
      <c r="Z295" s="307">
        <f t="shared" si="145"/>
        <v>389095350.25</v>
      </c>
      <c r="AB295" s="333">
        <f t="shared" si="146"/>
        <v>23.401605754527644</v>
      </c>
      <c r="AC295" s="334">
        <f t="shared" si="147"/>
        <v>-14.154487695987161</v>
      </c>
      <c r="AE295" s="333">
        <f t="shared" si="148"/>
        <v>25.52350988614559</v>
      </c>
      <c r="AF295" s="334">
        <f t="shared" si="149"/>
        <v>-90.534943929308724</v>
      </c>
      <c r="AH295">
        <f t="shared" si="150"/>
        <v>0</v>
      </c>
      <c r="AI295">
        <f t="shared" si="155"/>
        <v>0</v>
      </c>
    </row>
    <row r="296" spans="1:35" x14ac:dyDescent="0.2">
      <c r="A296" s="335">
        <v>19839.25</v>
      </c>
      <c r="B296" s="352">
        <f t="shared" si="151"/>
        <v>19.83925</v>
      </c>
      <c r="C296" s="325">
        <f t="shared" si="126"/>
        <v>12.346125504131754</v>
      </c>
      <c r="D296" s="326">
        <f t="shared" si="127"/>
        <v>1.4897104297437176</v>
      </c>
      <c r="E296" s="326">
        <f t="shared" si="128"/>
        <v>1.0003107225442613</v>
      </c>
      <c r="F296" s="327">
        <f t="shared" si="129"/>
        <v>2.4925573554316068E-2</v>
      </c>
      <c r="G296" s="326">
        <f t="shared" si="130"/>
        <v>1</v>
      </c>
      <c r="H296" s="327">
        <f t="shared" si="131"/>
        <v>0</v>
      </c>
      <c r="I296" s="325">
        <f t="shared" si="132"/>
        <v>26331.835493579954</v>
      </c>
      <c r="J296" s="328">
        <f t="shared" si="133"/>
        <v>1.5707583499512208</v>
      </c>
      <c r="K296" s="336">
        <f t="shared" si="153"/>
        <v>5.0768815025124816</v>
      </c>
      <c r="L296" s="337">
        <f t="shared" si="154"/>
        <v>1.3725285801550353</v>
      </c>
      <c r="M296" s="325">
        <f t="shared" si="134"/>
        <v>1.0011518639450612</v>
      </c>
      <c r="N296" s="337">
        <f t="shared" si="135"/>
        <v>4.7974146620049583E-2</v>
      </c>
      <c r="O296" s="343">
        <f t="shared" si="136"/>
        <v>1.0066233481640983</v>
      </c>
      <c r="P296" s="691">
        <f t="shared" si="137"/>
        <v>0.11477801457249559</v>
      </c>
      <c r="Q296" s="336">
        <f t="shared" si="152"/>
        <v>6.3584857069966789</v>
      </c>
      <c r="R296" s="692">
        <f t="shared" si="138"/>
        <v>0.12705989522836592</v>
      </c>
      <c r="S296" s="329">
        <f t="shared" si="139"/>
        <v>1.0064455241041788</v>
      </c>
      <c r="T296" s="330">
        <f t="shared" si="140"/>
        <v>0.11633219470444141</v>
      </c>
      <c r="U296" s="331">
        <f t="shared" si="141"/>
        <v>6.1182573165828105</v>
      </c>
      <c r="V296" s="332">
        <f t="shared" si="142"/>
        <v>-105.40147928913396</v>
      </c>
      <c r="W296" s="334">
        <f t="shared" si="143"/>
        <v>74.59852071086604</v>
      </c>
      <c r="Y296" s="307">
        <f t="shared" si="144"/>
        <v>1000000000</v>
      </c>
      <c r="Z296" s="307">
        <f t="shared" si="145"/>
        <v>393595840.5625</v>
      </c>
      <c r="AB296" s="333">
        <f t="shared" si="146"/>
        <v>23.399543067775536</v>
      </c>
      <c r="AC296" s="334">
        <f t="shared" si="147"/>
        <v>-14.106445326360916</v>
      </c>
      <c r="AE296" s="333">
        <f t="shared" si="148"/>
        <v>25.473291614226483</v>
      </c>
      <c r="AF296" s="334">
        <f t="shared" si="149"/>
        <v>-90.591334035904268</v>
      </c>
      <c r="AH296">
        <f t="shared" si="150"/>
        <v>0</v>
      </c>
      <c r="AI296">
        <f t="shared" si="155"/>
        <v>0</v>
      </c>
    </row>
    <row r="297" spans="1:35" x14ac:dyDescent="0.2">
      <c r="A297" s="335">
        <v>19953</v>
      </c>
      <c r="B297" s="352">
        <f t="shared" si="151"/>
        <v>19.952999999999999</v>
      </c>
      <c r="C297" s="325">
        <f t="shared" si="126"/>
        <v>12.416449959459246</v>
      </c>
      <c r="D297" s="326">
        <f t="shared" si="127"/>
        <v>1.4901706857178294</v>
      </c>
      <c r="E297" s="326">
        <f t="shared" si="128"/>
        <v>1.0003142953050017</v>
      </c>
      <c r="F297" s="327">
        <f t="shared" si="129"/>
        <v>2.5068426720647616E-2</v>
      </c>
      <c r="G297" s="326">
        <f t="shared" si="130"/>
        <v>1</v>
      </c>
      <c r="H297" s="327">
        <f t="shared" si="131"/>
        <v>0</v>
      </c>
      <c r="I297" s="325">
        <f t="shared" si="132"/>
        <v>26482.811275582153</v>
      </c>
      <c r="J297" s="328">
        <f t="shared" si="133"/>
        <v>1.5707585664532988</v>
      </c>
      <c r="K297" s="336">
        <f t="shared" si="153"/>
        <v>5.104863970892664</v>
      </c>
      <c r="L297" s="337">
        <f t="shared" si="154"/>
        <v>1.3736297377292066</v>
      </c>
      <c r="M297" s="325">
        <f t="shared" si="134"/>
        <v>1.0011651027202195</v>
      </c>
      <c r="N297" s="337">
        <f t="shared" si="135"/>
        <v>4.824878492713202E-2</v>
      </c>
      <c r="O297" s="343">
        <f t="shared" si="136"/>
        <v>1.0066992634927368</v>
      </c>
      <c r="P297" s="691">
        <f t="shared" si="137"/>
        <v>0.11543029021116769</v>
      </c>
      <c r="Q297" s="336">
        <f t="shared" si="152"/>
        <v>6.3590656108291101</v>
      </c>
      <c r="R297" s="692">
        <f t="shared" si="138"/>
        <v>0.12778066633996421</v>
      </c>
      <c r="S297" s="329">
        <f t="shared" si="139"/>
        <v>1.0065194085688998</v>
      </c>
      <c r="T297" s="330">
        <f t="shared" si="140"/>
        <v>0.11699361855852357</v>
      </c>
      <c r="U297" s="331">
        <f t="shared" si="141"/>
        <v>6.066147552687351</v>
      </c>
      <c r="V297" s="332">
        <f t="shared" si="142"/>
        <v>-105.41414276622737</v>
      </c>
      <c r="W297" s="334">
        <f t="shared" si="143"/>
        <v>74.585857233772629</v>
      </c>
      <c r="Y297" s="307">
        <f t="shared" si="144"/>
        <v>1000000000</v>
      </c>
      <c r="Z297" s="307">
        <f t="shared" si="145"/>
        <v>398122209</v>
      </c>
      <c r="AB297" s="333">
        <f t="shared" si="146"/>
        <v>23.397512104255675</v>
      </c>
      <c r="AC297" s="334">
        <f t="shared" si="147"/>
        <v>-14.059101665271708</v>
      </c>
      <c r="AE297" s="333">
        <f t="shared" si="148"/>
        <v>25.423349915618058</v>
      </c>
      <c r="AF297" s="334">
        <f t="shared" si="149"/>
        <v>-90.647416672567957</v>
      </c>
      <c r="AH297">
        <f t="shared" si="150"/>
        <v>0</v>
      </c>
      <c r="AI297">
        <f t="shared" si="155"/>
        <v>0</v>
      </c>
    </row>
    <row r="298" spans="1:35" x14ac:dyDescent="0.2">
      <c r="A298" s="335">
        <v>20069</v>
      </c>
      <c r="B298" s="352">
        <f t="shared" si="151"/>
        <v>20.068999999999999</v>
      </c>
      <c r="C298" s="325">
        <f t="shared" si="126"/>
        <v>12.488168125959367</v>
      </c>
      <c r="D298" s="326">
        <f t="shared" si="127"/>
        <v>1.4906347070739996</v>
      </c>
      <c r="E298" s="326">
        <f t="shared" si="128"/>
        <v>1.0003179597586906</v>
      </c>
      <c r="F298" s="327">
        <f t="shared" si="129"/>
        <v>2.5214104500051453E-2</v>
      </c>
      <c r="G298" s="326">
        <f t="shared" si="130"/>
        <v>1</v>
      </c>
      <c r="H298" s="327">
        <f t="shared" si="131"/>
        <v>0</v>
      </c>
      <c r="I298" s="325">
        <f t="shared" si="132"/>
        <v>26636.773391735114</v>
      </c>
      <c r="J298" s="328">
        <f t="shared" si="133"/>
        <v>1.5707587847102933</v>
      </c>
      <c r="K298" s="336">
        <f t="shared" si="153"/>
        <v>5.1334062432168457</v>
      </c>
      <c r="L298" s="337">
        <f t="shared" si="154"/>
        <v>1.3747403115918952</v>
      </c>
      <c r="M298" s="325">
        <f t="shared" si="134"/>
        <v>1.0011786811285588</v>
      </c>
      <c r="N298" s="337">
        <f t="shared" si="135"/>
        <v>4.8528848138563667E-2</v>
      </c>
      <c r="O298" s="343">
        <f t="shared" si="136"/>
        <v>1.0067771214817707</v>
      </c>
      <c r="P298" s="691">
        <f t="shared" si="137"/>
        <v>0.11609536640914529</v>
      </c>
      <c r="Q298" s="336">
        <f t="shared" si="152"/>
        <v>6.3596603448043689</v>
      </c>
      <c r="R298" s="692">
        <f t="shared" si="138"/>
        <v>0.1285155595554979</v>
      </c>
      <c r="S298" s="329">
        <f t="shared" si="139"/>
        <v>1.0065951838957565</v>
      </c>
      <c r="T298" s="330">
        <f t="shared" si="140"/>
        <v>0.11766802804176539</v>
      </c>
      <c r="U298" s="331">
        <f t="shared" si="141"/>
        <v>6.0133198226464293</v>
      </c>
      <c r="V298" s="332">
        <f t="shared" si="142"/>
        <v>-105.42745129717089</v>
      </c>
      <c r="W298" s="334">
        <f t="shared" si="143"/>
        <v>74.57254870282911</v>
      </c>
      <c r="Y298" s="307">
        <f t="shared" si="144"/>
        <v>1000000000</v>
      </c>
      <c r="Z298" s="307">
        <f t="shared" si="145"/>
        <v>402764761</v>
      </c>
      <c r="AB298" s="333">
        <f t="shared" si="146"/>
        <v>23.395472903794282</v>
      </c>
      <c r="AC298" s="334">
        <f t="shared" si="147"/>
        <v>-14.011529415264297</v>
      </c>
      <c r="AE298" s="333">
        <f t="shared" si="148"/>
        <v>25.372701959520725</v>
      </c>
      <c r="AF298" s="334">
        <f t="shared" si="149"/>
        <v>-90.704297233070122</v>
      </c>
      <c r="AH298">
        <f t="shared" si="150"/>
        <v>0</v>
      </c>
      <c r="AI298">
        <f t="shared" si="155"/>
        <v>0</v>
      </c>
    </row>
    <row r="299" spans="1:35" x14ac:dyDescent="0.2">
      <c r="A299" s="335">
        <v>20185</v>
      </c>
      <c r="B299" s="352">
        <f t="shared" si="151"/>
        <v>20.184999999999999</v>
      </c>
      <c r="C299" s="325">
        <f t="shared" si="126"/>
        <v>12.559888950651544</v>
      </c>
      <c r="D299" s="326">
        <f t="shared" si="127"/>
        <v>1.4910934291189915</v>
      </c>
      <c r="E299" s="326">
        <f t="shared" si="128"/>
        <v>1.0003216454409871</v>
      </c>
      <c r="F299" s="327">
        <f t="shared" si="129"/>
        <v>2.5359781209048086E-2</v>
      </c>
      <c r="G299" s="326">
        <f t="shared" si="130"/>
        <v>1</v>
      </c>
      <c r="H299" s="327">
        <f t="shared" si="131"/>
        <v>0</v>
      </c>
      <c r="I299" s="325">
        <f t="shared" si="132"/>
        <v>26790.735507889327</v>
      </c>
      <c r="J299" s="328">
        <f t="shared" si="133"/>
        <v>1.5707590004587109</v>
      </c>
      <c r="K299" s="336">
        <f t="shared" si="153"/>
        <v>5.1619547769306324</v>
      </c>
      <c r="L299" s="337">
        <f t="shared" si="154"/>
        <v>1.3758386025917226</v>
      </c>
      <c r="M299" s="325">
        <f t="shared" si="134"/>
        <v>1.0011923380626173</v>
      </c>
      <c r="N299" s="337">
        <f t="shared" si="135"/>
        <v>4.8808903731461524E-2</v>
      </c>
      <c r="O299" s="343">
        <f t="shared" si="136"/>
        <v>1.0068554247258663</v>
      </c>
      <c r="P299" s="691">
        <f t="shared" si="137"/>
        <v>0.11676033945513904</v>
      </c>
      <c r="Q299" s="336">
        <f t="shared" si="152"/>
        <v>6.360258470252429</v>
      </c>
      <c r="R299" s="692">
        <f t="shared" si="138"/>
        <v>0.12925031580686899</v>
      </c>
      <c r="S299" s="329">
        <f t="shared" si="139"/>
        <v>1.0066713927421471</v>
      </c>
      <c r="T299" s="330">
        <f t="shared" si="140"/>
        <v>0.11834233855136694</v>
      </c>
      <c r="U299" s="331">
        <f t="shared" si="141"/>
        <v>5.9608039752113751</v>
      </c>
      <c r="V299" s="332">
        <f t="shared" si="142"/>
        <v>-105.44115182917434</v>
      </c>
      <c r="W299" s="334">
        <f t="shared" si="143"/>
        <v>74.558848170825655</v>
      </c>
      <c r="Y299" s="307">
        <f t="shared" si="144"/>
        <v>1000000000</v>
      </c>
      <c r="Z299" s="307">
        <f t="shared" si="145"/>
        <v>407434225</v>
      </c>
      <c r="AB299" s="333">
        <f t="shared" si="146"/>
        <v>23.393465225680696</v>
      </c>
      <c r="AC299" s="334">
        <f t="shared" si="147"/>
        <v>-13.964660341219275</v>
      </c>
      <c r="AE299" s="333">
        <f t="shared" si="148"/>
        <v>25.322335130129151</v>
      </c>
      <c r="AF299" s="334">
        <f t="shared" si="149"/>
        <v>-90.760868555965018</v>
      </c>
      <c r="AH299">
        <f t="shared" si="150"/>
        <v>0</v>
      </c>
      <c r="AI299">
        <f t="shared" si="155"/>
        <v>0</v>
      </c>
    </row>
    <row r="300" spans="1:35" x14ac:dyDescent="0.2">
      <c r="A300" s="335">
        <v>20301</v>
      </c>
      <c r="B300" s="352">
        <f t="shared" si="151"/>
        <v>20.300999999999998</v>
      </c>
      <c r="C300" s="325">
        <f t="shared" si="126"/>
        <v>12.631612388257066</v>
      </c>
      <c r="D300" s="326">
        <f t="shared" si="127"/>
        <v>1.4915469419279919</v>
      </c>
      <c r="E300" s="326">
        <f t="shared" si="128"/>
        <v>1.0003253523516562</v>
      </c>
      <c r="F300" s="327">
        <f t="shared" si="129"/>
        <v>2.5505456841466365E-2</v>
      </c>
      <c r="G300" s="326">
        <f t="shared" si="130"/>
        <v>1</v>
      </c>
      <c r="H300" s="327">
        <f t="shared" si="131"/>
        <v>0</v>
      </c>
      <c r="I300" s="325">
        <f t="shared" si="132"/>
        <v>26944.697624044769</v>
      </c>
      <c r="J300" s="328">
        <f t="shared" si="133"/>
        <v>1.5707592137415538</v>
      </c>
      <c r="K300" s="336">
        <f t="shared" si="153"/>
        <v>5.1905094687184521</v>
      </c>
      <c r="L300" s="337">
        <f t="shared" si="154"/>
        <v>1.3769248107731271</v>
      </c>
      <c r="M300" s="325">
        <f t="shared" si="134"/>
        <v>1.0012060735191814</v>
      </c>
      <c r="N300" s="337">
        <f t="shared" si="135"/>
        <v>4.90889516622081E-2</v>
      </c>
      <c r="O300" s="343">
        <f t="shared" si="136"/>
        <v>1.0069341731211492</v>
      </c>
      <c r="P300" s="691">
        <f t="shared" si="137"/>
        <v>0.11742520878519465</v>
      </c>
      <c r="Q300" s="336">
        <f t="shared" si="152"/>
        <v>6.3608599862167177</v>
      </c>
      <c r="R300" s="692">
        <f t="shared" si="138"/>
        <v>0.12998493435422603</v>
      </c>
      <c r="S300" s="329">
        <f t="shared" si="139"/>
        <v>1.0067480350099298</v>
      </c>
      <c r="T300" s="330">
        <f t="shared" si="140"/>
        <v>0.11901654954537136</v>
      </c>
      <c r="U300" s="331">
        <f t="shared" si="141"/>
        <v>5.9085961019101951</v>
      </c>
      <c r="V300" s="332">
        <f t="shared" si="142"/>
        <v>-105.45523802065212</v>
      </c>
      <c r="W300" s="334">
        <f t="shared" si="143"/>
        <v>74.544761979347882</v>
      </c>
      <c r="Y300" s="307">
        <f t="shared" si="144"/>
        <v>1000000000</v>
      </c>
      <c r="Z300" s="307">
        <f t="shared" si="145"/>
        <v>412130601</v>
      </c>
      <c r="AB300" s="333">
        <f t="shared" si="146"/>
        <v>23.39148835877555</v>
      </c>
      <c r="AC300" s="334">
        <f t="shared" si="147"/>
        <v>-13.918482981399345</v>
      </c>
      <c r="AE300" s="333">
        <f t="shared" si="148"/>
        <v>25.272246229296258</v>
      </c>
      <c r="AF300" s="334">
        <f t="shared" si="149"/>
        <v>-90.817135771482469</v>
      </c>
      <c r="AH300">
        <f t="shared" si="150"/>
        <v>0</v>
      </c>
      <c r="AI300">
        <f t="shared" si="155"/>
        <v>0</v>
      </c>
    </row>
    <row r="301" spans="1:35" x14ac:dyDescent="0.2">
      <c r="A301" s="335">
        <v>20417</v>
      </c>
      <c r="B301" s="352">
        <f t="shared" si="151"/>
        <v>20.417000000000002</v>
      </c>
      <c r="C301" s="325">
        <f t="shared" si="126"/>
        <v>12.703338394518163</v>
      </c>
      <c r="D301" s="326">
        <f t="shared" si="127"/>
        <v>1.4919953335505294</v>
      </c>
      <c r="E301" s="326">
        <f t="shared" si="128"/>
        <v>1.0003290804904621</v>
      </c>
      <c r="F301" s="327">
        <f t="shared" si="129"/>
        <v>2.5651131391135413E-2</v>
      </c>
      <c r="G301" s="326">
        <f t="shared" si="130"/>
        <v>1</v>
      </c>
      <c r="H301" s="327">
        <f t="shared" si="131"/>
        <v>0</v>
      </c>
      <c r="I301" s="325">
        <f t="shared" si="132"/>
        <v>27098.65974020143</v>
      </c>
      <c r="J301" s="328">
        <f t="shared" si="133"/>
        <v>1.5707594246008467</v>
      </c>
      <c r="K301" s="336">
        <f t="shared" si="153"/>
        <v>5.2190702175037336</v>
      </c>
      <c r="L301" s="337">
        <f t="shared" si="154"/>
        <v>1.3779991319171381</v>
      </c>
      <c r="M301" s="325">
        <f t="shared" si="134"/>
        <v>1.0012198874950196</v>
      </c>
      <c r="N301" s="337">
        <f t="shared" si="135"/>
        <v>4.9368991887193112E-2</v>
      </c>
      <c r="O301" s="343">
        <f t="shared" si="136"/>
        <v>1.0070133665631869</v>
      </c>
      <c r="P301" s="691">
        <f t="shared" si="137"/>
        <v>0.11808997383590053</v>
      </c>
      <c r="Q301" s="336">
        <f t="shared" si="152"/>
        <v>6.3614648917356051</v>
      </c>
      <c r="R301" s="692">
        <f t="shared" si="138"/>
        <v>0.1307194144585837</v>
      </c>
      <c r="S301" s="329">
        <f t="shared" si="139"/>
        <v>1.0068251106004344</v>
      </c>
      <c r="T301" s="330">
        <f t="shared" si="140"/>
        <v>0.11969066048232861</v>
      </c>
      <c r="U301" s="331">
        <f t="shared" si="141"/>
        <v>5.8566923669934559</v>
      </c>
      <c r="V301" s="332">
        <f t="shared" si="142"/>
        <v>-105.46970365822425</v>
      </c>
      <c r="W301" s="334">
        <f t="shared" si="143"/>
        <v>74.530296341775752</v>
      </c>
      <c r="Y301" s="307">
        <f t="shared" si="144"/>
        <v>1000000000</v>
      </c>
      <c r="Z301" s="307">
        <f t="shared" si="145"/>
        <v>416853889</v>
      </c>
      <c r="AB301" s="333">
        <f t="shared" si="146"/>
        <v>23.389541611346605</v>
      </c>
      <c r="AC301" s="334">
        <f t="shared" si="147"/>
        <v>-13.872986118286951</v>
      </c>
      <c r="AE301" s="333">
        <f t="shared" si="148"/>
        <v>25.222432112186382</v>
      </c>
      <c r="AF301" s="334">
        <f t="shared" si="149"/>
        <v>-90.873103893819604</v>
      </c>
      <c r="AH301">
        <f t="shared" si="150"/>
        <v>0</v>
      </c>
      <c r="AI301">
        <f t="shared" si="155"/>
        <v>0</v>
      </c>
    </row>
    <row r="302" spans="1:35" x14ac:dyDescent="0.2">
      <c r="A302" s="335">
        <v>20536</v>
      </c>
      <c r="B302" s="352">
        <f t="shared" si="151"/>
        <v>20.536000000000001</v>
      </c>
      <c r="C302" s="325">
        <f t="shared" si="126"/>
        <v>12.776922007521273</v>
      </c>
      <c r="D302" s="326">
        <f t="shared" si="127"/>
        <v>1.4924500901488598</v>
      </c>
      <c r="E302" s="326">
        <f t="shared" si="128"/>
        <v>1.0003329271051433</v>
      </c>
      <c r="F302" s="327">
        <f t="shared" si="129"/>
        <v>2.580057225447268E-2</v>
      </c>
      <c r="G302" s="326">
        <f t="shared" si="130"/>
        <v>1</v>
      </c>
      <c r="H302" s="327">
        <f t="shared" si="131"/>
        <v>0</v>
      </c>
      <c r="I302" s="325">
        <f t="shared" si="132"/>
        <v>27256.603635225445</v>
      </c>
      <c r="J302" s="328">
        <f t="shared" si="133"/>
        <v>1.5707596384380635</v>
      </c>
      <c r="K302" s="336">
        <f t="shared" si="153"/>
        <v>5.248375796698217</v>
      </c>
      <c r="L302" s="337">
        <f t="shared" si="154"/>
        <v>1.3790890858969713</v>
      </c>
      <c r="M302" s="325">
        <f t="shared" si="134"/>
        <v>1.0012341403169862</v>
      </c>
      <c r="N302" s="337">
        <f t="shared" si="135"/>
        <v>4.965626647882114E-2</v>
      </c>
      <c r="O302" s="343">
        <f t="shared" si="136"/>
        <v>1.0070950704617758</v>
      </c>
      <c r="P302" s="691">
        <f t="shared" si="137"/>
        <v>0.11877182213672263</v>
      </c>
      <c r="Q302" s="336">
        <f t="shared" si="152"/>
        <v>6.3620889625290227</v>
      </c>
      <c r="R302" s="692">
        <f t="shared" si="138"/>
        <v>0.13147274510452076</v>
      </c>
      <c r="S302" s="329">
        <f t="shared" si="139"/>
        <v>1.006904629698774</v>
      </c>
      <c r="T302" s="330">
        <f t="shared" si="140"/>
        <v>0.12038210078384728</v>
      </c>
      <c r="U302" s="331">
        <f t="shared" si="141"/>
        <v>5.8037583872850433</v>
      </c>
      <c r="V302" s="332">
        <f t="shared" si="142"/>
        <v>-105.48493131974642</v>
      </c>
      <c r="W302" s="334">
        <f t="shared" si="143"/>
        <v>74.515068680253577</v>
      </c>
      <c r="Y302" s="307">
        <f t="shared" si="144"/>
        <v>1000000000</v>
      </c>
      <c r="Z302" s="307">
        <f t="shared" si="145"/>
        <v>421727296</v>
      </c>
      <c r="AB302" s="333">
        <f t="shared" si="146"/>
        <v>23.387575109789601</v>
      </c>
      <c r="AC302" s="334">
        <f t="shared" si="147"/>
        <v>-13.827008228958137</v>
      </c>
      <c r="AE302" s="333">
        <f t="shared" si="148"/>
        <v>25.171611993214562</v>
      </c>
      <c r="AF302" s="334">
        <f t="shared" si="149"/>
        <v>-90.930213807981161</v>
      </c>
      <c r="AH302">
        <f t="shared" si="150"/>
        <v>0</v>
      </c>
      <c r="AI302">
        <f t="shared" si="155"/>
        <v>0</v>
      </c>
    </row>
    <row r="303" spans="1:35" x14ac:dyDescent="0.2">
      <c r="A303" s="335">
        <v>20655</v>
      </c>
      <c r="B303" s="352">
        <f t="shared" si="151"/>
        <v>20.655000000000001</v>
      </c>
      <c r="C303" s="325">
        <f t="shared" si="126"/>
        <v>12.85050823257664</v>
      </c>
      <c r="D303" s="326">
        <f t="shared" si="127"/>
        <v>1.4928996386683926</v>
      </c>
      <c r="E303" s="326">
        <f t="shared" si="128"/>
        <v>1.000336796059659</v>
      </c>
      <c r="F303" s="327">
        <f t="shared" si="129"/>
        <v>2.5950011965176812E-2</v>
      </c>
      <c r="G303" s="326">
        <f t="shared" si="130"/>
        <v>1</v>
      </c>
      <c r="H303" s="327">
        <f t="shared" si="131"/>
        <v>0</v>
      </c>
      <c r="I303" s="325">
        <f t="shared" si="132"/>
        <v>27414.547530250693</v>
      </c>
      <c r="J303" s="328">
        <f t="shared" si="133"/>
        <v>1.5707598498113127</v>
      </c>
      <c r="K303" s="336">
        <f t="shared" si="153"/>
        <v>5.2776875417138456</v>
      </c>
      <c r="L303" s="337">
        <f t="shared" si="154"/>
        <v>1.3801669341562242</v>
      </c>
      <c r="M303" s="325">
        <f t="shared" si="134"/>
        <v>1.001248475765137</v>
      </c>
      <c r="N303" s="337">
        <f t="shared" si="135"/>
        <v>4.994353286800586E-2</v>
      </c>
      <c r="O303" s="343">
        <f t="shared" si="136"/>
        <v>1.0071772424999981</v>
      </c>
      <c r="P303" s="691">
        <f t="shared" si="137"/>
        <v>0.11945355949525804</v>
      </c>
      <c r="Q303" s="336">
        <f t="shared" si="152"/>
        <v>6.362716598399409</v>
      </c>
      <c r="R303" s="692">
        <f t="shared" si="138"/>
        <v>0.13222592848131343</v>
      </c>
      <c r="S303" s="329">
        <f t="shared" si="139"/>
        <v>1.0069846046108391</v>
      </c>
      <c r="T303" s="330">
        <f t="shared" si="140"/>
        <v>0.12107343463330658</v>
      </c>
      <c r="U303" s="331">
        <f t="shared" si="141"/>
        <v>5.7511365300116033</v>
      </c>
      <c r="V303" s="332">
        <f t="shared" si="142"/>
        <v>-105.50054546130318</v>
      </c>
      <c r="W303" s="334">
        <f t="shared" si="143"/>
        <v>74.499454538696824</v>
      </c>
      <c r="Y303" s="307">
        <f t="shared" si="144"/>
        <v>1000000000</v>
      </c>
      <c r="Z303" s="307">
        <f t="shared" si="145"/>
        <v>426629025</v>
      </c>
      <c r="AB303" s="333">
        <f t="shared" si="146"/>
        <v>23.385638890969727</v>
      </c>
      <c r="AC303" s="334">
        <f t="shared" si="147"/>
        <v>-13.781723335187001</v>
      </c>
      <c r="AE303" s="333">
        <f t="shared" si="148"/>
        <v>25.121074517068553</v>
      </c>
      <c r="AF303" s="334">
        <f t="shared" si="149"/>
        <v>-90.987019287995224</v>
      </c>
      <c r="AH303">
        <f t="shared" si="150"/>
        <v>0</v>
      </c>
      <c r="AI303">
        <f t="shared" si="155"/>
        <v>0</v>
      </c>
    </row>
    <row r="304" spans="1:35" x14ac:dyDescent="0.2">
      <c r="A304" s="335">
        <v>20774</v>
      </c>
      <c r="B304" s="352">
        <f t="shared" si="151"/>
        <v>20.774000000000001</v>
      </c>
      <c r="C304" s="325">
        <f t="shared" si="126"/>
        <v>12.924097025067365</v>
      </c>
      <c r="D304" s="326">
        <f t="shared" si="127"/>
        <v>1.4933440678890293</v>
      </c>
      <c r="E304" s="326">
        <f t="shared" si="128"/>
        <v>1.0003406873537504</v>
      </c>
      <c r="F304" s="327">
        <f t="shared" si="129"/>
        <v>2.6099450516586593E-2</v>
      </c>
      <c r="G304" s="326">
        <f t="shared" si="130"/>
        <v>1</v>
      </c>
      <c r="H304" s="327">
        <f t="shared" si="131"/>
        <v>0</v>
      </c>
      <c r="I304" s="325">
        <f t="shared" si="132"/>
        <v>27572.491425277149</v>
      </c>
      <c r="J304" s="328">
        <f t="shared" si="133"/>
        <v>1.5707600587629369</v>
      </c>
      <c r="K304" s="336">
        <f t="shared" si="153"/>
        <v>5.3070053503851051</v>
      </c>
      <c r="L304" s="337">
        <f t="shared" si="154"/>
        <v>1.3812328747986049</v>
      </c>
      <c r="M304" s="325">
        <f t="shared" si="134"/>
        <v>1.0012628938359227</v>
      </c>
      <c r="N304" s="337">
        <f t="shared" si="135"/>
        <v>5.0230791007689041E-2</v>
      </c>
      <c r="O304" s="343">
        <f t="shared" si="136"/>
        <v>1.007259882563281</v>
      </c>
      <c r="P304" s="691">
        <f t="shared" si="137"/>
        <v>0.12013518530504019</v>
      </c>
      <c r="Q304" s="336">
        <f t="shared" si="152"/>
        <v>6.3633477982920255</v>
      </c>
      <c r="R304" s="692">
        <f t="shared" si="138"/>
        <v>0.13297896379401478</v>
      </c>
      <c r="S304" s="329">
        <f t="shared" si="139"/>
        <v>1.0070650352283754</v>
      </c>
      <c r="T304" s="330">
        <f t="shared" si="140"/>
        <v>0.1217646614478311</v>
      </c>
      <c r="U304" s="331">
        <f t="shared" si="141"/>
        <v>5.6988228809667945</v>
      </c>
      <c r="V304" s="332">
        <f t="shared" si="142"/>
        <v>-105.51653977501778</v>
      </c>
      <c r="W304" s="334">
        <f t="shared" si="143"/>
        <v>74.483460224982224</v>
      </c>
      <c r="Y304" s="307">
        <f t="shared" si="144"/>
        <v>1000000000</v>
      </c>
      <c r="Z304" s="307">
        <f t="shared" si="145"/>
        <v>431559076</v>
      </c>
      <c r="AB304" s="333">
        <f t="shared" si="146"/>
        <v>23.383732267693915</v>
      </c>
      <c r="AC304" s="334">
        <f t="shared" si="147"/>
        <v>-13.737120086196979</v>
      </c>
      <c r="AE304" s="333">
        <f t="shared" si="148"/>
        <v>25.070816455838461</v>
      </c>
      <c r="AF304" s="334">
        <f t="shared" si="149"/>
        <v>-91.043525387560749</v>
      </c>
      <c r="AH304">
        <f t="shared" si="150"/>
        <v>0</v>
      </c>
      <c r="AI304">
        <f t="shared" si="155"/>
        <v>0</v>
      </c>
    </row>
    <row r="305" spans="1:35" x14ac:dyDescent="0.2">
      <c r="A305" s="335">
        <v>20893</v>
      </c>
      <c r="B305" s="352">
        <f t="shared" si="151"/>
        <v>20.893000000000001</v>
      </c>
      <c r="C305" s="325">
        <f t="shared" si="126"/>
        <v>12.99768834138543</v>
      </c>
      <c r="D305" s="326">
        <f t="shared" si="127"/>
        <v>1.4937834645882233</v>
      </c>
      <c r="E305" s="326">
        <f t="shared" si="128"/>
        <v>1.0003446009871564</v>
      </c>
      <c r="F305" s="327">
        <f t="shared" si="129"/>
        <v>2.6248887902041093E-2</v>
      </c>
      <c r="G305" s="326">
        <f t="shared" si="130"/>
        <v>1</v>
      </c>
      <c r="H305" s="327">
        <f t="shared" si="131"/>
        <v>0</v>
      </c>
      <c r="I305" s="325">
        <f t="shared" si="132"/>
        <v>27730.435320304798</v>
      </c>
      <c r="J305" s="328">
        <f t="shared" si="133"/>
        <v>1.5707602653343149</v>
      </c>
      <c r="K305" s="336">
        <f t="shared" si="153"/>
        <v>5.3363291227707697</v>
      </c>
      <c r="L305" s="337">
        <f t="shared" si="154"/>
        <v>1.3822871016830016</v>
      </c>
      <c r="M305" s="325">
        <f t="shared" si="134"/>
        <v>1.0012773945257745</v>
      </c>
      <c r="N305" s="337">
        <f t="shared" si="135"/>
        <v>5.0518040850820588E-2</v>
      </c>
      <c r="O305" s="343">
        <f t="shared" si="136"/>
        <v>1.0073429905364379</v>
      </c>
      <c r="P305" s="691">
        <f t="shared" si="137"/>
        <v>0.12081669896021549</v>
      </c>
      <c r="Q305" s="336">
        <f t="shared" si="152"/>
        <v>6.3639825611465675</v>
      </c>
      <c r="R305" s="692">
        <f t="shared" si="138"/>
        <v>0.13373185024865566</v>
      </c>
      <c r="S305" s="329">
        <f t="shared" si="139"/>
        <v>1.007145921442548</v>
      </c>
      <c r="T305" s="330">
        <f t="shared" si="140"/>
        <v>0.12245578064511822</v>
      </c>
      <c r="U305" s="331">
        <f t="shared" si="141"/>
        <v>5.646813598789068</v>
      </c>
      <c r="V305" s="332">
        <f t="shared" si="142"/>
        <v>-105.53290808149089</v>
      </c>
      <c r="W305" s="334">
        <f t="shared" si="143"/>
        <v>74.467091918509112</v>
      </c>
      <c r="Y305" s="307">
        <f t="shared" si="144"/>
        <v>1000000000</v>
      </c>
      <c r="Z305" s="307">
        <f t="shared" si="145"/>
        <v>436517449</v>
      </c>
      <c r="AB305" s="333">
        <f t="shared" si="146"/>
        <v>23.381854571600403</v>
      </c>
      <c r="AC305" s="334">
        <f t="shared" si="147"/>
        <v>-13.693187374366975</v>
      </c>
      <c r="AE305" s="333">
        <f t="shared" si="148"/>
        <v>25.020834635623579</v>
      </c>
      <c r="AF305" s="334">
        <f t="shared" si="149"/>
        <v>-91.099737045677799</v>
      </c>
      <c r="AH305">
        <f t="shared" si="150"/>
        <v>0</v>
      </c>
      <c r="AI305">
        <f t="shared" si="155"/>
        <v>0</v>
      </c>
    </row>
    <row r="306" spans="1:35" x14ac:dyDescent="0.2">
      <c r="A306" s="335">
        <v>21014.75</v>
      </c>
      <c r="B306" s="352">
        <f t="shared" si="151"/>
        <v>21.014749999999999</v>
      </c>
      <c r="C306" s="325">
        <f t="shared" si="126"/>
        <v>13.072982864902654</v>
      </c>
      <c r="D306" s="326">
        <f t="shared" si="127"/>
        <v>1.4942278955600314</v>
      </c>
      <c r="E306" s="326">
        <f t="shared" si="128"/>
        <v>1.0003486281810439</v>
      </c>
      <c r="F306" s="327">
        <f t="shared" si="129"/>
        <v>2.6401777458824081E-2</v>
      </c>
      <c r="G306" s="326">
        <f t="shared" si="130"/>
        <v>1</v>
      </c>
      <c r="H306" s="327">
        <f t="shared" si="131"/>
        <v>0</v>
      </c>
      <c r="I306" s="325">
        <f t="shared" si="132"/>
        <v>27892.029179294383</v>
      </c>
      <c r="J306" s="328">
        <f t="shared" si="133"/>
        <v>1.5707604742581813</v>
      </c>
      <c r="K306" s="336">
        <f t="shared" si="153"/>
        <v>5.3663366154321048</v>
      </c>
      <c r="L306" s="337">
        <f t="shared" si="154"/>
        <v>1.3833537658645743</v>
      </c>
      <c r="M306" s="325">
        <f t="shared" si="134"/>
        <v>1.0012923158168812</v>
      </c>
      <c r="N306" s="337">
        <f t="shared" si="135"/>
        <v>5.0811920185161501E-2</v>
      </c>
      <c r="O306" s="343">
        <f t="shared" si="136"/>
        <v>1.0074285032056061</v>
      </c>
      <c r="P306" s="691">
        <f t="shared" si="137"/>
        <v>0.12151384517706472</v>
      </c>
      <c r="Q306" s="336">
        <f t="shared" si="152"/>
        <v>6.3646356791983099</v>
      </c>
      <c r="R306" s="692">
        <f t="shared" si="138"/>
        <v>0.13450198045504708</v>
      </c>
      <c r="S306" s="329">
        <f t="shared" si="139"/>
        <v>1.0072291482728699</v>
      </c>
      <c r="T306" s="330">
        <f t="shared" si="140"/>
        <v>0.12316275910127519</v>
      </c>
      <c r="U306" s="331">
        <f t="shared" si="141"/>
        <v>5.5939134884489725</v>
      </c>
      <c r="V306" s="332">
        <f t="shared" si="142"/>
        <v>-105.55003539069969</v>
      </c>
      <c r="W306" s="334">
        <f t="shared" si="143"/>
        <v>74.449964609300309</v>
      </c>
      <c r="Y306" s="307">
        <f t="shared" si="144"/>
        <v>1000000000</v>
      </c>
      <c r="Z306" s="307">
        <f t="shared" si="145"/>
        <v>441619717.5625</v>
      </c>
      <c r="AB306" s="333">
        <f t="shared" si="146"/>
        <v>23.379962743075726</v>
      </c>
      <c r="AC306" s="334">
        <f t="shared" si="147"/>
        <v>-13.648922034554145</v>
      </c>
      <c r="AE306" s="333">
        <f t="shared" si="148"/>
        <v>24.969980409030882</v>
      </c>
      <c r="AF306" s="334">
        <f t="shared" si="149"/>
        <v>-91.156948020121831</v>
      </c>
      <c r="AH306">
        <f t="shared" si="150"/>
        <v>0</v>
      </c>
      <c r="AI306">
        <f t="shared" si="155"/>
        <v>0</v>
      </c>
    </row>
    <row r="307" spans="1:35" x14ac:dyDescent="0.2">
      <c r="A307" s="335">
        <v>21136.5</v>
      </c>
      <c r="B307" s="352">
        <f t="shared" si="151"/>
        <v>21.136500000000002</v>
      </c>
      <c r="C307" s="325">
        <f t="shared" si="126"/>
        <v>13.148279941006786</v>
      </c>
      <c r="D307" s="326">
        <f t="shared" si="127"/>
        <v>1.4946672363165721</v>
      </c>
      <c r="E307" s="326">
        <f t="shared" si="128"/>
        <v>1.0003526787581085</v>
      </c>
      <c r="F307" s="327">
        <f t="shared" si="129"/>
        <v>2.6554665781035644E-2</v>
      </c>
      <c r="G307" s="326">
        <f t="shared" si="130"/>
        <v>1</v>
      </c>
      <c r="H307" s="327">
        <f t="shared" si="131"/>
        <v>0</v>
      </c>
      <c r="I307" s="325">
        <f t="shared" si="132"/>
        <v>28053.623038285168</v>
      </c>
      <c r="J307" s="328">
        <f t="shared" si="133"/>
        <v>1.5707606807751704</v>
      </c>
      <c r="K307" s="336">
        <f t="shared" si="153"/>
        <v>5.3963501458558962</v>
      </c>
      <c r="L307" s="337">
        <f t="shared" si="154"/>
        <v>1.384408566045922</v>
      </c>
      <c r="M307" s="325">
        <f t="shared" si="134"/>
        <v>1.0013073235820802</v>
      </c>
      <c r="N307" s="337">
        <f t="shared" si="135"/>
        <v>5.1105790735454605E-2</v>
      </c>
      <c r="O307" s="343">
        <f t="shared" si="136"/>
        <v>1.0075145054147179</v>
      </c>
      <c r="P307" s="691">
        <f t="shared" si="137"/>
        <v>0.12221087271476121</v>
      </c>
      <c r="Q307" s="336">
        <f t="shared" si="152"/>
        <v>6.3652925245262271</v>
      </c>
      <c r="R307" s="692">
        <f t="shared" si="138"/>
        <v>0.13527195316565768</v>
      </c>
      <c r="S307" s="329">
        <f t="shared" si="139"/>
        <v>1.0073128517677774</v>
      </c>
      <c r="T307" s="330">
        <f t="shared" si="140"/>
        <v>0.12386962367752541</v>
      </c>
      <c r="U307" s="331">
        <f t="shared" si="141"/>
        <v>5.5413240658442087</v>
      </c>
      <c r="V307" s="332">
        <f t="shared" si="142"/>
        <v>-105.56754148987429</v>
      </c>
      <c r="W307" s="334">
        <f t="shared" si="143"/>
        <v>74.432458510125713</v>
      </c>
      <c r="Y307" s="307">
        <f t="shared" si="144"/>
        <v>1000000000</v>
      </c>
      <c r="Z307" s="307">
        <f t="shared" si="145"/>
        <v>446751632.25</v>
      </c>
      <c r="AB307" s="333">
        <f t="shared" si="146"/>
        <v>23.378099836511851</v>
      </c>
      <c r="AC307" s="334">
        <f t="shared" si="147"/>
        <v>-13.605335810690333</v>
      </c>
      <c r="AE307" s="333">
        <f t="shared" si="148"/>
        <v>24.919408785085491</v>
      </c>
      <c r="AF307" s="334">
        <f t="shared" si="149"/>
        <v>-91.213860892611621</v>
      </c>
      <c r="AH307">
        <f t="shared" si="150"/>
        <v>0</v>
      </c>
      <c r="AI307">
        <f t="shared" si="155"/>
        <v>0</v>
      </c>
    </row>
    <row r="308" spans="1:35" x14ac:dyDescent="0.2">
      <c r="A308" s="335">
        <v>21258.25</v>
      </c>
      <c r="B308" s="352">
        <f t="shared" si="151"/>
        <v>21.25825</v>
      </c>
      <c r="C308" s="325">
        <f t="shared" si="126"/>
        <v>13.223579526093372</v>
      </c>
      <c r="D308" s="326">
        <f t="shared" si="127"/>
        <v>1.4951015736430571</v>
      </c>
      <c r="E308" s="326">
        <f t="shared" si="128"/>
        <v>1.0003567527180666</v>
      </c>
      <c r="F308" s="327">
        <f t="shared" si="129"/>
        <v>2.670755286154335E-2</v>
      </c>
      <c r="G308" s="326">
        <f t="shared" si="130"/>
        <v>1</v>
      </c>
      <c r="H308" s="327">
        <f t="shared" si="131"/>
        <v>0</v>
      </c>
      <c r="I308" s="325">
        <f t="shared" si="132"/>
        <v>28215.216897277136</v>
      </c>
      <c r="J308" s="328">
        <f t="shared" si="133"/>
        <v>1.5707608849266363</v>
      </c>
      <c r="K308" s="336">
        <f t="shared" si="153"/>
        <v>5.4263696138566146</v>
      </c>
      <c r="L308" s="337">
        <f t="shared" si="154"/>
        <v>1.385451696760347</v>
      </c>
      <c r="M308" s="325">
        <f t="shared" si="134"/>
        <v>1.0013224178174835</v>
      </c>
      <c r="N308" s="337">
        <f t="shared" si="135"/>
        <v>5.1399652451338762E-2</v>
      </c>
      <c r="O308" s="343">
        <f t="shared" si="136"/>
        <v>1.0076009970384212</v>
      </c>
      <c r="P308" s="691">
        <f t="shared" si="137"/>
        <v>0.12290778092648304</v>
      </c>
      <c r="Q308" s="336">
        <f t="shared" si="152"/>
        <v>6.3659530959767459</v>
      </c>
      <c r="R308" s="692">
        <f t="shared" si="138"/>
        <v>0.13604176753340083</v>
      </c>
      <c r="S308" s="329">
        <f t="shared" si="139"/>
        <v>1.0073970318088263</v>
      </c>
      <c r="T308" s="330">
        <f t="shared" si="140"/>
        <v>0.12457637375213611</v>
      </c>
      <c r="U308" s="331">
        <f t="shared" si="141"/>
        <v>5.489041442262506</v>
      </c>
      <c r="V308" s="332">
        <f t="shared" si="142"/>
        <v>-105.5854201582994</v>
      </c>
      <c r="W308" s="334">
        <f t="shared" si="143"/>
        <v>74.414579841700601</v>
      </c>
      <c r="Y308" s="307">
        <f t="shared" si="144"/>
        <v>1000000000</v>
      </c>
      <c r="Z308" s="307">
        <f t="shared" si="145"/>
        <v>451913193.0625</v>
      </c>
      <c r="AB308" s="333">
        <f t="shared" si="146"/>
        <v>23.376265193416454</v>
      </c>
      <c r="AC308" s="334">
        <f t="shared" si="147"/>
        <v>-13.562417556322284</v>
      </c>
      <c r="AE308" s="333">
        <f t="shared" si="148"/>
        <v>24.869116532588507</v>
      </c>
      <c r="AF308" s="334">
        <f t="shared" si="149"/>
        <v>-91.270480600359491</v>
      </c>
      <c r="AH308">
        <f t="shared" si="150"/>
        <v>0</v>
      </c>
      <c r="AI308">
        <f t="shared" si="155"/>
        <v>0</v>
      </c>
    </row>
    <row r="309" spans="1:35" x14ac:dyDescent="0.2">
      <c r="A309" s="335">
        <v>21380</v>
      </c>
      <c r="B309" s="352">
        <f t="shared" si="151"/>
        <v>21.38</v>
      </c>
      <c r="C309" s="325">
        <f t="shared" si="126"/>
        <v>13.298881577544087</v>
      </c>
      <c r="D309" s="326">
        <f t="shared" si="127"/>
        <v>1.4955309923667379</v>
      </c>
      <c r="E309" s="326">
        <f t="shared" si="128"/>
        <v>1.0003608500606318</v>
      </c>
      <c r="F309" s="327">
        <f t="shared" si="129"/>
        <v>2.68604386932151E-2</v>
      </c>
      <c r="G309" s="326">
        <f t="shared" si="130"/>
        <v>1</v>
      </c>
      <c r="H309" s="327">
        <f t="shared" si="131"/>
        <v>0</v>
      </c>
      <c r="I309" s="325">
        <f t="shared" si="132"/>
        <v>28376.810756270272</v>
      </c>
      <c r="J309" s="328">
        <f t="shared" si="133"/>
        <v>1.5707610867529906</v>
      </c>
      <c r="K309" s="336">
        <f t="shared" si="153"/>
        <v>5.4563949214338958</v>
      </c>
      <c r="L309" s="337">
        <f t="shared" si="154"/>
        <v>1.3864833483621171</v>
      </c>
      <c r="M309" s="325">
        <f t="shared" si="134"/>
        <v>1.0013375985191808</v>
      </c>
      <c r="N309" s="337">
        <f t="shared" si="135"/>
        <v>5.1693505282461936E-2</v>
      </c>
      <c r="O309" s="343">
        <f t="shared" si="136"/>
        <v>1.0076879779506942</v>
      </c>
      <c r="P309" s="691">
        <f t="shared" si="137"/>
        <v>0.12360456916609341</v>
      </c>
      <c r="Q309" s="336">
        <f t="shared" si="152"/>
        <v>6.3666173923902321</v>
      </c>
      <c r="R309" s="692">
        <f t="shared" si="138"/>
        <v>0.13681142271228169</v>
      </c>
      <c r="S309" s="329">
        <f t="shared" si="139"/>
        <v>1.0074816882769386</v>
      </c>
      <c r="T309" s="330">
        <f t="shared" si="140"/>
        <v>0.12528300870401424</v>
      </c>
      <c r="U309" s="331">
        <f t="shared" si="141"/>
        <v>5.4370618011845897</v>
      </c>
      <c r="V309" s="332">
        <f t="shared" si="142"/>
        <v>-105.60366530252448</v>
      </c>
      <c r="W309" s="334">
        <f t="shared" si="143"/>
        <v>74.396334697475524</v>
      </c>
      <c r="Y309" s="307">
        <f t="shared" si="144"/>
        <v>1000000000</v>
      </c>
      <c r="Z309" s="307">
        <f t="shared" si="145"/>
        <v>457104400</v>
      </c>
      <c r="AB309" s="333">
        <f t="shared" si="146"/>
        <v>23.37445817336711</v>
      </c>
      <c r="AC309" s="334">
        <f t="shared" si="147"/>
        <v>-13.520156364384279</v>
      </c>
      <c r="AE309" s="333">
        <f t="shared" si="148"/>
        <v>24.819100474459418</v>
      </c>
      <c r="AF309" s="334">
        <f t="shared" si="149"/>
        <v>-91.326811968431556</v>
      </c>
      <c r="AH309">
        <f t="shared" si="150"/>
        <v>0</v>
      </c>
      <c r="AI309">
        <f t="shared" si="155"/>
        <v>0</v>
      </c>
    </row>
    <row r="310" spans="1:35" x14ac:dyDescent="0.2">
      <c r="A310" s="335">
        <v>21504.5</v>
      </c>
      <c r="B310" s="352">
        <f t="shared" si="151"/>
        <v>21.5045</v>
      </c>
      <c r="C310" s="325">
        <f t="shared" si="126"/>
        <v>13.375887003841809</v>
      </c>
      <c r="D310" s="326">
        <f t="shared" si="127"/>
        <v>1.4959651103719327</v>
      </c>
      <c r="E310" s="326">
        <f t="shared" si="128"/>
        <v>1.0003650641314727</v>
      </c>
      <c r="F310" s="327">
        <f t="shared" si="129"/>
        <v>2.7016776499395233E-2</v>
      </c>
      <c r="G310" s="326">
        <f t="shared" si="130"/>
        <v>1</v>
      </c>
      <c r="H310" s="327">
        <f t="shared" si="131"/>
        <v>0</v>
      </c>
      <c r="I310" s="325">
        <f t="shared" si="132"/>
        <v>28542.054579225412</v>
      </c>
      <c r="J310" s="328">
        <f t="shared" si="133"/>
        <v>1.570761290774717</v>
      </c>
      <c r="K310" s="336">
        <f t="shared" si="153"/>
        <v>5.4871043577454417</v>
      </c>
      <c r="L310" s="337">
        <f t="shared" si="154"/>
        <v>1.3875266252640333</v>
      </c>
      <c r="M310" s="325">
        <f t="shared" si="134"/>
        <v>1.0013532115252799</v>
      </c>
      <c r="N310" s="337">
        <f t="shared" si="135"/>
        <v>5.1993986206021879E-2</v>
      </c>
      <c r="O310" s="343">
        <f t="shared" si="136"/>
        <v>1.0077774293831463</v>
      </c>
      <c r="P310" s="691">
        <f t="shared" si="137"/>
        <v>0.12431697120912182</v>
      </c>
      <c r="Q310" s="336">
        <f t="shared" si="152"/>
        <v>6.3673005443492015</v>
      </c>
      <c r="R310" s="692">
        <f t="shared" si="138"/>
        <v>0.13759829679647662</v>
      </c>
      <c r="S310" s="329">
        <f t="shared" si="139"/>
        <v>1.0075687494691092</v>
      </c>
      <c r="T310" s="330">
        <f t="shared" si="140"/>
        <v>0.12600548491061275</v>
      </c>
      <c r="U310" s="331">
        <f t="shared" si="141"/>
        <v>5.3842175043381468</v>
      </c>
      <c r="V310" s="332">
        <f t="shared" si="142"/>
        <v>-105.62269532165406</v>
      </c>
      <c r="W310" s="334">
        <f t="shared" si="143"/>
        <v>74.377304678345936</v>
      </c>
      <c r="Y310" s="307">
        <f t="shared" si="144"/>
        <v>1000000000</v>
      </c>
      <c r="Z310" s="307">
        <f t="shared" si="145"/>
        <v>462443520.25</v>
      </c>
      <c r="AB310" s="333">
        <f t="shared" si="146"/>
        <v>23.372638254700288</v>
      </c>
      <c r="AC310" s="334">
        <f t="shared" si="147"/>
        <v>-13.477608979320417</v>
      </c>
      <c r="AE310" s="333">
        <f t="shared" si="148"/>
        <v>24.768237057888449</v>
      </c>
      <c r="AF310" s="334">
        <f t="shared" si="149"/>
        <v>-91.384122438969612</v>
      </c>
      <c r="AH310">
        <f t="shared" si="150"/>
        <v>0</v>
      </c>
      <c r="AI310">
        <f t="shared" si="155"/>
        <v>0</v>
      </c>
    </row>
    <row r="311" spans="1:35" x14ac:dyDescent="0.2">
      <c r="A311" s="335">
        <v>21629</v>
      </c>
      <c r="B311" s="352">
        <f t="shared" si="151"/>
        <v>21.629000000000001</v>
      </c>
      <c r="C311" s="325">
        <f t="shared" si="126"/>
        <v>13.452894922079585</v>
      </c>
      <c r="D311" s="326">
        <f t="shared" si="127"/>
        <v>1.4963942584453456</v>
      </c>
      <c r="E311" s="326">
        <f t="shared" si="128"/>
        <v>1.0003693026525395</v>
      </c>
      <c r="F311" s="327">
        <f t="shared" si="129"/>
        <v>2.7173112984603523E-2</v>
      </c>
      <c r="G311" s="326">
        <f t="shared" si="130"/>
        <v>1</v>
      </c>
      <c r="H311" s="327">
        <f t="shared" si="131"/>
        <v>0</v>
      </c>
      <c r="I311" s="325">
        <f t="shared" si="132"/>
        <v>28707.298402181728</v>
      </c>
      <c r="J311" s="328">
        <f t="shared" si="133"/>
        <v>1.5707614924476796</v>
      </c>
      <c r="K311" s="336">
        <f t="shared" si="153"/>
        <v>5.5178196998862603</v>
      </c>
      <c r="L311" s="337">
        <f t="shared" si="154"/>
        <v>1.3885582883258976</v>
      </c>
      <c r="M311" s="325">
        <f t="shared" si="134"/>
        <v>1.0013689149395204</v>
      </c>
      <c r="N311" s="337">
        <f t="shared" si="135"/>
        <v>5.2294457732458506E-2</v>
      </c>
      <c r="O311" s="343">
        <f t="shared" si="136"/>
        <v>1.0078673921885049</v>
      </c>
      <c r="P311" s="691">
        <f t="shared" si="137"/>
        <v>0.12502924643478103</v>
      </c>
      <c r="Q311" s="336">
        <f t="shared" si="152"/>
        <v>6.3679875889730635</v>
      </c>
      <c r="R311" s="692">
        <f t="shared" si="138"/>
        <v>0.13838500263355735</v>
      </c>
      <c r="S311" s="329">
        <f t="shared" si="139"/>
        <v>1.0076563085999044</v>
      </c>
      <c r="T311" s="330">
        <f t="shared" si="140"/>
        <v>0.12672783942358584</v>
      </c>
      <c r="U311" s="331">
        <f t="shared" si="141"/>
        <v>5.3316821832182759</v>
      </c>
      <c r="V311" s="332">
        <f t="shared" si="142"/>
        <v>-105.64209606510316</v>
      </c>
      <c r="W311" s="334">
        <f t="shared" si="143"/>
        <v>74.357903934896839</v>
      </c>
      <c r="Y311" s="307">
        <f t="shared" si="144"/>
        <v>1000000000</v>
      </c>
      <c r="Z311" s="307">
        <f t="shared" si="145"/>
        <v>467813641</v>
      </c>
      <c r="AB311" s="333">
        <f t="shared" si="146"/>
        <v>23.370845921870036</v>
      </c>
      <c r="AC311" s="334">
        <f t="shared" si="147"/>
        <v>-13.435726345286453</v>
      </c>
      <c r="AE311" s="333">
        <f t="shared" si="148"/>
        <v>24.717655902164811</v>
      </c>
      <c r="AF311" s="334">
        <f t="shared" si="149"/>
        <v>-91.441141256546729</v>
      </c>
      <c r="AH311">
        <f t="shared" si="150"/>
        <v>0</v>
      </c>
      <c r="AI311">
        <f t="shared" si="155"/>
        <v>0</v>
      </c>
    </row>
    <row r="312" spans="1:35" x14ac:dyDescent="0.2">
      <c r="A312" s="335">
        <v>21753.5</v>
      </c>
      <c r="B312" s="352">
        <f t="shared" si="151"/>
        <v>21.753499999999999</v>
      </c>
      <c r="C312" s="325">
        <f t="shared" si="126"/>
        <v>13.529905289707427</v>
      </c>
      <c r="D312" s="326">
        <f t="shared" si="127"/>
        <v>1.4968185212920535</v>
      </c>
      <c r="E312" s="326">
        <f t="shared" si="128"/>
        <v>1.0003735656235215</v>
      </c>
      <c r="F312" s="327">
        <f t="shared" si="129"/>
        <v>2.7329448141214734E-2</v>
      </c>
      <c r="G312" s="326">
        <f t="shared" si="130"/>
        <v>1</v>
      </c>
      <c r="H312" s="327">
        <f t="shared" si="131"/>
        <v>0</v>
      </c>
      <c r="I312" s="325">
        <f t="shared" si="132"/>
        <v>28872.542225139201</v>
      </c>
      <c r="J312" s="328">
        <f t="shared" si="133"/>
        <v>1.570761691812206</v>
      </c>
      <c r="K312" s="336">
        <f t="shared" si="153"/>
        <v>5.5485408497767477</v>
      </c>
      <c r="L312" s="337">
        <f t="shared" si="154"/>
        <v>1.3895785282436763</v>
      </c>
      <c r="M312" s="325">
        <f t="shared" si="134"/>
        <v>1.0013847087576486</v>
      </c>
      <c r="N312" s="337">
        <f t="shared" si="135"/>
        <v>5.2594919807960147E-2</v>
      </c>
      <c r="O312" s="343">
        <f t="shared" si="136"/>
        <v>1.0079578662298458</v>
      </c>
      <c r="P312" s="691">
        <f t="shared" si="137"/>
        <v>0.12574139415439881</v>
      </c>
      <c r="Q312" s="336">
        <f t="shared" si="152"/>
        <v>6.3686785250022107</v>
      </c>
      <c r="R312" s="692">
        <f t="shared" si="138"/>
        <v>0.13917153932247425</v>
      </c>
      <c r="S312" s="329">
        <f t="shared" si="139"/>
        <v>1.0077443655399396</v>
      </c>
      <c r="T312" s="330">
        <f t="shared" si="140"/>
        <v>0.12745007158089311</v>
      </c>
      <c r="U312" s="331">
        <f t="shared" si="141"/>
        <v>5.2794519795826114</v>
      </c>
      <c r="V312" s="332">
        <f t="shared" si="142"/>
        <v>-105.66186140960494</v>
      </c>
      <c r="W312" s="334">
        <f t="shared" si="143"/>
        <v>74.338138590395062</v>
      </c>
      <c r="Y312" s="307">
        <f t="shared" si="144"/>
        <v>1000000000</v>
      </c>
      <c r="Z312" s="307">
        <f t="shared" si="145"/>
        <v>473214762.25</v>
      </c>
      <c r="AB312" s="333">
        <f t="shared" si="146"/>
        <v>23.369080544935073</v>
      </c>
      <c r="AC312" s="334">
        <f t="shared" si="147"/>
        <v>-13.394497535435777</v>
      </c>
      <c r="AE312" s="333">
        <f t="shared" si="148"/>
        <v>24.667353777920408</v>
      </c>
      <c r="AF312" s="334">
        <f t="shared" si="149"/>
        <v>-91.497873236911119</v>
      </c>
      <c r="AH312">
        <f t="shared" si="150"/>
        <v>0</v>
      </c>
      <c r="AI312">
        <f t="shared" si="155"/>
        <v>0</v>
      </c>
    </row>
    <row r="313" spans="1:35" x14ac:dyDescent="0.2">
      <c r="A313" s="335">
        <v>21878</v>
      </c>
      <c r="B313" s="352">
        <f t="shared" si="151"/>
        <v>21.878</v>
      </c>
      <c r="C313" s="325">
        <f t="shared" si="126"/>
        <v>13.606918065137274</v>
      </c>
      <c r="D313" s="326">
        <f t="shared" si="127"/>
        <v>1.4972379817065959</v>
      </c>
      <c r="E313" s="326">
        <f t="shared" si="128"/>
        <v>1.0003778530441063</v>
      </c>
      <c r="F313" s="327">
        <f t="shared" si="129"/>
        <v>2.7485781961604023E-2</v>
      </c>
      <c r="G313" s="326">
        <f t="shared" si="130"/>
        <v>1</v>
      </c>
      <c r="H313" s="327">
        <f t="shared" si="131"/>
        <v>0</v>
      </c>
      <c r="I313" s="325">
        <f t="shared" si="132"/>
        <v>29037.786048097809</v>
      </c>
      <c r="J313" s="328">
        <f t="shared" si="133"/>
        <v>1.5707618889077057</v>
      </c>
      <c r="K313" s="336">
        <f t="shared" si="153"/>
        <v>5.5792677114791802</v>
      </c>
      <c r="L313" s="337">
        <f t="shared" si="154"/>
        <v>1.390587531608751</v>
      </c>
      <c r="M313" s="325">
        <f t="shared" si="134"/>
        <v>1.0014005929753875</v>
      </c>
      <c r="N313" s="337">
        <f t="shared" si="135"/>
        <v>5.2895372378725367E-2</v>
      </c>
      <c r="O313" s="343">
        <f t="shared" si="136"/>
        <v>1.0080488513695165</v>
      </c>
      <c r="P313" s="691">
        <f t="shared" si="137"/>
        <v>0.12645341368006682</v>
      </c>
      <c r="Q313" s="336">
        <f t="shared" si="152"/>
        <v>6.3693733511704504</v>
      </c>
      <c r="R313" s="692">
        <f t="shared" si="138"/>
        <v>0.13995790596339414</v>
      </c>
      <c r="S313" s="329">
        <f t="shared" si="139"/>
        <v>1.0078329201591405</v>
      </c>
      <c r="T313" s="330">
        <f t="shared" si="140"/>
        <v>0.12817218072120787</v>
      </c>
      <c r="U313" s="331">
        <f t="shared" si="141"/>
        <v>5.227523106607209</v>
      </c>
      <c r="V313" s="332">
        <f t="shared" si="142"/>
        <v>-105.68198535761704</v>
      </c>
      <c r="W313" s="334">
        <f t="shared" si="143"/>
        <v>74.318014642382963</v>
      </c>
      <c r="Y313" s="307">
        <f t="shared" si="144"/>
        <v>1000000000</v>
      </c>
      <c r="Z313" s="307">
        <f t="shared" si="145"/>
        <v>478646884</v>
      </c>
      <c r="AB313" s="333">
        <f t="shared" si="146"/>
        <v>23.367341511254878</v>
      </c>
      <c r="AC313" s="334">
        <f t="shared" si="147"/>
        <v>-13.353911858045123</v>
      </c>
      <c r="AE313" s="333">
        <f t="shared" si="148"/>
        <v>24.617327509899688</v>
      </c>
      <c r="AF313" s="334">
        <f t="shared" si="149"/>
        <v>-91.554323086386106</v>
      </c>
      <c r="AH313">
        <f t="shared" si="150"/>
        <v>0</v>
      </c>
      <c r="AI313">
        <f t="shared" si="155"/>
        <v>0</v>
      </c>
    </row>
    <row r="314" spans="1:35" x14ac:dyDescent="0.2">
      <c r="A314" s="335">
        <v>22005.25</v>
      </c>
      <c r="B314" s="352">
        <f t="shared" si="151"/>
        <v>22.00525</v>
      </c>
      <c r="C314" s="325">
        <f t="shared" si="126"/>
        <v>13.685634371820107</v>
      </c>
      <c r="D314" s="326">
        <f t="shared" si="127"/>
        <v>1.4976618288348389</v>
      </c>
      <c r="E314" s="326">
        <f t="shared" si="128"/>
        <v>1.0003822604320691</v>
      </c>
      <c r="F314" s="327">
        <f t="shared" si="129"/>
        <v>2.7645567549911342E-2</v>
      </c>
      <c r="G314" s="326">
        <f t="shared" si="130"/>
        <v>1</v>
      </c>
      <c r="H314" s="327">
        <f t="shared" si="131"/>
        <v>0</v>
      </c>
      <c r="I314" s="325">
        <f t="shared" si="132"/>
        <v>29206.679835018498</v>
      </c>
      <c r="J314" s="328">
        <f t="shared" si="133"/>
        <v>1.5707620880520528</v>
      </c>
      <c r="K314" s="336">
        <f t="shared" si="153"/>
        <v>5.6106790837259322</v>
      </c>
      <c r="L314" s="337">
        <f t="shared" si="154"/>
        <v>1.3916074006640173</v>
      </c>
      <c r="M314" s="325">
        <f t="shared" si="134"/>
        <v>1.0014169214616941</v>
      </c>
      <c r="N314" s="337">
        <f t="shared" si="135"/>
        <v>5.3202451574090891E-2</v>
      </c>
      <c r="O314" s="343">
        <f t="shared" si="136"/>
        <v>1.008142374234043</v>
      </c>
      <c r="P314" s="691">
        <f t="shared" si="137"/>
        <v>0.12718102735674416</v>
      </c>
      <c r="Q314" s="336">
        <f t="shared" si="152"/>
        <v>6.3700875435579167</v>
      </c>
      <c r="R314" s="692">
        <f t="shared" si="138"/>
        <v>0.14076146548955776</v>
      </c>
      <c r="S314" s="329">
        <f t="shared" si="139"/>
        <v>1.007923944957883</v>
      </c>
      <c r="T314" s="330">
        <f t="shared" si="140"/>
        <v>0.12891011225287008</v>
      </c>
      <c r="U314" s="331">
        <f t="shared" si="141"/>
        <v>5.1747547292306608</v>
      </c>
      <c r="V314" s="332">
        <f t="shared" si="142"/>
        <v>-105.7029182678705</v>
      </c>
      <c r="W314" s="334">
        <f t="shared" si="143"/>
        <v>74.297081732129499</v>
      </c>
      <c r="Y314" s="307">
        <f t="shared" si="144"/>
        <v>1000000000</v>
      </c>
      <c r="Z314" s="307">
        <f t="shared" si="145"/>
        <v>484231027.5625</v>
      </c>
      <c r="AB314" s="333">
        <f t="shared" si="146"/>
        <v>23.365590667450835</v>
      </c>
      <c r="AC314" s="334">
        <f t="shared" si="147"/>
        <v>-13.313083417477038</v>
      </c>
      <c r="AE314" s="333">
        <f t="shared" si="148"/>
        <v>24.566478057316708</v>
      </c>
      <c r="AF314" s="334">
        <f t="shared" si="149"/>
        <v>-91.611733060555608</v>
      </c>
      <c r="AH314">
        <f t="shared" si="150"/>
        <v>0</v>
      </c>
      <c r="AI314">
        <f t="shared" si="155"/>
        <v>0</v>
      </c>
    </row>
    <row r="315" spans="1:35" x14ac:dyDescent="0.2">
      <c r="A315" s="335">
        <v>22132.5</v>
      </c>
      <c r="B315" s="352">
        <f t="shared" si="151"/>
        <v>22.1325</v>
      </c>
      <c r="C315" s="325">
        <f t="shared" si="126"/>
        <v>13.764353108957014</v>
      </c>
      <c r="D315" s="326">
        <f t="shared" si="127"/>
        <v>1.4980808280494453</v>
      </c>
      <c r="E315" s="326">
        <f t="shared" si="128"/>
        <v>1.0003866933610006</v>
      </c>
      <c r="F315" s="327">
        <f t="shared" si="129"/>
        <v>2.7805351726209428E-2</v>
      </c>
      <c r="G315" s="326">
        <f t="shared" si="130"/>
        <v>1</v>
      </c>
      <c r="H315" s="327">
        <f t="shared" si="131"/>
        <v>0</v>
      </c>
      <c r="I315" s="325">
        <f t="shared" si="132"/>
        <v>29375.573621940337</v>
      </c>
      <c r="J315" s="328">
        <f t="shared" si="133"/>
        <v>1.5707622849064533</v>
      </c>
      <c r="K315" s="336">
        <f t="shared" si="153"/>
        <v>5.6420962268408701</v>
      </c>
      <c r="L315" s="337">
        <f t="shared" si="154"/>
        <v>1.3926159127913129</v>
      </c>
      <c r="M315" s="325">
        <f t="shared" si="134"/>
        <v>1.0014333443761609</v>
      </c>
      <c r="N315" s="337">
        <f t="shared" si="135"/>
        <v>5.3509520726577213E-2</v>
      </c>
      <c r="O315" s="343">
        <f t="shared" si="136"/>
        <v>1.0082364307317997</v>
      </c>
      <c r="P315" s="691">
        <f t="shared" si="137"/>
        <v>0.12790850566305659</v>
      </c>
      <c r="Q315" s="336">
        <f t="shared" si="152"/>
        <v>6.3708057971402789</v>
      </c>
      <c r="R315" s="692">
        <f t="shared" si="138"/>
        <v>0.14156484547569928</v>
      </c>
      <c r="S315" s="329">
        <f t="shared" si="139"/>
        <v>1.0080154893874613</v>
      </c>
      <c r="T315" s="330">
        <f t="shared" si="140"/>
        <v>0.1296479138783409</v>
      </c>
      <c r="U315" s="331">
        <f t="shared" si="141"/>
        <v>5.1222933627826839</v>
      </c>
      <c r="V315" s="332">
        <f t="shared" si="142"/>
        <v>-105.72421351764642</v>
      </c>
      <c r="W315" s="334">
        <f t="shared" si="143"/>
        <v>74.275786482353581</v>
      </c>
      <c r="Y315" s="307">
        <f t="shared" si="144"/>
        <v>1000000000</v>
      </c>
      <c r="Z315" s="307">
        <f t="shared" si="145"/>
        <v>489847556.25</v>
      </c>
      <c r="AB315" s="333">
        <f t="shared" si="146"/>
        <v>23.363866102261746</v>
      </c>
      <c r="AC315" s="334">
        <f t="shared" si="147"/>
        <v>-13.272904974331782</v>
      </c>
      <c r="AE315" s="333">
        <f t="shared" si="148"/>
        <v>24.51591024239001</v>
      </c>
      <c r="AF315" s="334">
        <f t="shared" si="149"/>
        <v>-91.668857907559655</v>
      </c>
      <c r="AH315">
        <f t="shared" si="150"/>
        <v>0</v>
      </c>
      <c r="AI315">
        <f t="shared" si="155"/>
        <v>0</v>
      </c>
    </row>
    <row r="316" spans="1:35" x14ac:dyDescent="0.2">
      <c r="A316" s="335">
        <v>22259.75</v>
      </c>
      <c r="B316" s="352">
        <f t="shared" si="151"/>
        <v>22.25975</v>
      </c>
      <c r="C316" s="325">
        <f t="shared" si="126"/>
        <v>13.843074235085613</v>
      </c>
      <c r="D316" s="326">
        <f t="shared" si="127"/>
        <v>1.4984950619076192</v>
      </c>
      <c r="E316" s="326">
        <f t="shared" si="128"/>
        <v>1.0003911518305608</v>
      </c>
      <c r="F316" s="327">
        <f t="shared" si="129"/>
        <v>2.7965134482358208E-2</v>
      </c>
      <c r="G316" s="326">
        <f t="shared" si="130"/>
        <v>1</v>
      </c>
      <c r="H316" s="327">
        <f t="shared" si="131"/>
        <v>0</v>
      </c>
      <c r="I316" s="325">
        <f t="shared" si="132"/>
        <v>29544.467408863296</v>
      </c>
      <c r="J316" s="328">
        <f t="shared" si="133"/>
        <v>1.57076247951018</v>
      </c>
      <c r="K316" s="336">
        <f t="shared" si="153"/>
        <v>5.673519044955353</v>
      </c>
      <c r="L316" s="337">
        <f t="shared" si="154"/>
        <v>1.3936132546231346</v>
      </c>
      <c r="M316" s="325">
        <f t="shared" si="134"/>
        <v>1.0014498617141419</v>
      </c>
      <c r="N316" s="337">
        <f t="shared" si="135"/>
        <v>5.3816579778771835E-2</v>
      </c>
      <c r="O316" s="343">
        <f t="shared" si="136"/>
        <v>1.0083310207134557</v>
      </c>
      <c r="P316" s="691">
        <f t="shared" si="137"/>
        <v>0.12863584786699517</v>
      </c>
      <c r="Q316" s="336">
        <f t="shared" si="152"/>
        <v>6.3715281105443129</v>
      </c>
      <c r="R316" s="692">
        <f t="shared" si="138"/>
        <v>0.14236804496500821</v>
      </c>
      <c r="S316" s="329">
        <f t="shared" si="139"/>
        <v>1.0081075533067605</v>
      </c>
      <c r="T316" s="330">
        <f t="shared" si="140"/>
        <v>0.13038558489382951</v>
      </c>
      <c r="U316" s="331">
        <f t="shared" si="141"/>
        <v>5.0701351839628668</v>
      </c>
      <c r="V316" s="332">
        <f t="shared" si="142"/>
        <v>-105.74586509009235</v>
      </c>
      <c r="W316" s="334">
        <f t="shared" si="143"/>
        <v>74.254134909907648</v>
      </c>
      <c r="Y316" s="307">
        <f t="shared" si="144"/>
        <v>1000000000</v>
      </c>
      <c r="Z316" s="307">
        <f t="shared" si="145"/>
        <v>495496470.0625</v>
      </c>
      <c r="AB316" s="333">
        <f t="shared" si="146"/>
        <v>23.362167213984044</v>
      </c>
      <c r="AC316" s="334">
        <f t="shared" si="147"/>
        <v>-13.233365834315626</v>
      </c>
      <c r="AE316" s="333">
        <f t="shared" si="148"/>
        <v>24.465620842361638</v>
      </c>
      <c r="AF316" s="334">
        <f t="shared" si="149"/>
        <v>-91.725702317719723</v>
      </c>
      <c r="AH316">
        <f t="shared" si="150"/>
        <v>0</v>
      </c>
      <c r="AI316">
        <f t="shared" si="155"/>
        <v>0</v>
      </c>
    </row>
    <row r="317" spans="1:35" x14ac:dyDescent="0.2">
      <c r="A317" s="335">
        <v>22387</v>
      </c>
      <c r="B317" s="352">
        <f t="shared" si="151"/>
        <v>22.387</v>
      </c>
      <c r="C317" s="325">
        <f t="shared" si="126"/>
        <v>13.921797709680082</v>
      </c>
      <c r="D317" s="326">
        <f t="shared" si="127"/>
        <v>1.4989046111058497</v>
      </c>
      <c r="E317" s="326">
        <f t="shared" si="128"/>
        <v>1.0003956358404087</v>
      </c>
      <c r="F317" s="327">
        <f t="shared" si="129"/>
        <v>2.8124915810218056E-2</v>
      </c>
      <c r="G317" s="326">
        <f t="shared" si="130"/>
        <v>1</v>
      </c>
      <c r="H317" s="327">
        <f t="shared" si="131"/>
        <v>0</v>
      </c>
      <c r="I317" s="325">
        <f t="shared" si="132"/>
        <v>29713.361195787365</v>
      </c>
      <c r="J317" s="328">
        <f t="shared" si="133"/>
        <v>1.5707626719016115</v>
      </c>
      <c r="K317" s="336">
        <f t="shared" si="153"/>
        <v>5.7049474442957848</v>
      </c>
      <c r="L317" s="337">
        <f t="shared" si="154"/>
        <v>1.3945996087693724</v>
      </c>
      <c r="M317" s="325">
        <f t="shared" si="134"/>
        <v>1.0014664734709653</v>
      </c>
      <c r="N317" s="337">
        <f t="shared" si="135"/>
        <v>5.412362867327368E-2</v>
      </c>
      <c r="O317" s="343">
        <f t="shared" si="136"/>
        <v>1.0084261440288891</v>
      </c>
      <c r="P317" s="691">
        <f t="shared" si="137"/>
        <v>0.12936305323740085</v>
      </c>
      <c r="Q317" s="336">
        <f t="shared" si="152"/>
        <v>6.3722544823896623</v>
      </c>
      <c r="R317" s="692">
        <f t="shared" si="138"/>
        <v>0.14317106300202651</v>
      </c>
      <c r="S317" s="329">
        <f t="shared" si="139"/>
        <v>1.0082001365739164</v>
      </c>
      <c r="T317" s="330">
        <f t="shared" si="140"/>
        <v>0.13112312459633915</v>
      </c>
      <c r="U317" s="331">
        <f t="shared" si="141"/>
        <v>5.0182764400057822</v>
      </c>
      <c r="V317" s="332">
        <f t="shared" si="142"/>
        <v>-105.76786709224683</v>
      </c>
      <c r="W317" s="334">
        <f t="shared" si="143"/>
        <v>74.232132907753169</v>
      </c>
      <c r="Y317" s="307">
        <f t="shared" si="144"/>
        <v>1000000000</v>
      </c>
      <c r="Z317" s="307">
        <f t="shared" si="145"/>
        <v>501177769</v>
      </c>
      <c r="AB317" s="333">
        <f t="shared" si="146"/>
        <v>23.360493417444445</v>
      </c>
      <c r="AC317" s="334">
        <f t="shared" si="147"/>
        <v>-13.194455533562657</v>
      </c>
      <c r="AE317" s="333">
        <f t="shared" si="148"/>
        <v>24.41560668847287</v>
      </c>
      <c r="AF317" s="334">
        <f t="shared" si="149"/>
        <v>-91.782270874791706</v>
      </c>
      <c r="AH317">
        <f t="shared" si="150"/>
        <v>0</v>
      </c>
      <c r="AI317">
        <f t="shared" si="155"/>
        <v>0</v>
      </c>
    </row>
    <row r="318" spans="1:35" x14ac:dyDescent="0.2">
      <c r="A318" s="335">
        <v>22517.5</v>
      </c>
      <c r="B318" s="352">
        <f t="shared" si="151"/>
        <v>22.517499999999998</v>
      </c>
      <c r="C318" s="325">
        <f t="shared" si="126"/>
        <v>14.002534201180554</v>
      </c>
      <c r="D318" s="326">
        <f t="shared" si="127"/>
        <v>1.4993198372656302</v>
      </c>
      <c r="E318" s="326">
        <f t="shared" si="128"/>
        <v>1.0004002608998179</v>
      </c>
      <c r="F318" s="327">
        <f t="shared" si="129"/>
        <v>2.8288776505140403E-2</v>
      </c>
      <c r="G318" s="326">
        <f t="shared" si="130"/>
        <v>1</v>
      </c>
      <c r="H318" s="327">
        <f t="shared" si="131"/>
        <v>0</v>
      </c>
      <c r="I318" s="325">
        <f t="shared" si="132"/>
        <v>29886.568576484689</v>
      </c>
      <c r="J318" s="328">
        <f t="shared" si="133"/>
        <v>1.5707628669482894</v>
      </c>
      <c r="K318" s="336">
        <f t="shared" si="153"/>
        <v>5.737184234387926</v>
      </c>
      <c r="L318" s="337">
        <f t="shared" si="154"/>
        <v>1.3955999296122026</v>
      </c>
      <c r="M318" s="325">
        <f t="shared" si="134"/>
        <v>1.0014836075585674</v>
      </c>
      <c r="N318" s="337">
        <f t="shared" si="135"/>
        <v>5.4438509070729127E-2</v>
      </c>
      <c r="O318" s="343">
        <f t="shared" si="136"/>
        <v>1.0085242506018433</v>
      </c>
      <c r="P318" s="691">
        <f t="shared" si="137"/>
        <v>0.13010868874769979</v>
      </c>
      <c r="Q318" s="336">
        <f t="shared" si="152"/>
        <v>6.3730036197638702</v>
      </c>
      <c r="R318" s="692">
        <f t="shared" si="138"/>
        <v>0.14399440087820609</v>
      </c>
      <c r="S318" s="329">
        <f t="shared" si="139"/>
        <v>1.0082956237074672</v>
      </c>
      <c r="T318" s="330">
        <f t="shared" si="140"/>
        <v>0.13187936414371576</v>
      </c>
      <c r="U318" s="331">
        <f t="shared" si="141"/>
        <v>4.9654003550411989</v>
      </c>
      <c r="V318" s="332">
        <f t="shared" si="142"/>
        <v>-105.79078895523736</v>
      </c>
      <c r="W318" s="334">
        <f t="shared" si="143"/>
        <v>74.20921104476264</v>
      </c>
      <c r="Y318" s="307">
        <f t="shared" si="144"/>
        <v>1000000000</v>
      </c>
      <c r="Z318" s="307">
        <f t="shared" si="145"/>
        <v>507037806.25</v>
      </c>
      <c r="AB318" s="333">
        <f t="shared" si="146"/>
        <v>23.358802336775433</v>
      </c>
      <c r="AC318" s="334">
        <f t="shared" si="147"/>
        <v>-13.155193864241712</v>
      </c>
      <c r="AE318" s="333">
        <f t="shared" si="148"/>
        <v>24.364597776496339</v>
      </c>
      <c r="AF318" s="334">
        <f t="shared" si="149"/>
        <v>-91.840002389474947</v>
      </c>
      <c r="AH318">
        <f t="shared" si="150"/>
        <v>0</v>
      </c>
      <c r="AI318">
        <f t="shared" si="155"/>
        <v>0</v>
      </c>
    </row>
    <row r="319" spans="1:35" x14ac:dyDescent="0.2">
      <c r="A319" s="335">
        <v>22648</v>
      </c>
      <c r="B319" s="352">
        <f t="shared" si="151"/>
        <v>22.648</v>
      </c>
      <c r="C319" s="325">
        <f t="shared" si="126"/>
        <v>14.083273079216006</v>
      </c>
      <c r="D319" s="326">
        <f t="shared" si="127"/>
        <v>1.4997303025434057</v>
      </c>
      <c r="E319" s="326">
        <f t="shared" si="128"/>
        <v>1.0004049128200527</v>
      </c>
      <c r="F319" s="327">
        <f t="shared" si="129"/>
        <v>2.8452635680545683E-2</v>
      </c>
      <c r="G319" s="326">
        <f t="shared" si="130"/>
        <v>1</v>
      </c>
      <c r="H319" s="327">
        <f t="shared" si="131"/>
        <v>0</v>
      </c>
      <c r="I319" s="325">
        <f t="shared" si="132"/>
        <v>30059.775957183141</v>
      </c>
      <c r="J319" s="328">
        <f t="shared" si="133"/>
        <v>1.5707630597472111</v>
      </c>
      <c r="K319" s="336">
        <f t="shared" si="153"/>
        <v>5.7694267011886158</v>
      </c>
      <c r="L319" s="337">
        <f t="shared" si="154"/>
        <v>1.3965890708406457</v>
      </c>
      <c r="M319" s="325">
        <f t="shared" si="134"/>
        <v>1.0015008409395298</v>
      </c>
      <c r="N319" s="337">
        <f t="shared" si="135"/>
        <v>5.4753378662759283E-2</v>
      </c>
      <c r="O319" s="343">
        <f t="shared" si="136"/>
        <v>1.0086229177770987</v>
      </c>
      <c r="P319" s="691">
        <f t="shared" si="137"/>
        <v>0.13085417879082886</v>
      </c>
      <c r="Q319" s="336">
        <f t="shared" si="152"/>
        <v>6.3737570225705573</v>
      </c>
      <c r="R319" s="692">
        <f t="shared" si="138"/>
        <v>0.14481754588400358</v>
      </c>
      <c r="S319" s="329">
        <f t="shared" si="139"/>
        <v>1.0083916567515929</v>
      </c>
      <c r="T319" s="330">
        <f t="shared" si="140"/>
        <v>0.13263546408988405</v>
      </c>
      <c r="U319" s="331">
        <f t="shared" si="141"/>
        <v>4.912831421125369</v>
      </c>
      <c r="V319" s="332">
        <f t="shared" si="142"/>
        <v>-105.8140672091093</v>
      </c>
      <c r="W319" s="334">
        <f t="shared" si="143"/>
        <v>74.185932790890703</v>
      </c>
      <c r="Y319" s="307">
        <f t="shared" si="144"/>
        <v>1000000000</v>
      </c>
      <c r="Z319" s="307">
        <f t="shared" si="145"/>
        <v>512931904</v>
      </c>
      <c r="AB319" s="333">
        <f t="shared" si="146"/>
        <v>23.357136450332334</v>
      </c>
      <c r="AC319" s="334">
        <f t="shared" si="147"/>
        <v>-13.116571991750245</v>
      </c>
      <c r="AE319" s="333">
        <f t="shared" si="148"/>
        <v>24.313871768570358</v>
      </c>
      <c r="AF319" s="334">
        <f t="shared" si="149"/>
        <v>-91.89745321421411</v>
      </c>
      <c r="AH319">
        <f t="shared" si="150"/>
        <v>0</v>
      </c>
      <c r="AI319">
        <f t="shared" si="155"/>
        <v>0</v>
      </c>
    </row>
    <row r="320" spans="1:35" x14ac:dyDescent="0.2">
      <c r="A320" s="335">
        <v>22778.5</v>
      </c>
      <c r="B320" s="352">
        <f t="shared" si="151"/>
        <v>22.778500000000001</v>
      </c>
      <c r="C320" s="325">
        <f t="shared" si="126"/>
        <v>14.164014302974675</v>
      </c>
      <c r="D320" s="326">
        <f t="shared" si="127"/>
        <v>1.5001360882171453</v>
      </c>
      <c r="E320" s="326">
        <f t="shared" si="128"/>
        <v>1.0004095916007387</v>
      </c>
      <c r="F320" s="327">
        <f t="shared" si="129"/>
        <v>2.8616493327655961E-2</v>
      </c>
      <c r="G320" s="326">
        <f t="shared" si="130"/>
        <v>1</v>
      </c>
      <c r="H320" s="327">
        <f t="shared" si="131"/>
        <v>0</v>
      </c>
      <c r="I320" s="325">
        <f t="shared" si="132"/>
        <v>30232.983337882695</v>
      </c>
      <c r="J320" s="328">
        <f t="shared" si="133"/>
        <v>1.5707632503370093</v>
      </c>
      <c r="K320" s="336">
        <f t="shared" si="153"/>
        <v>5.8016747500539312</v>
      </c>
      <c r="L320" s="337">
        <f t="shared" si="154"/>
        <v>1.397567216925256</v>
      </c>
      <c r="M320" s="325">
        <f t="shared" si="134"/>
        <v>1.0015181736087273</v>
      </c>
      <c r="N320" s="337">
        <f t="shared" si="135"/>
        <v>5.5068237387489415E-2</v>
      </c>
      <c r="O320" s="343">
        <f t="shared" si="136"/>
        <v>1.0087221453901514</v>
      </c>
      <c r="P320" s="691">
        <f t="shared" si="137"/>
        <v>0.1315995225809761</v>
      </c>
      <c r="Q320" s="336">
        <f t="shared" si="152"/>
        <v>6.3745146892975706</v>
      </c>
      <c r="R320" s="692">
        <f t="shared" si="138"/>
        <v>0.14564049699334086</v>
      </c>
      <c r="S320" s="329">
        <f t="shared" si="139"/>
        <v>1.0084882355508329</v>
      </c>
      <c r="T320" s="330">
        <f t="shared" si="140"/>
        <v>0.13339142367922319</v>
      </c>
      <c r="U320" s="331">
        <f t="shared" si="141"/>
        <v>4.8605658104691809</v>
      </c>
      <c r="V320" s="332">
        <f t="shared" si="142"/>
        <v>-105.83769588347413</v>
      </c>
      <c r="W320" s="334">
        <f t="shared" si="143"/>
        <v>74.162304116525874</v>
      </c>
      <c r="Y320" s="307">
        <f t="shared" si="144"/>
        <v>1000000000</v>
      </c>
      <c r="Z320" s="307">
        <f t="shared" si="145"/>
        <v>518860062.25</v>
      </c>
      <c r="AB320" s="333">
        <f t="shared" si="146"/>
        <v>23.355495177641604</v>
      </c>
      <c r="AC320" s="334">
        <f t="shared" si="147"/>
        <v>-13.078579345372376</v>
      </c>
      <c r="AE320" s="333">
        <f t="shared" si="148"/>
        <v>24.263425416103246</v>
      </c>
      <c r="AF320" s="334">
        <f t="shared" si="149"/>
        <v>-91.95462796310278</v>
      </c>
      <c r="AH320">
        <f t="shared" si="150"/>
        <v>0</v>
      </c>
      <c r="AI320">
        <f t="shared" si="155"/>
        <v>0</v>
      </c>
    </row>
    <row r="321" spans="1:35" x14ac:dyDescent="0.2">
      <c r="A321" s="335">
        <v>22909</v>
      </c>
      <c r="B321" s="352">
        <f t="shared" si="151"/>
        <v>22.908999999999999</v>
      </c>
      <c r="C321" s="325">
        <f t="shared" si="126"/>
        <v>14.244757832568924</v>
      </c>
      <c r="D321" s="326">
        <f t="shared" si="127"/>
        <v>1.5005372737282323</v>
      </c>
      <c r="E321" s="326">
        <f t="shared" si="128"/>
        <v>1.0004142972414987</v>
      </c>
      <c r="F321" s="327">
        <f t="shared" si="129"/>
        <v>2.8780349437693819E-2</v>
      </c>
      <c r="G321" s="326">
        <f t="shared" si="130"/>
        <v>1</v>
      </c>
      <c r="H321" s="327">
        <f t="shared" si="131"/>
        <v>0</v>
      </c>
      <c r="I321" s="325">
        <f t="shared" si="132"/>
        <v>30406.19071858333</v>
      </c>
      <c r="J321" s="328">
        <f t="shared" si="133"/>
        <v>1.5707634387554366</v>
      </c>
      <c r="K321" s="336">
        <f t="shared" si="153"/>
        <v>5.8339282884163852</v>
      </c>
      <c r="L321" s="337">
        <f t="shared" si="154"/>
        <v>1.3985345483423441</v>
      </c>
      <c r="M321" s="325">
        <f t="shared" si="134"/>
        <v>1.0015356055610047</v>
      </c>
      <c r="N321" s="337">
        <f t="shared" si="135"/>
        <v>5.5383085183057679E-2</v>
      </c>
      <c r="O321" s="343">
        <f t="shared" si="136"/>
        <v>1.008821933275627</v>
      </c>
      <c r="P321" s="691">
        <f t="shared" si="137"/>
        <v>0.1323447193332879</v>
      </c>
      <c r="Q321" s="336">
        <f t="shared" si="152"/>
        <v>6.3752766184249223</v>
      </c>
      <c r="R321" s="692">
        <f t="shared" si="138"/>
        <v>0.14646325318166356</v>
      </c>
      <c r="S321" s="329">
        <f t="shared" si="139"/>
        <v>1.0085853599489019</v>
      </c>
      <c r="T321" s="330">
        <f t="shared" si="140"/>
        <v>0.13414724215700785</v>
      </c>
      <c r="U321" s="331">
        <f t="shared" si="141"/>
        <v>4.8085997659023763</v>
      </c>
      <c r="V321" s="332">
        <f t="shared" si="142"/>
        <v>-105.86166913160204</v>
      </c>
      <c r="W321" s="334">
        <f t="shared" si="143"/>
        <v>74.138330868397958</v>
      </c>
      <c r="Y321" s="307">
        <f t="shared" si="144"/>
        <v>1000000000</v>
      </c>
      <c r="Z321" s="307">
        <f t="shared" si="145"/>
        <v>524822281</v>
      </c>
      <c r="AB321" s="333">
        <f t="shared" si="146"/>
        <v>23.35387795423371</v>
      </c>
      <c r="AC321" s="334">
        <f t="shared" si="147"/>
        <v>-13.04120558319584</v>
      </c>
      <c r="AE321" s="333">
        <f t="shared" si="148"/>
        <v>24.213255525112231</v>
      </c>
      <c r="AF321" s="334">
        <f t="shared" si="149"/>
        <v>-92.011531145057361</v>
      </c>
      <c r="AH321">
        <f t="shared" si="150"/>
        <v>0</v>
      </c>
      <c r="AI321">
        <f t="shared" si="155"/>
        <v>0</v>
      </c>
    </row>
    <row r="322" spans="1:35" x14ac:dyDescent="0.2">
      <c r="A322" s="335">
        <v>23042.25</v>
      </c>
      <c r="B322" s="352">
        <f t="shared" si="151"/>
        <v>23.042249999999999</v>
      </c>
      <c r="C322" s="325">
        <f t="shared" si="126"/>
        <v>14.327205192890926</v>
      </c>
      <c r="D322" s="326">
        <f t="shared" si="127"/>
        <v>1.5009422474301364</v>
      </c>
      <c r="E322" s="326">
        <f t="shared" si="128"/>
        <v>1.0004191297579401</v>
      </c>
      <c r="F322" s="327">
        <f t="shared" si="129"/>
        <v>2.8947656859145781E-2</v>
      </c>
      <c r="G322" s="326">
        <f t="shared" si="130"/>
        <v>1</v>
      </c>
      <c r="H322" s="327">
        <f t="shared" si="131"/>
        <v>0</v>
      </c>
      <c r="I322" s="325">
        <f t="shared" si="132"/>
        <v>30583.048063246199</v>
      </c>
      <c r="J322" s="328">
        <f t="shared" si="133"/>
        <v>1.5707636289422133</v>
      </c>
      <c r="K322" s="336">
        <f t="shared" si="153"/>
        <v>5.8668670692028169</v>
      </c>
      <c r="L322" s="337">
        <f t="shared" si="154"/>
        <v>1.3995112886948171</v>
      </c>
      <c r="M322" s="325">
        <f t="shared" si="134"/>
        <v>1.001553507291268</v>
      </c>
      <c r="N322" s="337">
        <f t="shared" si="135"/>
        <v>5.5704556360971054E-2</v>
      </c>
      <c r="O322" s="343">
        <f t="shared" si="136"/>
        <v>1.0089244019047885</v>
      </c>
      <c r="P322" s="691">
        <f t="shared" si="137"/>
        <v>0.13310546693268829</v>
      </c>
      <c r="Q322" s="336">
        <f t="shared" si="152"/>
        <v>6.3760590000202626</v>
      </c>
      <c r="R322" s="692">
        <f t="shared" si="138"/>
        <v>0.14730314495548602</v>
      </c>
      <c r="S322" s="329">
        <f t="shared" si="139"/>
        <v>1.0086850938323464</v>
      </c>
      <c r="T322" s="330">
        <f t="shared" si="140"/>
        <v>0.13491884145750663</v>
      </c>
      <c r="U322" s="331">
        <f t="shared" si="141"/>
        <v>4.7558439210268419</v>
      </c>
      <c r="V322" s="332">
        <f t="shared" si="142"/>
        <v>-105.88649715574651</v>
      </c>
      <c r="W322" s="334">
        <f t="shared" si="143"/>
        <v>74.113502844253489</v>
      </c>
      <c r="Y322" s="307">
        <f t="shared" si="144"/>
        <v>1000000000</v>
      </c>
      <c r="Z322" s="307">
        <f t="shared" si="145"/>
        <v>530945285.0625</v>
      </c>
      <c r="AB322" s="333">
        <f t="shared" si="146"/>
        <v>23.352250895845351</v>
      </c>
      <c r="AC322" s="334">
        <f t="shared" si="147"/>
        <v>-13.003672321905293</v>
      </c>
      <c r="AE322" s="333">
        <f t="shared" si="148"/>
        <v>24.162310412753193</v>
      </c>
      <c r="AF322" s="334">
        <f t="shared" si="149"/>
        <v>-92.069357803319747</v>
      </c>
      <c r="AH322">
        <f t="shared" si="150"/>
        <v>0</v>
      </c>
      <c r="AI322">
        <f t="shared" si="155"/>
        <v>0</v>
      </c>
    </row>
    <row r="323" spans="1:35" x14ac:dyDescent="0.2">
      <c r="A323" s="335">
        <v>23175.5</v>
      </c>
      <c r="B323" s="352">
        <f t="shared" si="151"/>
        <v>23.1755</v>
      </c>
      <c r="C323" s="325">
        <f t="shared" si="126"/>
        <v>14.409654876038749</v>
      </c>
      <c r="D323" s="326">
        <f t="shared" si="127"/>
        <v>1.5013425868107961</v>
      </c>
      <c r="E323" s="326">
        <f t="shared" si="128"/>
        <v>1.0004239902776162</v>
      </c>
      <c r="F323" s="327">
        <f t="shared" si="129"/>
        <v>2.9114962659568155E-2</v>
      </c>
      <c r="G323" s="326">
        <f t="shared" si="130"/>
        <v>1</v>
      </c>
      <c r="H323" s="327">
        <f t="shared" si="131"/>
        <v>0</v>
      </c>
      <c r="I323" s="325">
        <f t="shared" si="132"/>
        <v>30759.905407910155</v>
      </c>
      <c r="J323" s="328">
        <f t="shared" si="133"/>
        <v>1.5707638169419917</v>
      </c>
      <c r="K323" s="336">
        <f t="shared" si="153"/>
        <v>5.8998113846070632</v>
      </c>
      <c r="L323" s="337">
        <f t="shared" si="154"/>
        <v>1.4004771218005116</v>
      </c>
      <c r="M323" s="325">
        <f t="shared" si="134"/>
        <v>1.0015715125220885</v>
      </c>
      <c r="N323" s="337">
        <f t="shared" si="135"/>
        <v>5.6026016013942533E-2</v>
      </c>
      <c r="O323" s="343">
        <f t="shared" si="136"/>
        <v>1.0090274543169511</v>
      </c>
      <c r="P323" s="691">
        <f t="shared" si="137"/>
        <v>0.13386605958123152</v>
      </c>
      <c r="Q323" s="336">
        <f t="shared" si="152"/>
        <v>6.3768458223223501</v>
      </c>
      <c r="R323" s="692">
        <f t="shared" si="138"/>
        <v>0.14814283135267098</v>
      </c>
      <c r="S323" s="329">
        <f t="shared" si="139"/>
        <v>1.0087853962195512</v>
      </c>
      <c r="T323" s="330">
        <f t="shared" si="140"/>
        <v>0.1356902920491109</v>
      </c>
      <c r="U323" s="331">
        <f t="shared" si="141"/>
        <v>4.7033927014188652</v>
      </c>
      <c r="V323" s="332">
        <f t="shared" si="142"/>
        <v>-105.91167248971512</v>
      </c>
      <c r="W323" s="334">
        <f t="shared" si="143"/>
        <v>74.088327510284884</v>
      </c>
      <c r="Y323" s="307">
        <f t="shared" si="144"/>
        <v>1000000000</v>
      </c>
      <c r="Z323" s="307">
        <f t="shared" si="145"/>
        <v>537103800.25</v>
      </c>
      <c r="AB323" s="333">
        <f t="shared" si="146"/>
        <v>23.350647770348189</v>
      </c>
      <c r="AC323" s="334">
        <f t="shared" si="147"/>
        <v>-12.966763214185667</v>
      </c>
      <c r="AE323" s="333">
        <f t="shared" si="148"/>
        <v>24.111646974952784</v>
      </c>
      <c r="AF323" s="334">
        <f t="shared" si="149"/>
        <v>-92.12691050701973</v>
      </c>
      <c r="AH323">
        <f t="shared" si="150"/>
        <v>0</v>
      </c>
      <c r="AI323">
        <f t="shared" si="155"/>
        <v>0</v>
      </c>
    </row>
    <row r="324" spans="1:35" x14ac:dyDescent="0.2">
      <c r="A324" s="335">
        <v>23308.75</v>
      </c>
      <c r="B324" s="352">
        <f t="shared" si="151"/>
        <v>23.30875</v>
      </c>
      <c r="C324" s="325">
        <f t="shared" si="126"/>
        <v>14.492106842366759</v>
      </c>
      <c r="D324" s="326">
        <f t="shared" si="127"/>
        <v>1.5017383708408498</v>
      </c>
      <c r="E324" s="326">
        <f t="shared" si="128"/>
        <v>1.0004288788001185</v>
      </c>
      <c r="F324" s="327">
        <f t="shared" si="129"/>
        <v>2.9282266829618438E-2</v>
      </c>
      <c r="G324" s="326">
        <f t="shared" si="130"/>
        <v>1</v>
      </c>
      <c r="H324" s="327">
        <f t="shared" si="131"/>
        <v>0</v>
      </c>
      <c r="I324" s="325">
        <f t="shared" si="132"/>
        <v>30936.762752575189</v>
      </c>
      <c r="J324" s="328">
        <f t="shared" si="133"/>
        <v>1.5707640027922796</v>
      </c>
      <c r="K324" s="336">
        <f t="shared" si="153"/>
        <v>5.9327611424287872</v>
      </c>
      <c r="L324" s="337">
        <f t="shared" si="154"/>
        <v>1.4014322275744759</v>
      </c>
      <c r="M324" s="325">
        <f t="shared" si="134"/>
        <v>1.0015896212478845</v>
      </c>
      <c r="N324" s="337">
        <f t="shared" si="135"/>
        <v>5.6347464076158572E-2</v>
      </c>
      <c r="O324" s="343">
        <f t="shared" si="136"/>
        <v>1.0091310903332666</v>
      </c>
      <c r="P324" s="691">
        <f t="shared" si="137"/>
        <v>0.13462649644651623</v>
      </c>
      <c r="Q324" s="336">
        <f t="shared" si="152"/>
        <v>6.3776370836878717</v>
      </c>
      <c r="R324" s="692">
        <f t="shared" si="138"/>
        <v>0.14898231128748174</v>
      </c>
      <c r="S324" s="329">
        <f t="shared" si="139"/>
        <v>1.0088862669414911</v>
      </c>
      <c r="T324" s="330">
        <f t="shared" si="140"/>
        <v>0.13646159313128814</v>
      </c>
      <c r="U324" s="331">
        <f t="shared" si="141"/>
        <v>4.6512423242031211</v>
      </c>
      <c r="V324" s="332">
        <f t="shared" si="142"/>
        <v>-105.93718928835044</v>
      </c>
      <c r="W324" s="334">
        <f t="shared" si="143"/>
        <v>74.062810711649561</v>
      </c>
      <c r="Y324" s="307">
        <f t="shared" si="144"/>
        <v>1000000000</v>
      </c>
      <c r="Z324" s="307">
        <f t="shared" si="145"/>
        <v>543297826.5625</v>
      </c>
      <c r="AB324" s="333">
        <f t="shared" si="146"/>
        <v>23.349068025155884</v>
      </c>
      <c r="AC324" s="334">
        <f t="shared" si="147"/>
        <v>-12.930467950042214</v>
      </c>
      <c r="AE324" s="333">
        <f t="shared" si="148"/>
        <v>24.061261980038068</v>
      </c>
      <c r="AF324" s="334">
        <f t="shared" si="149"/>
        <v>-92.184193735509751</v>
      </c>
      <c r="AH324">
        <f t="shared" si="150"/>
        <v>0</v>
      </c>
      <c r="AI324">
        <f t="shared" si="155"/>
        <v>0</v>
      </c>
    </row>
    <row r="325" spans="1:35" x14ac:dyDescent="0.2">
      <c r="A325" s="335">
        <v>23442</v>
      </c>
      <c r="B325" s="352">
        <f t="shared" si="151"/>
        <v>23.442</v>
      </c>
      <c r="C325" s="325">
        <f t="shared" si="126"/>
        <v>14.574561053125382</v>
      </c>
      <c r="D325" s="326">
        <f t="shared" si="127"/>
        <v>1.502129676709643</v>
      </c>
      <c r="E325" s="326">
        <f t="shared" si="128"/>
        <v>1.0004337953250366</v>
      </c>
      <c r="F325" s="327">
        <f t="shared" si="129"/>
        <v>2.9449569359954682E-2</v>
      </c>
      <c r="G325" s="326">
        <f t="shared" si="130"/>
        <v>1</v>
      </c>
      <c r="H325" s="327">
        <f t="shared" si="131"/>
        <v>0</v>
      </c>
      <c r="I325" s="325">
        <f t="shared" si="132"/>
        <v>31113.620097241277</v>
      </c>
      <c r="J325" s="328">
        <f t="shared" si="133"/>
        <v>1.5707641865297315</v>
      </c>
      <c r="K325" s="336">
        <f t="shared" si="153"/>
        <v>5.9657162524895444</v>
      </c>
      <c r="L325" s="337">
        <f t="shared" si="154"/>
        <v>1.4023767820355708</v>
      </c>
      <c r="M325" s="325">
        <f t="shared" si="134"/>
        <v>1.0016078334630423</v>
      </c>
      <c r="N325" s="337">
        <f t="shared" si="135"/>
        <v>5.6668900481819925E-2</v>
      </c>
      <c r="O325" s="343">
        <f t="shared" si="136"/>
        <v>1.0092353097739493</v>
      </c>
      <c r="P325" s="691">
        <f t="shared" si="137"/>
        <v>0.13538677669720262</v>
      </c>
      <c r="Q325" s="336">
        <f t="shared" si="152"/>
        <v>6.3784327824650546</v>
      </c>
      <c r="R325" s="692">
        <f t="shared" si="138"/>
        <v>0.14982158367586831</v>
      </c>
      <c r="S325" s="329">
        <f t="shared" si="139"/>
        <v>1.0089877058282515</v>
      </c>
      <c r="T325" s="330">
        <f t="shared" si="140"/>
        <v>0.13723274390449786</v>
      </c>
      <c r="U325" s="331">
        <f t="shared" si="141"/>
        <v>4.5993890759971814</v>
      </c>
      <c r="V325" s="332">
        <f t="shared" si="142"/>
        <v>-105.96304182771433</v>
      </c>
      <c r="W325" s="334">
        <f t="shared" si="143"/>
        <v>74.036958172285665</v>
      </c>
      <c r="Y325" s="307">
        <f t="shared" si="144"/>
        <v>1000000000</v>
      </c>
      <c r="Z325" s="307">
        <f t="shared" si="145"/>
        <v>549527364</v>
      </c>
      <c r="AB325" s="333">
        <f t="shared" si="146"/>
        <v>23.347511122905061</v>
      </c>
      <c r="AC325" s="334">
        <f t="shared" si="147"/>
        <v>-12.894776442667226</v>
      </c>
      <c r="AE325" s="333">
        <f t="shared" si="148"/>
        <v>24.011152250599629</v>
      </c>
      <c r="AF325" s="334">
        <f t="shared" si="149"/>
        <v>-92.241211866138499</v>
      </c>
      <c r="AH325">
        <f t="shared" si="150"/>
        <v>0</v>
      </c>
      <c r="AI325">
        <f t="shared" si="155"/>
        <v>0</v>
      </c>
    </row>
    <row r="326" spans="1:35" x14ac:dyDescent="0.2">
      <c r="A326" s="335">
        <v>23578.5</v>
      </c>
      <c r="B326" s="352">
        <f t="shared" si="151"/>
        <v>23.578499999999998</v>
      </c>
      <c r="C326" s="325">
        <f t="shared" si="126"/>
        <v>14.659028629817076</v>
      </c>
      <c r="D326" s="326">
        <f t="shared" si="127"/>
        <v>1.5025259621619298</v>
      </c>
      <c r="E326" s="326">
        <f t="shared" si="128"/>
        <v>1.0004388607999888</v>
      </c>
      <c r="F326" s="327">
        <f t="shared" si="129"/>
        <v>2.9620950729855353E-2</v>
      </c>
      <c r="G326" s="326">
        <f t="shared" si="130"/>
        <v>1</v>
      </c>
      <c r="H326" s="327">
        <f t="shared" si="131"/>
        <v>0</v>
      </c>
      <c r="I326" s="325">
        <f t="shared" si="132"/>
        <v>31294.791035680788</v>
      </c>
      <c r="J326" s="328">
        <f t="shared" si="133"/>
        <v>1.5707643725952654</v>
      </c>
      <c r="K326" s="336">
        <f t="shared" si="153"/>
        <v>5.9994806031710537</v>
      </c>
      <c r="L326" s="337">
        <f t="shared" si="154"/>
        <v>1.4033336139423369</v>
      </c>
      <c r="M326" s="325">
        <f t="shared" si="134"/>
        <v>1.001626597179009</v>
      </c>
      <c r="N326" s="337">
        <f t="shared" si="135"/>
        <v>5.6998164644567688E-2</v>
      </c>
      <c r="O326" s="343">
        <f t="shared" si="136"/>
        <v>1.0093426759059849</v>
      </c>
      <c r="P326" s="691">
        <f t="shared" si="137"/>
        <v>0.13616543710976478</v>
      </c>
      <c r="Q326" s="336">
        <f t="shared" si="152"/>
        <v>6.3792524878698629</v>
      </c>
      <c r="R326" s="692">
        <f t="shared" si="138"/>
        <v>0.15068110978979976</v>
      </c>
      <c r="S326" s="329">
        <f t="shared" si="139"/>
        <v>1.0090922077759867</v>
      </c>
      <c r="T326" s="330">
        <f t="shared" si="140"/>
        <v>0.13802254654564605</v>
      </c>
      <c r="U326" s="331">
        <f t="shared" si="141"/>
        <v>4.5465753920263978</v>
      </c>
      <c r="V326" s="332">
        <f t="shared" si="142"/>
        <v>-105.98986718152189</v>
      </c>
      <c r="W326" s="334">
        <f t="shared" si="143"/>
        <v>74.010132818478112</v>
      </c>
      <c r="Y326" s="307">
        <f t="shared" si="144"/>
        <v>1000000000</v>
      </c>
      <c r="Z326" s="307">
        <f t="shared" si="145"/>
        <v>555945662.25</v>
      </c>
      <c r="AB326" s="333">
        <f t="shared" si="146"/>
        <v>23.345939386652606</v>
      </c>
      <c r="AC326" s="334">
        <f t="shared" si="147"/>
        <v>-12.858830120305155</v>
      </c>
      <c r="AE326" s="333">
        <f t="shared" si="148"/>
        <v>23.960102485091586</v>
      </c>
      <c r="AF326" s="334">
        <f t="shared" si="149"/>
        <v>-92.299350278906999</v>
      </c>
      <c r="AH326">
        <f t="shared" si="150"/>
        <v>0</v>
      </c>
      <c r="AI326">
        <f t="shared" si="155"/>
        <v>0</v>
      </c>
    </row>
    <row r="327" spans="1:35" x14ac:dyDescent="0.2">
      <c r="A327" s="335">
        <v>23715</v>
      </c>
      <c r="B327" s="352">
        <f t="shared" si="151"/>
        <v>23.715</v>
      </c>
      <c r="C327" s="325">
        <f t="shared" si="126"/>
        <v>14.743498482216133</v>
      </c>
      <c r="D327" s="326">
        <f t="shared" si="127"/>
        <v>1.502917706802616</v>
      </c>
      <c r="E327" s="326">
        <f t="shared" si="128"/>
        <v>1.0004439556591065</v>
      </c>
      <c r="F327" s="327">
        <f t="shared" si="129"/>
        <v>2.979233035923675E-2</v>
      </c>
      <c r="G327" s="326">
        <f t="shared" si="130"/>
        <v>1</v>
      </c>
      <c r="H327" s="327">
        <f t="shared" si="131"/>
        <v>0</v>
      </c>
      <c r="I327" s="325">
        <f t="shared" si="132"/>
        <v>31475.961974121372</v>
      </c>
      <c r="J327" s="328">
        <f t="shared" si="133"/>
        <v>1.5707645565188686</v>
      </c>
      <c r="K327" s="336">
        <f t="shared" si="153"/>
        <v>6.033250385059592</v>
      </c>
      <c r="L327" s="337">
        <f t="shared" si="154"/>
        <v>1.404279735398168</v>
      </c>
      <c r="M327" s="325">
        <f t="shared" si="134"/>
        <v>1.0016454694821366</v>
      </c>
      <c r="N327" s="337">
        <f t="shared" si="135"/>
        <v>5.7327416435480158E-2</v>
      </c>
      <c r="O327" s="343">
        <f t="shared" si="136"/>
        <v>1.0094506538842385</v>
      </c>
      <c r="P327" s="691">
        <f t="shared" si="137"/>
        <v>0.13694393141220856</v>
      </c>
      <c r="Q327" s="336">
        <f t="shared" si="152"/>
        <v>6.3800768462491337</v>
      </c>
      <c r="R327" s="692">
        <f t="shared" si="138"/>
        <v>0.15154041581218708</v>
      </c>
      <c r="S327" s="329">
        <f t="shared" si="139"/>
        <v>1.0091973055780767</v>
      </c>
      <c r="T327" s="330">
        <f t="shared" si="140"/>
        <v>0.13881218976097731</v>
      </c>
      <c r="U327" s="331">
        <f t="shared" si="141"/>
        <v>4.4940658356715879</v>
      </c>
      <c r="V327" s="332">
        <f t="shared" si="142"/>
        <v>-106.01703307043732</v>
      </c>
      <c r="W327" s="334">
        <f t="shared" si="143"/>
        <v>73.982966929562679</v>
      </c>
      <c r="Y327" s="307">
        <f t="shared" si="144"/>
        <v>1000000000</v>
      </c>
      <c r="Z327" s="307">
        <f t="shared" si="145"/>
        <v>562401225</v>
      </c>
      <c r="AB327" s="333">
        <f t="shared" si="146"/>
        <v>23.344390526511532</v>
      </c>
      <c r="AC327" s="334">
        <f t="shared" si="147"/>
        <v>-12.823496630001522</v>
      </c>
      <c r="AE327" s="333">
        <f t="shared" si="148"/>
        <v>23.909334995880712</v>
      </c>
      <c r="AF327" s="334">
        <f t="shared" si="149"/>
        <v>-92.357219487632861</v>
      </c>
      <c r="AH327">
        <f t="shared" si="150"/>
        <v>0</v>
      </c>
      <c r="AI327">
        <f t="shared" si="155"/>
        <v>0</v>
      </c>
    </row>
    <row r="328" spans="1:35" x14ac:dyDescent="0.2">
      <c r="A328" s="335">
        <v>23851.5</v>
      </c>
      <c r="B328" s="352">
        <f t="shared" si="151"/>
        <v>23.851500000000001</v>
      </c>
      <c r="C328" s="325">
        <f t="shared" si="126"/>
        <v>14.827970571430782</v>
      </c>
      <c r="D328" s="326">
        <f t="shared" si="127"/>
        <v>1.5033049881148093</v>
      </c>
      <c r="E328" s="326">
        <f t="shared" si="128"/>
        <v>1.0004490799019414</v>
      </c>
      <c r="F328" s="327">
        <f t="shared" si="129"/>
        <v>2.9963708238058363E-2</v>
      </c>
      <c r="G328" s="326">
        <f t="shared" si="130"/>
        <v>1</v>
      </c>
      <c r="H328" s="327">
        <f t="shared" si="131"/>
        <v>0</v>
      </c>
      <c r="I328" s="325">
        <f t="shared" si="132"/>
        <v>31657.132912563</v>
      </c>
      <c r="J328" s="328">
        <f t="shared" si="133"/>
        <v>1.5707647383373149</v>
      </c>
      <c r="K328" s="336">
        <f t="shared" si="153"/>
        <v>6.0670255074629376</v>
      </c>
      <c r="L328" s="337">
        <f t="shared" si="154"/>
        <v>1.4052153235701261</v>
      </c>
      <c r="M328" s="325">
        <f t="shared" si="134"/>
        <v>1.0016644503662875</v>
      </c>
      <c r="N328" s="337">
        <f t="shared" si="135"/>
        <v>5.765665578387244E-2</v>
      </c>
      <c r="O328" s="343">
        <f t="shared" si="136"/>
        <v>1.0095592435123883</v>
      </c>
      <c r="P328" s="691">
        <f t="shared" si="137"/>
        <v>0.137722258714367</v>
      </c>
      <c r="Q328" s="336">
        <f t="shared" si="152"/>
        <v>6.3809058557997824</v>
      </c>
      <c r="R328" s="692">
        <f t="shared" si="138"/>
        <v>0.1523995005832646</v>
      </c>
      <c r="S328" s="329">
        <f t="shared" si="139"/>
        <v>1.0093029990489726</v>
      </c>
      <c r="T328" s="330">
        <f t="shared" si="140"/>
        <v>0.13960167269427923</v>
      </c>
      <c r="U328" s="331">
        <f t="shared" si="141"/>
        <v>4.4418566310291254</v>
      </c>
      <c r="V328" s="332">
        <f t="shared" si="142"/>
        <v>-106.0445337171189</v>
      </c>
      <c r="W328" s="334">
        <f t="shared" si="143"/>
        <v>73.955466282881105</v>
      </c>
      <c r="Y328" s="307">
        <f t="shared" si="144"/>
        <v>1000000000</v>
      </c>
      <c r="Z328" s="307">
        <f t="shared" si="145"/>
        <v>568894052.25</v>
      </c>
      <c r="AB328" s="333">
        <f t="shared" si="146"/>
        <v>23.342864011322803</v>
      </c>
      <c r="AC328" s="334">
        <f t="shared" si="147"/>
        <v>-12.788765818888397</v>
      </c>
      <c r="AE328" s="333">
        <f t="shared" si="148"/>
        <v>23.858846536707166</v>
      </c>
      <c r="AF328" s="334">
        <f t="shared" si="149"/>
        <v>-92.414823883289074</v>
      </c>
      <c r="AH328">
        <f t="shared" si="150"/>
        <v>0</v>
      </c>
      <c r="AI328">
        <f t="shared" si="155"/>
        <v>0</v>
      </c>
    </row>
    <row r="329" spans="1:35" x14ac:dyDescent="0.2">
      <c r="A329" s="335">
        <v>23988</v>
      </c>
      <c r="B329" s="352">
        <f t="shared" si="151"/>
        <v>23.988</v>
      </c>
      <c r="C329" s="325">
        <f t="shared" si="126"/>
        <v>14.912444859449453</v>
      </c>
      <c r="D329" s="326">
        <f t="shared" si="127"/>
        <v>1.5036878818313739</v>
      </c>
      <c r="E329" s="326">
        <f t="shared" si="128"/>
        <v>1.000454233528042</v>
      </c>
      <c r="F329" s="327">
        <f t="shared" si="129"/>
        <v>3.0135084356280307E-2</v>
      </c>
      <c r="G329" s="326">
        <f t="shared" si="130"/>
        <v>1</v>
      </c>
      <c r="H329" s="327">
        <f t="shared" si="131"/>
        <v>0</v>
      </c>
      <c r="I329" s="325">
        <f t="shared" si="132"/>
        <v>31838.303851005669</v>
      </c>
      <c r="J329" s="328">
        <f t="shared" si="133"/>
        <v>1.570764918086542</v>
      </c>
      <c r="K329" s="336">
        <f t="shared" si="153"/>
        <v>6.1008058816830344</v>
      </c>
      <c r="L329" s="337">
        <f t="shared" si="154"/>
        <v>1.4061405517760481</v>
      </c>
      <c r="M329" s="325">
        <f t="shared" si="134"/>
        <v>1.0016835398252892</v>
      </c>
      <c r="N329" s="337">
        <f t="shared" si="135"/>
        <v>5.7985882619075738E-2</v>
      </c>
      <c r="O329" s="343">
        <f t="shared" si="136"/>
        <v>1.0096684445930866</v>
      </c>
      <c r="P329" s="691">
        <f t="shared" si="137"/>
        <v>0.13850041812726438</v>
      </c>
      <c r="Q329" s="336">
        <f t="shared" si="152"/>
        <v>6.3817395147094897</v>
      </c>
      <c r="R329" s="692">
        <f t="shared" si="138"/>
        <v>0.15325836294515768</v>
      </c>
      <c r="S329" s="329">
        <f t="shared" si="139"/>
        <v>1.0094092880021517</v>
      </c>
      <c r="T329" s="330">
        <f t="shared" si="140"/>
        <v>0.14039099449045273</v>
      </c>
      <c r="U329" s="331">
        <f t="shared" si="141"/>
        <v>4.3899440714909259</v>
      </c>
      <c r="V329" s="332">
        <f t="shared" si="142"/>
        <v>-106.07236346454451</v>
      </c>
      <c r="W329" s="334">
        <f t="shared" si="143"/>
        <v>73.927636535455491</v>
      </c>
      <c r="Y329" s="307">
        <f t="shared" si="144"/>
        <v>1000000000</v>
      </c>
      <c r="Z329" s="307">
        <f t="shared" si="145"/>
        <v>575424144</v>
      </c>
      <c r="AB329" s="333">
        <f t="shared" si="146"/>
        <v>23.341359324594553</v>
      </c>
      <c r="AC329" s="334">
        <f t="shared" si="147"/>
        <v>-12.754627754595276</v>
      </c>
      <c r="AE329" s="333">
        <f t="shared" si="148"/>
        <v>23.808633915932525</v>
      </c>
      <c r="AF329" s="334">
        <f t="shared" si="149"/>
        <v>-92.472167756630796</v>
      </c>
      <c r="AH329">
        <f t="shared" si="150"/>
        <v>0</v>
      </c>
      <c r="AI329">
        <f t="shared" si="155"/>
        <v>0</v>
      </c>
    </row>
    <row r="330" spans="1:35" x14ac:dyDescent="0.2">
      <c r="A330" s="335">
        <v>24127.75</v>
      </c>
      <c r="B330" s="352">
        <f t="shared" si="151"/>
        <v>24.127749999999999</v>
      </c>
      <c r="C330" s="325">
        <f t="shared" si="126"/>
        <v>14.99893267920203</v>
      </c>
      <c r="D330" s="326">
        <f t="shared" si="127"/>
        <v>1.5040754238209069</v>
      </c>
      <c r="E330" s="326">
        <f t="shared" si="128"/>
        <v>1.000459540300048</v>
      </c>
      <c r="F330" s="327">
        <f t="shared" si="129"/>
        <v>3.0310539023808973E-2</v>
      </c>
      <c r="G330" s="326">
        <f t="shared" si="130"/>
        <v>1</v>
      </c>
      <c r="H330" s="327">
        <f t="shared" si="131"/>
        <v>0</v>
      </c>
      <c r="I330" s="325">
        <f t="shared" si="132"/>
        <v>32023.788383221836</v>
      </c>
      <c r="J330" s="328">
        <f t="shared" si="133"/>
        <v>1.5707651000084779</v>
      </c>
      <c r="K330" s="336">
        <f t="shared" si="153"/>
        <v>6.1353959008150056</v>
      </c>
      <c r="L330" s="337">
        <f t="shared" si="154"/>
        <v>1.4070772533708762</v>
      </c>
      <c r="M330" s="325">
        <f t="shared" si="134"/>
        <v>1.0017031962720364</v>
      </c>
      <c r="N330" s="337">
        <f t="shared" si="135"/>
        <v>5.8322935151038445E-2</v>
      </c>
      <c r="O330" s="343">
        <f t="shared" si="136"/>
        <v>1.0097808789558167</v>
      </c>
      <c r="P330" s="691">
        <f t="shared" si="137"/>
        <v>0.13929693028530801</v>
      </c>
      <c r="Q330" s="336">
        <f t="shared" si="152"/>
        <v>6.3825978374641581</v>
      </c>
      <c r="R330" s="692">
        <f t="shared" si="138"/>
        <v>0.15413744278841382</v>
      </c>
      <c r="S330" s="329">
        <f t="shared" si="139"/>
        <v>1.0095187243671957</v>
      </c>
      <c r="T330" s="330">
        <f t="shared" si="140"/>
        <v>0.1411989418332894</v>
      </c>
      <c r="U330" s="331">
        <f t="shared" si="141"/>
        <v>4.3370990227766848</v>
      </c>
      <c r="V330" s="332">
        <f t="shared" si="142"/>
        <v>-106.1011909885847</v>
      </c>
      <c r="W330" s="334">
        <f t="shared" si="143"/>
        <v>73.898809011415295</v>
      </c>
      <c r="Y330" s="307">
        <f t="shared" si="144"/>
        <v>1000000000</v>
      </c>
      <c r="Z330" s="307">
        <f t="shared" si="145"/>
        <v>582148320.0625</v>
      </c>
      <c r="AB330" s="333">
        <f t="shared" si="146"/>
        <v>23.339840901795597</v>
      </c>
      <c r="AC330" s="334">
        <f t="shared" si="147"/>
        <v>-12.720280817423994</v>
      </c>
      <c r="AE330" s="333">
        <f t="shared" si="148"/>
        <v>23.757508247849785</v>
      </c>
      <c r="AF330" s="334">
        <f t="shared" si="149"/>
        <v>-92.530611437950014</v>
      </c>
      <c r="AH330">
        <f t="shared" si="150"/>
        <v>0</v>
      </c>
      <c r="AI330">
        <f t="shared" si="155"/>
        <v>0</v>
      </c>
    </row>
    <row r="331" spans="1:35" x14ac:dyDescent="0.2">
      <c r="A331" s="335">
        <v>24267.5</v>
      </c>
      <c r="B331" s="352">
        <f t="shared" si="151"/>
        <v>24.267499999999998</v>
      </c>
      <c r="C331" s="325">
        <f t="shared" si="126"/>
        <v>15.085422725795961</v>
      </c>
      <c r="D331" s="326">
        <f t="shared" si="127"/>
        <v>1.5044585220377338</v>
      </c>
      <c r="E331" s="326">
        <f t="shared" si="128"/>
        <v>1.0004648778702137</v>
      </c>
      <c r="F331" s="327">
        <f t="shared" si="129"/>
        <v>3.0485991824605901E-2</v>
      </c>
      <c r="G331" s="326">
        <f t="shared" si="130"/>
        <v>1</v>
      </c>
      <c r="H331" s="327">
        <f t="shared" si="131"/>
        <v>0</v>
      </c>
      <c r="I331" s="325">
        <f t="shared" si="132"/>
        <v>32209.272915439047</v>
      </c>
      <c r="J331" s="328">
        <f t="shared" si="133"/>
        <v>1.5707652798351348</v>
      </c>
      <c r="K331" s="336">
        <f t="shared" si="153"/>
        <v>6.1699912428423014</v>
      </c>
      <c r="L331" s="337">
        <f t="shared" si="154"/>
        <v>1.4080034515380295</v>
      </c>
      <c r="M331" s="325">
        <f t="shared" si="134"/>
        <v>1.0017229665122103</v>
      </c>
      <c r="N331" s="337">
        <f t="shared" si="135"/>
        <v>5.8659974416992881E-2</v>
      </c>
      <c r="O331" s="343">
        <f t="shared" si="136"/>
        <v>1.0098939538125786</v>
      </c>
      <c r="P331" s="691">
        <f t="shared" si="137"/>
        <v>0.14009326458222832</v>
      </c>
      <c r="Q331" s="336">
        <f t="shared" si="152"/>
        <v>6.3834610297375294</v>
      </c>
      <c r="R331" s="692">
        <f t="shared" si="138"/>
        <v>0.15501628705536549</v>
      </c>
      <c r="S331" s="329">
        <f t="shared" si="139"/>
        <v>1.009628784509601</v>
      </c>
      <c r="T331" s="330">
        <f t="shared" si="140"/>
        <v>0.14200671846410523</v>
      </c>
      <c r="U331" s="331">
        <f t="shared" si="141"/>
        <v>4.284557265653131</v>
      </c>
      <c r="V331" s="332">
        <f t="shared" si="142"/>
        <v>-106.13035184418462</v>
      </c>
      <c r="W331" s="334">
        <f t="shared" si="143"/>
        <v>73.869648155815383</v>
      </c>
      <c r="Y331" s="307">
        <f t="shared" si="144"/>
        <v>1000000000</v>
      </c>
      <c r="Z331" s="307">
        <f t="shared" si="145"/>
        <v>588911556.25</v>
      </c>
      <c r="AB331" s="333">
        <f t="shared" si="146"/>
        <v>23.338344308680853</v>
      </c>
      <c r="AC331" s="334">
        <f t="shared" si="147"/>
        <v>-12.686534802192661</v>
      </c>
      <c r="AE331" s="333">
        <f t="shared" si="148"/>
        <v>23.706665109411706</v>
      </c>
      <c r="AF331" s="334">
        <f t="shared" si="149"/>
        <v>-92.588790835725291</v>
      </c>
      <c r="AH331">
        <f t="shared" si="150"/>
        <v>0</v>
      </c>
      <c r="AI331">
        <f t="shared" si="155"/>
        <v>0</v>
      </c>
    </row>
    <row r="332" spans="1:35" x14ac:dyDescent="0.2">
      <c r="A332" s="335">
        <v>24407.25</v>
      </c>
      <c r="B332" s="352">
        <f t="shared" si="151"/>
        <v>24.407250000000001</v>
      </c>
      <c r="C332" s="325">
        <f t="shared" si="126"/>
        <v>15.171914961147797</v>
      </c>
      <c r="D332" s="326">
        <f t="shared" si="127"/>
        <v>1.5048372523677704</v>
      </c>
      <c r="E332" s="326">
        <f t="shared" si="128"/>
        <v>1.0004702462380461</v>
      </c>
      <c r="F332" s="327">
        <f t="shared" si="129"/>
        <v>3.0661442747898896E-2</v>
      </c>
      <c r="G332" s="326">
        <f t="shared" si="130"/>
        <v>1</v>
      </c>
      <c r="H332" s="327">
        <f t="shared" si="131"/>
        <v>0</v>
      </c>
      <c r="I332" s="325">
        <f t="shared" si="132"/>
        <v>32394.757447657292</v>
      </c>
      <c r="J332" s="328">
        <f t="shared" si="133"/>
        <v>1.5707654576025041</v>
      </c>
      <c r="K332" s="336">
        <f t="shared" si="153"/>
        <v>6.2045918187272902</v>
      </c>
      <c r="L332" s="337">
        <f t="shared" si="154"/>
        <v>1.4089193203954977</v>
      </c>
      <c r="M332" s="325">
        <f t="shared" si="134"/>
        <v>1.0017428505390729</v>
      </c>
      <c r="N332" s="337">
        <f t="shared" si="135"/>
        <v>5.8997000341154501E-2</v>
      </c>
      <c r="O332" s="343">
        <f t="shared" si="136"/>
        <v>1.010007668948254</v>
      </c>
      <c r="P332" s="691">
        <f t="shared" si="137"/>
        <v>0.14088942006794461</v>
      </c>
      <c r="Q332" s="336">
        <f t="shared" si="152"/>
        <v>6.3843290895547709</v>
      </c>
      <c r="R332" s="692">
        <f t="shared" si="138"/>
        <v>0.15589489450966298</v>
      </c>
      <c r="S332" s="329">
        <f t="shared" si="139"/>
        <v>1.0097394682260412</v>
      </c>
      <c r="T332" s="330">
        <f t="shared" si="140"/>
        <v>0.14281432346891818</v>
      </c>
      <c r="U332" s="331">
        <f t="shared" si="141"/>
        <v>4.2323150372436134</v>
      </c>
      <c r="V332" s="332">
        <f t="shared" si="142"/>
        <v>-106.15984033262887</v>
      </c>
      <c r="W332" s="334">
        <f t="shared" si="143"/>
        <v>73.840159667371125</v>
      </c>
      <c r="Y332" s="307">
        <f t="shared" si="144"/>
        <v>1000000000</v>
      </c>
      <c r="Z332" s="307">
        <f t="shared" si="145"/>
        <v>595713852.5625</v>
      </c>
      <c r="AB332" s="333">
        <f t="shared" si="146"/>
        <v>23.336869035678234</v>
      </c>
      <c r="AC332" s="334">
        <f t="shared" si="147"/>
        <v>-12.653379730395324</v>
      </c>
      <c r="AE332" s="333">
        <f t="shared" si="148"/>
        <v>23.656101245657833</v>
      </c>
      <c r="AF332" s="334">
        <f t="shared" si="149"/>
        <v>-92.646710246149226</v>
      </c>
      <c r="AH332">
        <f t="shared" si="150"/>
        <v>0</v>
      </c>
      <c r="AI332">
        <f t="shared" si="155"/>
        <v>0</v>
      </c>
    </row>
    <row r="333" spans="1:35" x14ac:dyDescent="0.2">
      <c r="A333" s="335">
        <v>24547</v>
      </c>
      <c r="B333" s="352">
        <f t="shared" si="151"/>
        <v>24.547000000000001</v>
      </c>
      <c r="C333" s="325">
        <f t="shared" ref="C333:C396" si="156">SQRT(1+(A333/pole1)^2)</f>
        <v>15.25840934803664</v>
      </c>
      <c r="D333" s="326">
        <f t="shared" ref="D333:D396" si="157">ATAN(A333/pole1)</f>
        <v>1.5052116889813312</v>
      </c>
      <c r="E333" s="326">
        <f t="shared" ref="E333:E396" si="158">SQRT(1+(A333/Zero1)^2)</f>
        <v>1.0004756454030497</v>
      </c>
      <c r="F333" s="327">
        <f t="shared" ref="F333:F396" si="159">ATAN(A333/Zero1)</f>
        <v>3.0836891782916442E-2</v>
      </c>
      <c r="G333" s="326">
        <f t="shared" ref="G333:G396" si="160">IF(VIN_nom&gt;Vout, 1, SQRT(1+(A333/z_RHP)^2))</f>
        <v>1</v>
      </c>
      <c r="H333" s="327">
        <f t="shared" ref="H333:H396" si="161">IF(VIN_nom&gt;Vout, 0, -ATAN(A333/z_RHP))</f>
        <v>0</v>
      </c>
      <c r="I333" s="325">
        <f t="shared" ref="I333:I396" si="162">SQRT(1+(A333/Pole2)^2)</f>
        <v>32580.241979876548</v>
      </c>
      <c r="J333" s="328">
        <f t="shared" ref="J333:J396" si="163">ATAN(A333/Pole2)</f>
        <v>1.5707656333457574</v>
      </c>
      <c r="K333" s="336">
        <f t="shared" si="153"/>
        <v>6.2391975413941179</v>
      </c>
      <c r="L333" s="337">
        <f t="shared" si="154"/>
        <v>1.4098250302684823</v>
      </c>
      <c r="M333" s="325">
        <f t="shared" ref="M333:M396" si="164">SQRT(1+(A333/pole4)^2)</f>
        <v>1.0017628483458485</v>
      </c>
      <c r="N333" s="337">
        <f t="shared" ref="N333:N396" si="165">ATAN(A333/pole4)</f>
        <v>5.9334012847756905E-2</v>
      </c>
      <c r="O333" s="343">
        <f t="shared" ref="O333:O396" si="166">IF(VOUT_setting=1,1,SQRT(1+(A333*zterm1)^2))</f>
        <v>1.0101220241466031</v>
      </c>
      <c r="P333" s="691">
        <f t="shared" ref="P333:P396" si="167">IF(VOUT_setting=1,0,ATAN(((A333*zterm1))))</f>
        <v>0.14168539579370953</v>
      </c>
      <c r="Q333" s="336">
        <f t="shared" si="152"/>
        <v>6.3852020149309912</v>
      </c>
      <c r="R333" s="692">
        <f t="shared" ref="R333:R396" si="168">IF(VOUT_setting=1,0,ATAN(A333*$Q$4/(1+Afbr-$Q$5*(A333)^2)))</f>
        <v>0.15677326391707108</v>
      </c>
      <c r="S333" s="329">
        <f t="shared" ref="S333:S396" si="169">SQRT((1-(Z333/pterm2))^2+(A333/pterm1)^2)</f>
        <v>1.0098507753121269</v>
      </c>
      <c r="T333" s="330">
        <f t="shared" ref="T333:T396" si="170">IF((ATAN((A333/pterm1)/(1-A333^2/pterm2))&gt;0),ATAN((A333/pterm1)/(1-A333^2/pterm2)),PI()+ATAN((A333/pterm1)/(1-A333^2/pterm2)))</f>
        <v>0.14362175593499257</v>
      </c>
      <c r="U333" s="331">
        <f t="shared" ref="U333:U396" si="171">20*LOG10(((E333*K333*G333*O333)/(C333*I333*S333*M333*Q333))*Adc)</f>
        <v>4.1803686436222698</v>
      </c>
      <c r="V333" s="332">
        <f t="shared" ref="V333:V396" si="172">((F333+L333+H333+P333)-(D333+J333+T333+N333+R333))*radconv</f>
        <v>-106.18965087428634</v>
      </c>
      <c r="W333" s="334">
        <f t="shared" ref="W333:W396" si="173">IF(V333&gt;0,V333,V333+180)</f>
        <v>73.810349125713657</v>
      </c>
      <c r="Y333" s="307">
        <f t="shared" ref="Y333:Y396" si="174">IF(U333&lt;0,A333,1000000000)</f>
        <v>1000000000</v>
      </c>
      <c r="Z333" s="307">
        <f t="shared" ref="Z333:Z396" si="175">A333^2</f>
        <v>602555209</v>
      </c>
      <c r="AB333" s="333">
        <f t="shared" ref="AB333:AB396" si="176">20*LOG10((K333/(I333*M333))*AEA)</f>
        <v>23.335414587311174</v>
      </c>
      <c r="AC333" s="334">
        <f t="shared" ref="AC333:AC396" si="177">(L333-(J333+N333))*radconv</f>
        <v>-12.620805840790895</v>
      </c>
      <c r="AE333" s="333">
        <f t="shared" ref="AE333:AE396" si="178">20*LOG10((E333*G333/(C333*S333))*Acs*Am)</f>
        <v>23.605813456475516</v>
      </c>
      <c r="AF333" s="334">
        <f t="shared" ref="AF333:AF396" si="179">(F333+H333-(D333+T333))*radconv</f>
        <v>-92.704373867189076</v>
      </c>
      <c r="AH333">
        <f t="shared" ref="AH333:AH396" si="180">SUM((U334&lt;0)*(U333&gt;0))*A333</f>
        <v>0</v>
      </c>
      <c r="AI333">
        <f t="shared" si="155"/>
        <v>0</v>
      </c>
    </row>
    <row r="334" spans="1:35" x14ac:dyDescent="0.2">
      <c r="A334" s="335">
        <v>24690</v>
      </c>
      <c r="B334" s="352">
        <f t="shared" ref="B334:B397" si="181">A334/1000</f>
        <v>24.69</v>
      </c>
      <c r="C334" s="325">
        <f t="shared" si="156"/>
        <v>15.346917421518841</v>
      </c>
      <c r="D334" s="326">
        <f t="shared" si="157"/>
        <v>1.5055904643882794</v>
      </c>
      <c r="E334" s="326">
        <f t="shared" si="158"/>
        <v>1.0004812020093288</v>
      </c>
      <c r="F334" s="327">
        <f t="shared" si="159"/>
        <v>3.1016419062158657E-2</v>
      </c>
      <c r="G334" s="326">
        <f t="shared" si="160"/>
        <v>1</v>
      </c>
      <c r="H334" s="327">
        <f t="shared" si="161"/>
        <v>0</v>
      </c>
      <c r="I334" s="325">
        <f t="shared" si="162"/>
        <v>32770.040105869368</v>
      </c>
      <c r="J334" s="328">
        <f t="shared" si="163"/>
        <v>1.5707658111166451</v>
      </c>
      <c r="K334" s="336">
        <f t="shared" si="153"/>
        <v>6.274613287187977</v>
      </c>
      <c r="L334" s="337">
        <f t="shared" si="154"/>
        <v>1.410741460854247</v>
      </c>
      <c r="M334" s="325">
        <f t="shared" si="164"/>
        <v>1.0017834289905378</v>
      </c>
      <c r="N334" s="337">
        <f t="shared" si="165"/>
        <v>5.967884888625212E-2</v>
      </c>
      <c r="O334" s="343">
        <f t="shared" si="166"/>
        <v>1.0102397011049447</v>
      </c>
      <c r="P334" s="691">
        <f t="shared" si="167"/>
        <v>0.14249969551529956</v>
      </c>
      <c r="Q334" s="336">
        <f t="shared" si="152"/>
        <v>6.3861002754197376</v>
      </c>
      <c r="R334" s="692">
        <f t="shared" si="168"/>
        <v>0.15767181281947845</v>
      </c>
      <c r="S334" s="329">
        <f t="shared" si="169"/>
        <v>1.0099653160044384</v>
      </c>
      <c r="T334" s="330">
        <f t="shared" si="170"/>
        <v>0.14444778634525643</v>
      </c>
      <c r="U334" s="331">
        <f t="shared" si="171"/>
        <v>4.1275166460903181</v>
      </c>
      <c r="V334" s="332">
        <f t="shared" si="172"/>
        <v>-106.22048236023123</v>
      </c>
      <c r="W334" s="334">
        <f t="shared" si="173"/>
        <v>73.77951763976877</v>
      </c>
      <c r="Y334" s="307">
        <f t="shared" si="174"/>
        <v>1000000000</v>
      </c>
      <c r="Z334" s="307">
        <f t="shared" si="175"/>
        <v>609596100</v>
      </c>
      <c r="AB334" s="333">
        <f t="shared" si="176"/>
        <v>23.333947368702006</v>
      </c>
      <c r="AC334" s="334">
        <f t="shared" si="177"/>
        <v>-12.588066071123841</v>
      </c>
      <c r="AE334" s="333">
        <f t="shared" si="178"/>
        <v>23.554638681534993</v>
      </c>
      <c r="AF334" s="334">
        <f t="shared" si="179"/>
        <v>-92.763118000307216</v>
      </c>
      <c r="AH334">
        <f t="shared" si="180"/>
        <v>0</v>
      </c>
      <c r="AI334">
        <f t="shared" si="155"/>
        <v>0</v>
      </c>
    </row>
    <row r="335" spans="1:35" x14ac:dyDescent="0.2">
      <c r="A335" s="335">
        <v>24833</v>
      </c>
      <c r="B335" s="352">
        <f t="shared" si="181"/>
        <v>24.832999999999998</v>
      </c>
      <c r="C335" s="325">
        <f t="shared" si="156"/>
        <v>15.435427671584497</v>
      </c>
      <c r="D335" s="326">
        <f t="shared" si="157"/>
        <v>1.5059648958799103</v>
      </c>
      <c r="E335" s="326">
        <f t="shared" si="158"/>
        <v>1.0004867908608024</v>
      </c>
      <c r="F335" s="327">
        <f t="shared" si="159"/>
        <v>3.1195944341460696E-2</v>
      </c>
      <c r="G335" s="326">
        <f t="shared" si="160"/>
        <v>1</v>
      </c>
      <c r="H335" s="327">
        <f t="shared" si="161"/>
        <v>0</v>
      </c>
      <c r="I335" s="325">
        <f t="shared" si="162"/>
        <v>32959.838231863221</v>
      </c>
      <c r="J335" s="328">
        <f t="shared" si="163"/>
        <v>1.5707659868401578</v>
      </c>
      <c r="K335" s="336">
        <f t="shared" si="153"/>
        <v>6.3100342435284364</v>
      </c>
      <c r="L335" s="337">
        <f t="shared" si="154"/>
        <v>1.4116476035499952</v>
      </c>
      <c r="M335" s="325">
        <f t="shared" si="164"/>
        <v>1.0018041287542887</v>
      </c>
      <c r="N335" s="337">
        <f t="shared" si="165"/>
        <v>6.0023670715409733E-2</v>
      </c>
      <c r="O335" s="343">
        <f t="shared" si="166"/>
        <v>1.0103580477808047</v>
      </c>
      <c r="P335" s="691">
        <f t="shared" si="167"/>
        <v>0.14331380501321347</v>
      </c>
      <c r="Q335" s="336">
        <f t="shared" ref="Q335:Q398" si="182">IF(VOUT_setting=1,1,SQRT((1+Afbr-$Q$5*(A335)^2)^2+(A335*$Q$4)^2))</f>
        <v>6.3870036261669227</v>
      </c>
      <c r="R335" s="692">
        <f t="shared" si="168"/>
        <v>0.1585701098664529</v>
      </c>
      <c r="S335" s="329">
        <f t="shared" si="169"/>
        <v>1.0100805089610825</v>
      </c>
      <c r="T335" s="330">
        <f t="shared" si="170"/>
        <v>0.14527363416884137</v>
      </c>
      <c r="U335" s="331">
        <f t="shared" si="171"/>
        <v>4.0749667915876584</v>
      </c>
      <c r="V335" s="332">
        <f t="shared" si="172"/>
        <v>-106.25163960130173</v>
      </c>
      <c r="W335" s="334">
        <f t="shared" si="173"/>
        <v>73.748360398698267</v>
      </c>
      <c r="Y335" s="307">
        <f t="shared" si="174"/>
        <v>1000000000</v>
      </c>
      <c r="Z335" s="307">
        <f t="shared" si="175"/>
        <v>616677889</v>
      </c>
      <c r="AB335" s="333">
        <f t="shared" si="176"/>
        <v>23.332500948154625</v>
      </c>
      <c r="AC335" s="334">
        <f t="shared" si="177"/>
        <v>-12.555914822694479</v>
      </c>
      <c r="AE335" s="333">
        <f t="shared" si="178"/>
        <v>23.50374636251685</v>
      </c>
      <c r="AF335" s="334">
        <f t="shared" si="179"/>
        <v>-92.821602898552854</v>
      </c>
      <c r="AH335">
        <f t="shared" si="180"/>
        <v>0</v>
      </c>
      <c r="AI335">
        <f t="shared" si="155"/>
        <v>0</v>
      </c>
    </row>
    <row r="336" spans="1:35" x14ac:dyDescent="0.2">
      <c r="A336" s="335">
        <v>24976</v>
      </c>
      <c r="B336" s="352">
        <f t="shared" si="181"/>
        <v>24.975999999999999</v>
      </c>
      <c r="C336" s="325">
        <f t="shared" si="156"/>
        <v>15.523940061004025</v>
      </c>
      <c r="D336" s="326">
        <f t="shared" si="157"/>
        <v>1.5063350576530459</v>
      </c>
      <c r="E336" s="326">
        <f t="shared" si="158"/>
        <v>1.0004924119569301</v>
      </c>
      <c r="F336" s="327">
        <f t="shared" si="159"/>
        <v>3.1375467609284211E-2</v>
      </c>
      <c r="G336" s="326">
        <f t="shared" si="160"/>
        <v>1</v>
      </c>
      <c r="H336" s="327">
        <f t="shared" si="161"/>
        <v>0</v>
      </c>
      <c r="I336" s="325">
        <f t="shared" si="162"/>
        <v>33149.636357858086</v>
      </c>
      <c r="J336" s="328">
        <f t="shared" si="163"/>
        <v>1.5707661605514616</v>
      </c>
      <c r="K336" s="336">
        <f t="shared" si="153"/>
        <v>6.3454603231582141</v>
      </c>
      <c r="L336" s="337">
        <f t="shared" si="154"/>
        <v>1.4125436291638978</v>
      </c>
      <c r="M336" s="325">
        <f t="shared" si="164"/>
        <v>1.0018249476297176</v>
      </c>
      <c r="N336" s="337">
        <f t="shared" si="165"/>
        <v>6.0368478254112998E-2</v>
      </c>
      <c r="O336" s="343">
        <f t="shared" si="166"/>
        <v>1.0104770639388725</v>
      </c>
      <c r="P336" s="691">
        <f t="shared" si="167"/>
        <v>0.14412772327533677</v>
      </c>
      <c r="Q336" s="336">
        <f t="shared" si="182"/>
        <v>6.3879120650133654</v>
      </c>
      <c r="R336" s="692">
        <f t="shared" si="168"/>
        <v>0.15946815374256776</v>
      </c>
      <c r="S336" s="329">
        <f t="shared" si="169"/>
        <v>1.0101963539596335</v>
      </c>
      <c r="T336" s="330">
        <f t="shared" si="170"/>
        <v>0.14609929843193059</v>
      </c>
      <c r="U336" s="331">
        <f t="shared" si="171"/>
        <v>4.0227153358202861</v>
      </c>
      <c r="V336" s="332">
        <f t="shared" si="172"/>
        <v>-106.28311698692957</v>
      </c>
      <c r="W336" s="334">
        <f t="shared" si="173"/>
        <v>73.716883013070429</v>
      </c>
      <c r="Y336" s="307">
        <f t="shared" si="174"/>
        <v>1000000000</v>
      </c>
      <c r="Z336" s="307">
        <f t="shared" si="175"/>
        <v>623800576</v>
      </c>
      <c r="AB336" s="333">
        <f t="shared" si="176"/>
        <v>23.331074837683211</v>
      </c>
      <c r="AC336" s="334">
        <f t="shared" si="177"/>
        <v>-12.52434230628271</v>
      </c>
      <c r="AE336" s="333">
        <f t="shared" si="178"/>
        <v>23.453133241306695</v>
      </c>
      <c r="AF336" s="334">
        <f t="shared" si="179"/>
        <v>-92.879832757956251</v>
      </c>
      <c r="AH336">
        <f t="shared" si="180"/>
        <v>0</v>
      </c>
      <c r="AI336">
        <f t="shared" si="155"/>
        <v>0</v>
      </c>
    </row>
    <row r="337" spans="1:35" x14ac:dyDescent="0.2">
      <c r="A337" s="335">
        <v>25119</v>
      </c>
      <c r="B337" s="352">
        <f t="shared" si="181"/>
        <v>25.119</v>
      </c>
      <c r="C337" s="325">
        <f t="shared" si="156"/>
        <v>15.612454553391213</v>
      </c>
      <c r="D337" s="326">
        <f t="shared" si="157"/>
        <v>1.5067010222266202</v>
      </c>
      <c r="E337" s="326">
        <f t="shared" si="158"/>
        <v>1.0004980652971682</v>
      </c>
      <c r="F337" s="327">
        <f t="shared" si="159"/>
        <v>3.1554988854091644E-2</v>
      </c>
      <c r="G337" s="326">
        <f t="shared" si="160"/>
        <v>1</v>
      </c>
      <c r="H337" s="327">
        <f t="shared" si="161"/>
        <v>0</v>
      </c>
      <c r="I337" s="325">
        <f t="shared" si="162"/>
        <v>33339.434483853925</v>
      </c>
      <c r="J337" s="328">
        <f t="shared" si="163"/>
        <v>1.5707663322849228</v>
      </c>
      <c r="K337" s="336">
        <f t="shared" si="153"/>
        <v>6.3808914407453203</v>
      </c>
      <c r="L337" s="337">
        <f t="shared" si="154"/>
        <v>1.4134297047761533</v>
      </c>
      <c r="M337" s="325">
        <f t="shared" si="164"/>
        <v>1.0018458856093986</v>
      </c>
      <c r="N337" s="337">
        <f t="shared" si="165"/>
        <v>6.0713271421265508E-2</v>
      </c>
      <c r="O337" s="343">
        <f t="shared" si="166"/>
        <v>1.0105967493426165</v>
      </c>
      <c r="P337" s="691">
        <f t="shared" si="167"/>
        <v>0.14494144929104386</v>
      </c>
      <c r="Q337" s="336">
        <f t="shared" si="182"/>
        <v>6.3888255897889579</v>
      </c>
      <c r="R337" s="692">
        <f t="shared" si="168"/>
        <v>0.16036594313475566</v>
      </c>
      <c r="S337" s="329">
        <f t="shared" si="169"/>
        <v>1.0103128507765085</v>
      </c>
      <c r="T337" s="330">
        <f t="shared" si="170"/>
        <v>0.14692477816209942</v>
      </c>
      <c r="U337" s="331">
        <f t="shared" si="171"/>
        <v>3.970758602965911</v>
      </c>
      <c r="V337" s="332">
        <f t="shared" si="172"/>
        <v>-106.31490902409246</v>
      </c>
      <c r="W337" s="334">
        <f t="shared" si="173"/>
        <v>73.685090975907542</v>
      </c>
      <c r="Y337" s="307">
        <f t="shared" si="174"/>
        <v>1000000000</v>
      </c>
      <c r="Z337" s="307">
        <f t="shared" si="175"/>
        <v>630964161</v>
      </c>
      <c r="AB337" s="333">
        <f t="shared" si="176"/>
        <v>23.329668562815819</v>
      </c>
      <c r="AC337" s="334">
        <f t="shared" si="177"/>
        <v>-12.493338946220891</v>
      </c>
      <c r="AE337" s="333">
        <f t="shared" si="178"/>
        <v>23.402796114739886</v>
      </c>
      <c r="AF337" s="334">
        <f t="shared" si="179"/>
        <v>-92.937811678491485</v>
      </c>
      <c r="AH337">
        <f t="shared" si="180"/>
        <v>0</v>
      </c>
      <c r="AI337">
        <f t="shared" si="155"/>
        <v>0</v>
      </c>
    </row>
    <row r="338" spans="1:35" x14ac:dyDescent="0.2">
      <c r="A338" s="335">
        <v>25265.25</v>
      </c>
      <c r="B338" s="352">
        <f t="shared" si="181"/>
        <v>25.265250000000002</v>
      </c>
      <c r="C338" s="325">
        <f t="shared" si="156"/>
        <v>15.702982876927887</v>
      </c>
      <c r="D338" s="326">
        <f t="shared" si="157"/>
        <v>1.5070710366761018</v>
      </c>
      <c r="E338" s="326">
        <f t="shared" si="158"/>
        <v>1.0005038804735111</v>
      </c>
      <c r="F338" s="327">
        <f t="shared" si="159"/>
        <v>3.1738588022661676E-2</v>
      </c>
      <c r="G338" s="326">
        <f t="shared" si="160"/>
        <v>1</v>
      </c>
      <c r="H338" s="327">
        <f t="shared" si="161"/>
        <v>0</v>
      </c>
      <c r="I338" s="325">
        <f t="shared" si="162"/>
        <v>33533.546203623409</v>
      </c>
      <c r="J338" s="328">
        <f t="shared" si="163"/>
        <v>1.570766505910637</v>
      </c>
      <c r="K338" s="336">
        <f t="shared" si="153"/>
        <v>6.4171329350427984</v>
      </c>
      <c r="L338" s="337">
        <f t="shared" si="154"/>
        <v>1.4143257970212619</v>
      </c>
      <c r="M338" s="325">
        <f t="shared" si="164"/>
        <v>1.0018674226398565</v>
      </c>
      <c r="N338" s="337">
        <f t="shared" si="165"/>
        <v>6.1065885847064648E-2</v>
      </c>
      <c r="O338" s="343">
        <f t="shared" si="166"/>
        <v>1.0107198468550997</v>
      </c>
      <c r="P338" s="691">
        <f t="shared" si="167"/>
        <v>0.14577346917822231</v>
      </c>
      <c r="Q338" s="336">
        <f t="shared" si="182"/>
        <v>6.3897651348447893</v>
      </c>
      <c r="R338" s="692">
        <f t="shared" si="168"/>
        <v>0.1612838722400958</v>
      </c>
      <c r="S338" s="329">
        <f t="shared" si="169"/>
        <v>1.0104326692218328</v>
      </c>
      <c r="T338" s="330">
        <f t="shared" si="170"/>
        <v>0.14776882691177187</v>
      </c>
      <c r="U338" s="331">
        <f t="shared" si="171"/>
        <v>3.9179221207998811</v>
      </c>
      <c r="V338" s="332">
        <f t="shared" si="172"/>
        <v>-106.34774346235963</v>
      </c>
      <c r="W338" s="334">
        <f t="shared" si="173"/>
        <v>73.652256537640369</v>
      </c>
      <c r="Y338" s="307">
        <f t="shared" si="174"/>
        <v>1000000000</v>
      </c>
      <c r="Z338" s="307">
        <f t="shared" si="175"/>
        <v>638332857.5625</v>
      </c>
      <c r="AB338" s="333">
        <f t="shared" si="176"/>
        <v>23.32825036330491</v>
      </c>
      <c r="AC338" s="334">
        <f t="shared" si="177"/>
        <v>-12.46220990890056</v>
      </c>
      <c r="AE338" s="333">
        <f t="shared" si="178"/>
        <v>23.351597155417512</v>
      </c>
      <c r="AF338" s="334">
        <f t="shared" si="179"/>
        <v>-92.996852918451438</v>
      </c>
      <c r="AH338">
        <f t="shared" si="180"/>
        <v>0</v>
      </c>
      <c r="AI338">
        <f t="shared" si="155"/>
        <v>0</v>
      </c>
    </row>
    <row r="339" spans="1:35" x14ac:dyDescent="0.2">
      <c r="A339" s="335">
        <v>25411.5</v>
      </c>
      <c r="B339" s="352">
        <f t="shared" si="181"/>
        <v>25.4115</v>
      </c>
      <c r="C339" s="325">
        <f t="shared" si="156"/>
        <v>15.793513325724154</v>
      </c>
      <c r="D339" s="326">
        <f t="shared" si="157"/>
        <v>1.5074368092343973</v>
      </c>
      <c r="E339" s="326">
        <f t="shared" si="158"/>
        <v>1.0005097293751011</v>
      </c>
      <c r="F339" s="327">
        <f t="shared" si="159"/>
        <v>3.1922185050807704E-2</v>
      </c>
      <c r="G339" s="326">
        <f t="shared" si="160"/>
        <v>1</v>
      </c>
      <c r="H339" s="327">
        <f t="shared" si="161"/>
        <v>0</v>
      </c>
      <c r="I339" s="325">
        <f t="shared" si="162"/>
        <v>33727.65792339389</v>
      </c>
      <c r="J339" s="328">
        <f t="shared" si="163"/>
        <v>1.5707666775378264</v>
      </c>
      <c r="K339" s="336">
        <f t="shared" si="153"/>
        <v>6.4533795243001206</v>
      </c>
      <c r="L339" s="337">
        <f t="shared" si="154"/>
        <v>1.4152118238384213</v>
      </c>
      <c r="M339" s="325">
        <f t="shared" si="164"/>
        <v>1.0018890842340729</v>
      </c>
      <c r="N339" s="337">
        <f t="shared" si="165"/>
        <v>6.1418485069126075E-2</v>
      </c>
      <c r="O339" s="343">
        <f t="shared" si="166"/>
        <v>1.0108436438748736</v>
      </c>
      <c r="P339" s="691">
        <f t="shared" si="167"/>
        <v>0.14660528584781171</v>
      </c>
      <c r="Q339" s="336">
        <f t="shared" si="182"/>
        <v>6.3907099950091766</v>
      </c>
      <c r="R339" s="692">
        <f t="shared" si="168"/>
        <v>0.1622015323921302</v>
      </c>
      <c r="S339" s="329">
        <f t="shared" si="169"/>
        <v>1.0105531689735388</v>
      </c>
      <c r="T339" s="330">
        <f t="shared" si="170"/>
        <v>0.14861268059245847</v>
      </c>
      <c r="U339" s="331">
        <f t="shared" si="171"/>
        <v>3.8653863453996555</v>
      </c>
      <c r="V339" s="332">
        <f t="shared" si="172"/>
        <v>-106.380895758717</v>
      </c>
      <c r="W339" s="334">
        <f t="shared" si="173"/>
        <v>73.619104241282997</v>
      </c>
      <c r="Y339" s="307">
        <f t="shared" si="174"/>
        <v>1000000000</v>
      </c>
      <c r="Z339" s="307">
        <f t="shared" si="175"/>
        <v>645744332.25</v>
      </c>
      <c r="AB339" s="333">
        <f t="shared" si="176"/>
        <v>23.326851948788203</v>
      </c>
      <c r="AC339" s="334">
        <f t="shared" si="177"/>
        <v>-12.431656592504325</v>
      </c>
      <c r="AE339" s="333">
        <f t="shared" si="178"/>
        <v>23.300680272242396</v>
      </c>
      <c r="AF339" s="334">
        <f t="shared" si="179"/>
        <v>-93.055640061956666</v>
      </c>
      <c r="AH339">
        <f t="shared" si="180"/>
        <v>0</v>
      </c>
      <c r="AI339">
        <f t="shared" si="155"/>
        <v>0</v>
      </c>
    </row>
    <row r="340" spans="1:35" x14ac:dyDescent="0.2">
      <c r="A340" s="335">
        <v>25557.75</v>
      </c>
      <c r="B340" s="352">
        <f t="shared" si="181"/>
        <v>25.557749999999999</v>
      </c>
      <c r="C340" s="325">
        <f t="shared" si="156"/>
        <v>15.884045863441534</v>
      </c>
      <c r="D340" s="326">
        <f t="shared" si="157"/>
        <v>1.5077984123338999</v>
      </c>
      <c r="E340" s="326">
        <f t="shared" si="158"/>
        <v>1.0005156120013468</v>
      </c>
      <c r="F340" s="327">
        <f t="shared" si="159"/>
        <v>3.2105779926190056E-2</v>
      </c>
      <c r="G340" s="326">
        <f t="shared" si="160"/>
        <v>1</v>
      </c>
      <c r="H340" s="327">
        <f t="shared" si="161"/>
        <v>0</v>
      </c>
      <c r="I340" s="325">
        <f t="shared" si="162"/>
        <v>33921.769643165353</v>
      </c>
      <c r="J340" s="328">
        <f t="shared" si="163"/>
        <v>1.5707668472007992</v>
      </c>
      <c r="K340" s="336">
        <f t="shared" si="153"/>
        <v>6.4896311231465251</v>
      </c>
      <c r="L340" s="337">
        <f t="shared" si="154"/>
        <v>1.4160879525035648</v>
      </c>
      <c r="M340" s="325">
        <f t="shared" si="164"/>
        <v>1.0019108703839679</v>
      </c>
      <c r="N340" s="337">
        <f t="shared" si="165"/>
        <v>6.1771069000764095E-2</v>
      </c>
      <c r="O340" s="343">
        <f t="shared" si="166"/>
        <v>1.0109681401449662</v>
      </c>
      <c r="P340" s="691">
        <f t="shared" si="167"/>
        <v>0.14743689822357928</v>
      </c>
      <c r="Q340" s="336">
        <f t="shared" si="182"/>
        <v>6.3916601679253446</v>
      </c>
      <c r="R340" s="692">
        <f t="shared" si="168"/>
        <v>0.163118922193937</v>
      </c>
      <c r="S340" s="329">
        <f t="shared" si="169"/>
        <v>1.0106743497887103</v>
      </c>
      <c r="T340" s="330">
        <f t="shared" si="170"/>
        <v>0.14945633816847417</v>
      </c>
      <c r="U340" s="331">
        <f t="shared" si="171"/>
        <v>3.8131475561247101</v>
      </c>
      <c r="V340" s="332">
        <f t="shared" si="172"/>
        <v>-106.41436039902156</v>
      </c>
      <c r="W340" s="334">
        <f t="shared" si="173"/>
        <v>73.585639600978439</v>
      </c>
      <c r="Y340" s="307">
        <f t="shared" si="174"/>
        <v>1000000000</v>
      </c>
      <c r="Z340" s="307">
        <f t="shared" si="175"/>
        <v>653198585.0625</v>
      </c>
      <c r="AB340" s="333">
        <f t="shared" si="176"/>
        <v>23.325472852725412</v>
      </c>
      <c r="AC340" s="334">
        <f t="shared" si="177"/>
        <v>-12.401669409826162</v>
      </c>
      <c r="AE340" s="333">
        <f t="shared" si="178"/>
        <v>23.250042209147615</v>
      </c>
      <c r="AF340" s="334">
        <f t="shared" si="179"/>
        <v>-93.114177200444203</v>
      </c>
      <c r="AH340">
        <f t="shared" si="180"/>
        <v>0</v>
      </c>
      <c r="AI340">
        <f t="shared" si="155"/>
        <v>0</v>
      </c>
    </row>
    <row r="341" spans="1:35" x14ac:dyDescent="0.2">
      <c r="A341" s="335">
        <v>25704</v>
      </c>
      <c r="B341" s="352">
        <f t="shared" si="181"/>
        <v>25.704000000000001</v>
      </c>
      <c r="C341" s="325">
        <f t="shared" si="156"/>
        <v>15.974580454564478</v>
      </c>
      <c r="D341" s="326">
        <f t="shared" si="157"/>
        <v>1.5081559167694032</v>
      </c>
      <c r="E341" s="326">
        <f t="shared" si="158"/>
        <v>1.0005215283516533</v>
      </c>
      <c r="F341" s="327">
        <f t="shared" si="159"/>
        <v>3.2289372636469922E-2</v>
      </c>
      <c r="G341" s="326">
        <f t="shared" si="160"/>
        <v>1</v>
      </c>
      <c r="H341" s="327">
        <f t="shared" si="161"/>
        <v>0</v>
      </c>
      <c r="I341" s="325">
        <f t="shared" si="162"/>
        <v>34115.881362937784</v>
      </c>
      <c r="J341" s="328">
        <f t="shared" si="163"/>
        <v>1.5707670149330835</v>
      </c>
      <c r="K341" s="336">
        <f t="shared" si="153"/>
        <v>6.5258876480965364</v>
      </c>
      <c r="L341" s="337">
        <f t="shared" si="154"/>
        <v>1.416954346636776</v>
      </c>
      <c r="M341" s="325">
        <f t="shared" si="164"/>
        <v>1.0019327810814169</v>
      </c>
      <c r="N341" s="337">
        <f t="shared" si="165"/>
        <v>6.2123637555315789E-2</v>
      </c>
      <c r="O341" s="343">
        <f t="shared" si="166"/>
        <v>1.0110933354070806</v>
      </c>
      <c r="P341" s="691">
        <f t="shared" si="167"/>
        <v>0.14826830523095119</v>
      </c>
      <c r="Q341" s="336">
        <f t="shared" si="182"/>
        <v>6.3926156512246761</v>
      </c>
      <c r="R341" s="692">
        <f t="shared" si="168"/>
        <v>0.1640360402512199</v>
      </c>
      <c r="S341" s="329">
        <f t="shared" si="169"/>
        <v>1.010796211423175</v>
      </c>
      <c r="T341" s="330">
        <f t="shared" si="170"/>
        <v>0.15029979860568499</v>
      </c>
      <c r="U341" s="331">
        <f t="shared" si="171"/>
        <v>3.7612021002056939</v>
      </c>
      <c r="V341" s="332">
        <f t="shared" si="172"/>
        <v>-106.4481319848682</v>
      </c>
      <c r="W341" s="334">
        <f t="shared" si="173"/>
        <v>73.551868015131802</v>
      </c>
      <c r="Y341" s="307">
        <f t="shared" si="174"/>
        <v>1000000000</v>
      </c>
      <c r="Z341" s="307">
        <f t="shared" si="175"/>
        <v>660695616</v>
      </c>
      <c r="AB341" s="333">
        <f t="shared" si="176"/>
        <v>23.324112621503978</v>
      </c>
      <c r="AC341" s="334">
        <f t="shared" si="177"/>
        <v>-12.372238983081457</v>
      </c>
      <c r="AE341" s="333">
        <f t="shared" si="178"/>
        <v>23.199679765001054</v>
      </c>
      <c r="AF341" s="334">
        <f t="shared" si="179"/>
        <v>-93.172468331612379</v>
      </c>
      <c r="AH341">
        <f t="shared" si="180"/>
        <v>0</v>
      </c>
      <c r="AI341">
        <f t="shared" si="155"/>
        <v>0</v>
      </c>
    </row>
    <row r="342" spans="1:35" x14ac:dyDescent="0.2">
      <c r="A342" s="335">
        <v>25853.75</v>
      </c>
      <c r="B342" s="352">
        <f t="shared" si="181"/>
        <v>25.853750000000002</v>
      </c>
      <c r="C342" s="325">
        <f t="shared" si="156"/>
        <v>16.067283776926583</v>
      </c>
      <c r="D342" s="326">
        <f t="shared" si="157"/>
        <v>1.5085178021668733</v>
      </c>
      <c r="E342" s="326">
        <f t="shared" si="158"/>
        <v>1.000527621233531</v>
      </c>
      <c r="F342" s="327">
        <f t="shared" si="159"/>
        <v>3.2477356762118319E-2</v>
      </c>
      <c r="G342" s="326">
        <f t="shared" si="160"/>
        <v>1</v>
      </c>
      <c r="H342" s="327">
        <f t="shared" si="161"/>
        <v>0</v>
      </c>
      <c r="I342" s="325">
        <f t="shared" si="162"/>
        <v>34314.638491389502</v>
      </c>
      <c r="J342" s="328">
        <f t="shared" si="163"/>
        <v>1.5707671847131466</v>
      </c>
      <c r="K342" s="336">
        <f t="shared" si="153"/>
        <v>6.5630168696456463</v>
      </c>
      <c r="L342" s="337">
        <f t="shared" si="154"/>
        <v>1.4178315553800114</v>
      </c>
      <c r="M342" s="325">
        <f t="shared" si="164"/>
        <v>1.0019553451830603</v>
      </c>
      <c r="N342" s="337">
        <f t="shared" si="165"/>
        <v>6.2484627623946354E-2</v>
      </c>
      <c r="O342" s="343">
        <f t="shared" si="166"/>
        <v>1.0112222508081661</v>
      </c>
      <c r="P342" s="691">
        <f t="shared" si="167"/>
        <v>0.14911939523816617</v>
      </c>
      <c r="Q342" s="336">
        <f t="shared" si="182"/>
        <v>6.39359950083767</v>
      </c>
      <c r="R342" s="692">
        <f t="shared" si="168"/>
        <v>0.16497482340217606</v>
      </c>
      <c r="S342" s="329">
        <f t="shared" si="169"/>
        <v>1.0109216946020247</v>
      </c>
      <c r="T342" s="330">
        <f t="shared" si="170"/>
        <v>0.15116323907038115</v>
      </c>
      <c r="U342" s="331">
        <f t="shared" si="171"/>
        <v>3.7083137068811256</v>
      </c>
      <c r="V342" s="332">
        <f t="shared" si="172"/>
        <v>-106.48302431167228</v>
      </c>
      <c r="W342" s="334">
        <f t="shared" si="173"/>
        <v>73.516975688327719</v>
      </c>
      <c r="Y342" s="307">
        <f t="shared" si="174"/>
        <v>1000000000</v>
      </c>
      <c r="Z342" s="307">
        <f t="shared" si="175"/>
        <v>668416389.0625</v>
      </c>
      <c r="AB342" s="333">
        <f t="shared" si="176"/>
        <v>23.322738924541827</v>
      </c>
      <c r="AC342" s="334">
        <f t="shared" si="177"/>
        <v>-12.342671559368041</v>
      </c>
      <c r="AE342" s="333">
        <f t="shared" si="178"/>
        <v>23.148394370678584</v>
      </c>
      <c r="AF342" s="334">
        <f t="shared" si="179"/>
        <v>-93.231903635095549</v>
      </c>
      <c r="AH342">
        <f t="shared" si="180"/>
        <v>0</v>
      </c>
      <c r="AI342">
        <f t="shared" si="155"/>
        <v>0</v>
      </c>
    </row>
    <row r="343" spans="1:35" x14ac:dyDescent="0.2">
      <c r="A343" s="335">
        <v>26003.5</v>
      </c>
      <c r="B343" s="352">
        <f t="shared" si="181"/>
        <v>26.003499999999999</v>
      </c>
      <c r="C343" s="325">
        <f t="shared" si="156"/>
        <v>16.159989179334975</v>
      </c>
      <c r="D343" s="326">
        <f t="shared" si="157"/>
        <v>1.5088755355372476</v>
      </c>
      <c r="E343" s="326">
        <f t="shared" si="158"/>
        <v>1.0005337494716537</v>
      </c>
      <c r="F343" s="327">
        <f t="shared" si="159"/>
        <v>3.2665338591615703E-2</v>
      </c>
      <c r="G343" s="326">
        <f t="shared" si="160"/>
        <v>1</v>
      </c>
      <c r="H343" s="327">
        <f t="shared" si="161"/>
        <v>0</v>
      </c>
      <c r="I343" s="325">
        <f t="shared" si="162"/>
        <v>34513.395619842217</v>
      </c>
      <c r="J343" s="328">
        <f t="shared" si="163"/>
        <v>1.570767352537737</v>
      </c>
      <c r="K343" s="336">
        <f t="shared" ref="K343:K406" si="183">SQRT(1+(A343/Zero2)^2)</f>
        <v>6.6001510845823255</v>
      </c>
      <c r="L343" s="337">
        <f t="shared" ref="L343:L406" si="184">ATAN(A343/Zero2)</f>
        <v>1.4186988939624909</v>
      </c>
      <c r="M343" s="325">
        <f t="shared" si="164"/>
        <v>1.0019780398474514</v>
      </c>
      <c r="N343" s="337">
        <f t="shared" si="165"/>
        <v>6.28456013868645E-2</v>
      </c>
      <c r="O343" s="343">
        <f t="shared" si="166"/>
        <v>1.0113518985052903</v>
      </c>
      <c r="P343" s="691">
        <f t="shared" si="167"/>
        <v>0.14997026765492369</v>
      </c>
      <c r="Q343" s="336">
        <f t="shared" si="182"/>
        <v>6.3945889129833349</v>
      </c>
      <c r="R343" s="692">
        <f t="shared" si="168"/>
        <v>0.16591331869623652</v>
      </c>
      <c r="S343" s="329">
        <f t="shared" si="169"/>
        <v>1.0110478910541616</v>
      </c>
      <c r="T343" s="330">
        <f t="shared" si="170"/>
        <v>0.15202647065828248</v>
      </c>
      <c r="U343" s="331">
        <f t="shared" si="171"/>
        <v>3.6557253147451396</v>
      </c>
      <c r="V343" s="332">
        <f t="shared" si="172"/>
        <v>-106.51822735494393</v>
      </c>
      <c r="W343" s="334">
        <f t="shared" si="173"/>
        <v>73.481772645056068</v>
      </c>
      <c r="Y343" s="307">
        <f t="shared" si="174"/>
        <v>1000000000</v>
      </c>
      <c r="Z343" s="307">
        <f t="shared" si="175"/>
        <v>676182012.25</v>
      </c>
      <c r="AB343" s="333">
        <f t="shared" si="176"/>
        <v>23.321384083321043</v>
      </c>
      <c r="AC343" s="334">
        <f t="shared" si="177"/>
        <v>-12.313668607920862</v>
      </c>
      <c r="AE343" s="333">
        <f t="shared" si="178"/>
        <v>23.097391323740233</v>
      </c>
      <c r="AF343" s="334">
        <f t="shared" si="179"/>
        <v>-93.291089208750392</v>
      </c>
      <c r="AH343">
        <f t="shared" si="180"/>
        <v>0</v>
      </c>
      <c r="AI343">
        <f t="shared" si="155"/>
        <v>0</v>
      </c>
    </row>
    <row r="344" spans="1:35" x14ac:dyDescent="0.2">
      <c r="A344" s="335">
        <v>26153.25</v>
      </c>
      <c r="B344" s="352">
        <f t="shared" si="181"/>
        <v>26.15325</v>
      </c>
      <c r="C344" s="325">
        <f t="shared" si="156"/>
        <v>16.25269662619591</v>
      </c>
      <c r="D344" s="326">
        <f t="shared" si="157"/>
        <v>1.5092291878392441</v>
      </c>
      <c r="E344" s="326">
        <f t="shared" si="158"/>
        <v>1.0005399130653723</v>
      </c>
      <c r="F344" s="327">
        <f t="shared" si="159"/>
        <v>3.2853318111718884E-2</v>
      </c>
      <c r="G344" s="326">
        <f t="shared" si="160"/>
        <v>1</v>
      </c>
      <c r="H344" s="327">
        <f t="shared" si="161"/>
        <v>0</v>
      </c>
      <c r="I344" s="325">
        <f t="shared" si="162"/>
        <v>34712.152748295877</v>
      </c>
      <c r="J344" s="328">
        <f t="shared" si="163"/>
        <v>1.5707675184404455</v>
      </c>
      <c r="K344" s="336">
        <f t="shared" si="183"/>
        <v>6.6372902090957773</v>
      </c>
      <c r="L344" s="337">
        <f t="shared" si="184"/>
        <v>1.419556526754383</v>
      </c>
      <c r="M344" s="325">
        <f t="shared" si="164"/>
        <v>1.0020008650657184</v>
      </c>
      <c r="N344" s="337">
        <f t="shared" si="165"/>
        <v>6.3206558751110142E-2</v>
      </c>
      <c r="O344" s="343">
        <f t="shared" si="166"/>
        <v>1.0114822782168649</v>
      </c>
      <c r="P344" s="691">
        <f t="shared" si="167"/>
        <v>0.15082092133309549</v>
      </c>
      <c r="Q344" s="336">
        <f t="shared" si="182"/>
        <v>6.395583885080474</v>
      </c>
      <c r="R344" s="692">
        <f t="shared" si="168"/>
        <v>0.16685152464521699</v>
      </c>
      <c r="S344" s="329">
        <f t="shared" si="169"/>
        <v>1.011174800513382</v>
      </c>
      <c r="T344" s="330">
        <f t="shared" si="170"/>
        <v>0.1528894922643198</v>
      </c>
      <c r="U344" s="331">
        <f t="shared" si="171"/>
        <v>3.603433213030546</v>
      </c>
      <c r="V344" s="332">
        <f t="shared" si="172"/>
        <v>-106.55373567715884</v>
      </c>
      <c r="W344" s="334">
        <f t="shared" si="173"/>
        <v>73.446264322841159</v>
      </c>
      <c r="Y344" s="307">
        <f t="shared" si="174"/>
        <v>1000000000</v>
      </c>
      <c r="Z344" s="307">
        <f t="shared" si="175"/>
        <v>683992485.5625</v>
      </c>
      <c r="AB344" s="333">
        <f t="shared" si="176"/>
        <v>23.320047650279005</v>
      </c>
      <c r="AC344" s="334">
        <f t="shared" si="177"/>
        <v>-12.28522070762136</v>
      </c>
      <c r="AE344" s="333">
        <f t="shared" si="178"/>
        <v>23.046667358833016</v>
      </c>
      <c r="AF344" s="334">
        <f t="shared" si="179"/>
        <v>-93.350029055654957</v>
      </c>
      <c r="AH344">
        <f t="shared" si="180"/>
        <v>0</v>
      </c>
      <c r="AI344">
        <f t="shared" si="155"/>
        <v>0</v>
      </c>
    </row>
    <row r="345" spans="1:35" x14ac:dyDescent="0.2">
      <c r="A345" s="335">
        <v>26303</v>
      </c>
      <c r="B345" s="352">
        <f t="shared" si="181"/>
        <v>26.303000000000001</v>
      </c>
      <c r="C345" s="325">
        <f t="shared" si="156"/>
        <v>16.345406082722359</v>
      </c>
      <c r="D345" s="326">
        <f t="shared" si="157"/>
        <v>1.5095788284258342</v>
      </c>
      <c r="E345" s="326">
        <f t="shared" si="158"/>
        <v>1.0005461120140329</v>
      </c>
      <c r="F345" s="327">
        <f t="shared" si="159"/>
        <v>3.3041295309185689E-2</v>
      </c>
      <c r="G345" s="326">
        <f t="shared" si="160"/>
        <v>1</v>
      </c>
      <c r="H345" s="327">
        <f t="shared" si="161"/>
        <v>0</v>
      </c>
      <c r="I345" s="325">
        <f t="shared" si="162"/>
        <v>34910.909876750491</v>
      </c>
      <c r="J345" s="328">
        <f t="shared" si="163"/>
        <v>1.570767682454097</v>
      </c>
      <c r="K345" s="336">
        <f t="shared" si="183"/>
        <v>6.6744341612296711</v>
      </c>
      <c r="L345" s="337">
        <f t="shared" si="184"/>
        <v>1.4204046145247442</v>
      </c>
      <c r="M345" s="325">
        <f t="shared" si="164"/>
        <v>1.00202382082894</v>
      </c>
      <c r="N345" s="337">
        <f t="shared" si="165"/>
        <v>6.3567499623748705E-2</v>
      </c>
      <c r="O345" s="343">
        <f t="shared" si="166"/>
        <v>1.0116133896598571</v>
      </c>
      <c r="P345" s="691">
        <f t="shared" si="167"/>
        <v>0.15167135512640972</v>
      </c>
      <c r="Q345" s="336">
        <f t="shared" si="182"/>
        <v>6.3965844145349955</v>
      </c>
      <c r="R345" s="692">
        <f t="shared" si="168"/>
        <v>0.16778943976386834</v>
      </c>
      <c r="S345" s="329">
        <f t="shared" si="169"/>
        <v>1.011302422712113</v>
      </c>
      <c r="T345" s="330">
        <f t="shared" si="170"/>
        <v>0.15375230278515981</v>
      </c>
      <c r="U345" s="331">
        <f t="shared" si="171"/>
        <v>3.5514337585767959</v>
      </c>
      <c r="V345" s="332">
        <f t="shared" si="172"/>
        <v>-106.58954395523757</v>
      </c>
      <c r="W345" s="334">
        <f t="shared" si="173"/>
        <v>73.410456044762427</v>
      </c>
      <c r="Y345" s="307">
        <f t="shared" si="174"/>
        <v>1000000000</v>
      </c>
      <c r="Z345" s="307">
        <f t="shared" si="175"/>
        <v>691847809</v>
      </c>
      <c r="AB345" s="333">
        <f t="shared" si="176"/>
        <v>23.318729190276265</v>
      </c>
      <c r="AC345" s="334">
        <f t="shared" si="177"/>
        <v>-12.257318643637099</v>
      </c>
      <c r="AE345" s="333">
        <f t="shared" si="178"/>
        <v>22.996219265778084</v>
      </c>
      <c r="AF345" s="334">
        <f t="shared" si="179"/>
        <v>-93.4087270869842</v>
      </c>
      <c r="AH345">
        <f t="shared" si="180"/>
        <v>0</v>
      </c>
      <c r="AI345">
        <f t="shared" si="155"/>
        <v>0</v>
      </c>
    </row>
    <row r="346" spans="1:35" x14ac:dyDescent="0.2">
      <c r="A346" s="335">
        <v>26456</v>
      </c>
      <c r="B346" s="352">
        <f t="shared" si="181"/>
        <v>26.456</v>
      </c>
      <c r="C346" s="325">
        <f t="shared" si="156"/>
        <v>16.440129637765065</v>
      </c>
      <c r="D346" s="326">
        <f t="shared" si="157"/>
        <v>1.5099319844599806</v>
      </c>
      <c r="E346" s="326">
        <f t="shared" si="158"/>
        <v>1.0005524820110112</v>
      </c>
      <c r="F346" s="327">
        <f t="shared" si="159"/>
        <v>3.3233349732759314E-2</v>
      </c>
      <c r="G346" s="326">
        <f t="shared" si="160"/>
        <v>1</v>
      </c>
      <c r="H346" s="327">
        <f t="shared" si="161"/>
        <v>0</v>
      </c>
      <c r="I346" s="325">
        <f t="shared" si="162"/>
        <v>35113.980598978858</v>
      </c>
      <c r="J346" s="328">
        <f t="shared" si="163"/>
        <v>1.5707678481096814</v>
      </c>
      <c r="K346" s="336">
        <f t="shared" si="183"/>
        <v>6.7123891450890669</v>
      </c>
      <c r="L346" s="337">
        <f t="shared" si="184"/>
        <v>1.4212614137837076</v>
      </c>
      <c r="M346" s="325">
        <f t="shared" si="164"/>
        <v>1.0020474096135323</v>
      </c>
      <c r="N346" s="337">
        <f t="shared" si="165"/>
        <v>6.3936256808684283E-2</v>
      </c>
      <c r="O346" s="343">
        <f t="shared" si="166"/>
        <v>1.0117481020220478</v>
      </c>
      <c r="P346" s="691">
        <f t="shared" si="167"/>
        <v>0.15254001746132212</v>
      </c>
      <c r="Q346" s="336">
        <f t="shared" si="182"/>
        <v>6.3976123951880819</v>
      </c>
      <c r="R346" s="692">
        <f t="shared" si="168"/>
        <v>0.16874740839390587</v>
      </c>
      <c r="S346" s="329">
        <f t="shared" si="169"/>
        <v>1.0114335505050509</v>
      </c>
      <c r="T346" s="330">
        <f t="shared" si="170"/>
        <v>0.15463361959045119</v>
      </c>
      <c r="U346" s="331">
        <f t="shared" si="171"/>
        <v>3.4986042906295687</v>
      </c>
      <c r="V346" s="332">
        <f t="shared" si="172"/>
        <v>-106.62643374508933</v>
      </c>
      <c r="W346" s="334">
        <f t="shared" si="173"/>
        <v>73.373566254910671</v>
      </c>
      <c r="Y346" s="307">
        <f t="shared" si="174"/>
        <v>1000000000</v>
      </c>
      <c r="Z346" s="307">
        <f t="shared" si="175"/>
        <v>699919936</v>
      </c>
      <c r="AB346" s="333">
        <f t="shared" si="176"/>
        <v>23.317400238224998</v>
      </c>
      <c r="AC346" s="334">
        <f t="shared" si="177"/>
        <v>-12.229365383904387</v>
      </c>
      <c r="AE346" s="333">
        <f t="shared" si="178"/>
        <v>22.944957940545979</v>
      </c>
      <c r="AF346" s="334">
        <f t="shared" si="179"/>
        <v>-93.468453262768179</v>
      </c>
      <c r="AH346">
        <f t="shared" si="180"/>
        <v>0</v>
      </c>
      <c r="AI346">
        <f t="shared" ref="AI346:AI409" si="185">IF(AH346&gt;0,W346,0)</f>
        <v>0</v>
      </c>
    </row>
    <row r="347" spans="1:35" x14ac:dyDescent="0.2">
      <c r="A347" s="335">
        <v>26609</v>
      </c>
      <c r="B347" s="352">
        <f t="shared" si="181"/>
        <v>26.609000000000002</v>
      </c>
      <c r="C347" s="325">
        <f t="shared" si="156"/>
        <v>16.534855219714856</v>
      </c>
      <c r="D347" s="326">
        <f t="shared" si="157"/>
        <v>1.5102810941866307</v>
      </c>
      <c r="E347" s="326">
        <f t="shared" si="158"/>
        <v>1.0005588889127988</v>
      </c>
      <c r="F347" s="327">
        <f t="shared" si="159"/>
        <v>3.3425401703843657E-2</v>
      </c>
      <c r="G347" s="326">
        <f t="shared" si="160"/>
        <v>1</v>
      </c>
      <c r="H347" s="327">
        <f t="shared" si="161"/>
        <v>0</v>
      </c>
      <c r="I347" s="325">
        <f t="shared" si="162"/>
        <v>35317.051321208193</v>
      </c>
      <c r="J347" s="328">
        <f t="shared" si="163"/>
        <v>1.5707680118602483</v>
      </c>
      <c r="K347" s="336">
        <f t="shared" si="183"/>
        <v>6.7503490011320828</v>
      </c>
      <c r="L347" s="337">
        <f t="shared" si="184"/>
        <v>1.4221085774232076</v>
      </c>
      <c r="M347" s="325">
        <f t="shared" si="164"/>
        <v>1.0020711346519708</v>
      </c>
      <c r="N347" s="337">
        <f t="shared" si="165"/>
        <v>6.4304996582367935E-2</v>
      </c>
      <c r="O347" s="343">
        <f t="shared" si="166"/>
        <v>1.0118835776196962</v>
      </c>
      <c r="P347" s="691">
        <f t="shared" si="167"/>
        <v>0.1534084478504176</v>
      </c>
      <c r="Q347" s="336">
        <f t="shared" si="182"/>
        <v>6.3986461715213787</v>
      </c>
      <c r="R347" s="692">
        <f t="shared" si="168"/>
        <v>0.1697050703078827</v>
      </c>
      <c r="S347" s="329">
        <f t="shared" si="169"/>
        <v>1.0115654217410992</v>
      </c>
      <c r="T347" s="330">
        <f t="shared" si="170"/>
        <v>0.15551471372591735</v>
      </c>
      <c r="U347" s="331">
        <f t="shared" si="171"/>
        <v>3.4460728306345279</v>
      </c>
      <c r="V347" s="332">
        <f t="shared" si="172"/>
        <v>-106.66362577064343</v>
      </c>
      <c r="W347" s="334">
        <f t="shared" si="173"/>
        <v>73.336374229356565</v>
      </c>
      <c r="Y347" s="307">
        <f t="shared" si="174"/>
        <v>1000000000</v>
      </c>
      <c r="Z347" s="307">
        <f t="shared" si="175"/>
        <v>708038881</v>
      </c>
      <c r="AB347" s="333">
        <f t="shared" si="176"/>
        <v>23.316089167408343</v>
      </c>
      <c r="AC347" s="334">
        <f t="shared" si="177"/>
        <v>-12.201963097759837</v>
      </c>
      <c r="AE347" s="333">
        <f t="shared" si="178"/>
        <v>22.893977987627071</v>
      </c>
      <c r="AF347" s="334">
        <f t="shared" si="179"/>
        <v>-93.5279349846858</v>
      </c>
      <c r="AH347">
        <f t="shared" si="180"/>
        <v>0</v>
      </c>
      <c r="AI347">
        <f t="shared" si="185"/>
        <v>0</v>
      </c>
    </row>
    <row r="348" spans="1:35" x14ac:dyDescent="0.2">
      <c r="A348" s="335">
        <v>26762</v>
      </c>
      <c r="B348" s="352">
        <f t="shared" si="181"/>
        <v>26.762</v>
      </c>
      <c r="C348" s="325">
        <f t="shared" si="156"/>
        <v>16.629582793934667</v>
      </c>
      <c r="D348" s="326">
        <f t="shared" si="157"/>
        <v>1.5106262266672472</v>
      </c>
      <c r="E348" s="326">
        <f t="shared" si="158"/>
        <v>1.0005653327186865</v>
      </c>
      <c r="F348" s="327">
        <f t="shared" si="159"/>
        <v>3.3617451208318681E-2</v>
      </c>
      <c r="G348" s="326">
        <f t="shared" si="160"/>
        <v>1</v>
      </c>
      <c r="H348" s="327">
        <f t="shared" si="161"/>
        <v>0</v>
      </c>
      <c r="I348" s="325">
        <f t="shared" si="162"/>
        <v>35520.122043438452</v>
      </c>
      <c r="J348" s="328">
        <f t="shared" si="163"/>
        <v>1.5707681737384711</v>
      </c>
      <c r="K348" s="336">
        <f t="shared" si="183"/>
        <v>6.7883136476238155</v>
      </c>
      <c r="L348" s="337">
        <f t="shared" si="184"/>
        <v>1.422946265882808</v>
      </c>
      <c r="M348" s="325">
        <f t="shared" si="164"/>
        <v>1.002094995934578</v>
      </c>
      <c r="N348" s="337">
        <f t="shared" si="165"/>
        <v>6.4673718845765518E-2</v>
      </c>
      <c r="O348" s="343">
        <f t="shared" si="166"/>
        <v>1.012019816146287</v>
      </c>
      <c r="P348" s="691">
        <f t="shared" si="167"/>
        <v>0.15427664507721903</v>
      </c>
      <c r="Q348" s="336">
        <f t="shared" si="182"/>
        <v>6.3996857407267171</v>
      </c>
      <c r="R348" s="692">
        <f t="shared" si="168"/>
        <v>0.17066242393130665</v>
      </c>
      <c r="S348" s="329">
        <f t="shared" si="169"/>
        <v>1.0116980361304695</v>
      </c>
      <c r="T348" s="330">
        <f t="shared" si="170"/>
        <v>0.15639558402048398</v>
      </c>
      <c r="U348" s="331">
        <f t="shared" si="171"/>
        <v>3.3938357012299658</v>
      </c>
      <c r="V348" s="332">
        <f t="shared" si="172"/>
        <v>-106.70111470571689</v>
      </c>
      <c r="W348" s="334">
        <f t="shared" si="173"/>
        <v>73.29888529428311</v>
      </c>
      <c r="Y348" s="307">
        <f t="shared" si="174"/>
        <v>1000000000</v>
      </c>
      <c r="Z348" s="307">
        <f t="shared" si="175"/>
        <v>716204644</v>
      </c>
      <c r="AB348" s="333">
        <f t="shared" si="176"/>
        <v>23.314795551310556</v>
      </c>
      <c r="AC348" s="334">
        <f t="shared" si="177"/>
        <v>-12.175102588891386</v>
      </c>
      <c r="AE348" s="333">
        <f t="shared" si="178"/>
        <v>22.843276153844343</v>
      </c>
      <c r="AF348" s="334">
        <f t="shared" si="179"/>
        <v>-93.587176143378812</v>
      </c>
      <c r="AH348">
        <f t="shared" si="180"/>
        <v>0</v>
      </c>
      <c r="AI348">
        <f t="shared" si="185"/>
        <v>0</v>
      </c>
    </row>
    <row r="349" spans="1:35" x14ac:dyDescent="0.2">
      <c r="A349" s="335">
        <v>26915</v>
      </c>
      <c r="B349" s="352">
        <f t="shared" si="181"/>
        <v>26.914999999999999</v>
      </c>
      <c r="C349" s="325">
        <f t="shared" si="156"/>
        <v>16.724312326571468</v>
      </c>
      <c r="D349" s="326">
        <f t="shared" si="157"/>
        <v>1.5109674494024263</v>
      </c>
      <c r="E349" s="326">
        <f t="shared" si="158"/>
        <v>1.0005718134279613</v>
      </c>
      <c r="F349" s="327">
        <f t="shared" si="159"/>
        <v>3.3809498232065464E-2</v>
      </c>
      <c r="G349" s="326">
        <f t="shared" si="160"/>
        <v>1</v>
      </c>
      <c r="H349" s="327">
        <f t="shared" si="161"/>
        <v>0</v>
      </c>
      <c r="I349" s="325">
        <f t="shared" si="162"/>
        <v>35723.192765669635</v>
      </c>
      <c r="J349" s="328">
        <f t="shared" si="163"/>
        <v>1.5707683337762801</v>
      </c>
      <c r="K349" s="336">
        <f t="shared" si="183"/>
        <v>6.826283004637447</v>
      </c>
      <c r="L349" s="337">
        <f t="shared" si="184"/>
        <v>1.4237746360863364</v>
      </c>
      <c r="M349" s="325">
        <f t="shared" si="164"/>
        <v>1.002118993451621</v>
      </c>
      <c r="N349" s="337">
        <f t="shared" si="165"/>
        <v>6.5042423499871341E-2</v>
      </c>
      <c r="O349" s="343">
        <f t="shared" si="166"/>
        <v>1.0121568172937447</v>
      </c>
      <c r="P349" s="691">
        <f t="shared" si="167"/>
        <v>0.15514460792730847</v>
      </c>
      <c r="Q349" s="336">
        <f t="shared" si="182"/>
        <v>6.4007310999820186</v>
      </c>
      <c r="R349" s="692">
        <f t="shared" si="168"/>
        <v>0.17161946769293743</v>
      </c>
      <c r="S349" s="329">
        <f t="shared" si="169"/>
        <v>1.0118313933818932</v>
      </c>
      <c r="T349" s="330">
        <f t="shared" si="170"/>
        <v>0.15727622930500262</v>
      </c>
      <c r="U349" s="331">
        <f t="shared" si="171"/>
        <v>3.3418892918291125</v>
      </c>
      <c r="V349" s="332">
        <f t="shared" si="172"/>
        <v>-106.73889533627006</v>
      </c>
      <c r="W349" s="334">
        <f t="shared" si="173"/>
        <v>73.261104663729938</v>
      </c>
      <c r="Y349" s="307">
        <f t="shared" si="174"/>
        <v>1000000000</v>
      </c>
      <c r="Z349" s="307">
        <f t="shared" si="175"/>
        <v>724417225</v>
      </c>
      <c r="AB349" s="333">
        <f t="shared" si="176"/>
        <v>23.31351897524943</v>
      </c>
      <c r="AC349" s="334">
        <f t="shared" si="177"/>
        <v>-12.148774862382853</v>
      </c>
      <c r="AE349" s="333">
        <f t="shared" si="178"/>
        <v>22.792849240952222</v>
      </c>
      <c r="AF349" s="334">
        <f t="shared" si="179"/>
        <v>-93.646180540168189</v>
      </c>
      <c r="AH349">
        <f t="shared" si="180"/>
        <v>0</v>
      </c>
      <c r="AI349">
        <f t="shared" si="185"/>
        <v>0</v>
      </c>
    </row>
    <row r="350" spans="1:35" x14ac:dyDescent="0.2">
      <c r="A350" s="335">
        <v>27071.75</v>
      </c>
      <c r="B350" s="352">
        <f t="shared" si="181"/>
        <v>27.071750000000002</v>
      </c>
      <c r="C350" s="325">
        <f t="shared" si="156"/>
        <v>16.821365657891462</v>
      </c>
      <c r="D350" s="326">
        <f t="shared" si="157"/>
        <v>1.5113130497582807</v>
      </c>
      <c r="E350" s="326">
        <f t="shared" si="158"/>
        <v>1.0005784912486142</v>
      </c>
      <c r="F350" s="327">
        <f t="shared" si="159"/>
        <v>3.4006249703270652E-2</v>
      </c>
      <c r="G350" s="326">
        <f t="shared" si="160"/>
        <v>1</v>
      </c>
      <c r="H350" s="327">
        <f t="shared" si="161"/>
        <v>0</v>
      </c>
      <c r="I350" s="325">
        <f t="shared" si="162"/>
        <v>35931.240711485851</v>
      </c>
      <c r="J350" s="328">
        <f t="shared" si="163"/>
        <v>1.5707684958605808</v>
      </c>
      <c r="K350" s="336">
        <f t="shared" si="183"/>
        <v>6.8651877865474731</v>
      </c>
      <c r="L350" s="337">
        <f t="shared" si="184"/>
        <v>1.424613806315127</v>
      </c>
      <c r="M350" s="325">
        <f t="shared" si="164"/>
        <v>1.0021437204168437</v>
      </c>
      <c r="N350" s="337">
        <f t="shared" si="165"/>
        <v>6.5420146667288764E-2</v>
      </c>
      <c r="O350" s="343">
        <f t="shared" si="166"/>
        <v>1.0122979668761842</v>
      </c>
      <c r="P350" s="691">
        <f t="shared" si="167"/>
        <v>0.15603360004521907</v>
      </c>
      <c r="Q350" s="336">
        <f t="shared" si="182"/>
        <v>6.401808082481093</v>
      </c>
      <c r="R350" s="692">
        <f t="shared" si="168"/>
        <v>0.1725996454233116</v>
      </c>
      <c r="S350" s="329">
        <f t="shared" si="169"/>
        <v>1.011968789283602</v>
      </c>
      <c r="T350" s="330">
        <f t="shared" si="170"/>
        <v>0.15817822446235372</v>
      </c>
      <c r="U350" s="331">
        <f t="shared" si="171"/>
        <v>3.2889674752147853</v>
      </c>
      <c r="V350" s="332">
        <f t="shared" si="172"/>
        <v>-106.77789913325513</v>
      </c>
      <c r="W350" s="334">
        <f t="shared" si="173"/>
        <v>73.222100866744867</v>
      </c>
      <c r="Y350" s="307">
        <f t="shared" si="174"/>
        <v>1000000000</v>
      </c>
      <c r="Z350" s="307">
        <f t="shared" si="175"/>
        <v>732879648.0625</v>
      </c>
      <c r="AB350" s="333">
        <f t="shared" si="176"/>
        <v>23.312228360656096</v>
      </c>
      <c r="AC350" s="334">
        <f t="shared" si="177"/>
        <v>-12.1223451800136</v>
      </c>
      <c r="AE350" s="333">
        <f t="shared" si="178"/>
        <v>22.741468197771898</v>
      </c>
      <c r="AF350" s="334">
        <f t="shared" si="179"/>
        <v>-93.70638946877007</v>
      </c>
      <c r="AH350">
        <f t="shared" si="180"/>
        <v>0</v>
      </c>
      <c r="AI350">
        <f t="shared" si="185"/>
        <v>0</v>
      </c>
    </row>
    <row r="351" spans="1:35" x14ac:dyDescent="0.2">
      <c r="A351" s="335">
        <v>27228.5</v>
      </c>
      <c r="B351" s="352">
        <f t="shared" si="181"/>
        <v>27.2285</v>
      </c>
      <c r="C351" s="325">
        <f t="shared" si="156"/>
        <v>16.918420975297579</v>
      </c>
      <c r="D351" s="326">
        <f t="shared" si="157"/>
        <v>1.5116546849674586</v>
      </c>
      <c r="E351" s="326">
        <f t="shared" si="158"/>
        <v>1.0005852078022843</v>
      </c>
      <c r="F351" s="327">
        <f t="shared" si="159"/>
        <v>3.4202998540654284E-2</v>
      </c>
      <c r="G351" s="326">
        <f t="shared" si="160"/>
        <v>1</v>
      </c>
      <c r="H351" s="327">
        <f t="shared" si="161"/>
        <v>0</v>
      </c>
      <c r="I351" s="325">
        <f t="shared" si="162"/>
        <v>36139.288657303005</v>
      </c>
      <c r="J351" s="328">
        <f t="shared" si="163"/>
        <v>1.570768656078696</v>
      </c>
      <c r="K351" s="336">
        <f t="shared" si="183"/>
        <v>6.9040973484813648</v>
      </c>
      <c r="L351" s="337">
        <f t="shared" si="184"/>
        <v>1.4254435184652581</v>
      </c>
      <c r="M351" s="325">
        <f t="shared" si="164"/>
        <v>1.0021685903556452</v>
      </c>
      <c r="N351" s="337">
        <f t="shared" si="165"/>
        <v>6.5797851141343858E-2</v>
      </c>
      <c r="O351" s="343">
        <f t="shared" si="166"/>
        <v>1.0124399162613382</v>
      </c>
      <c r="P351" s="691">
        <f t="shared" si="167"/>
        <v>0.15692234358263318</v>
      </c>
      <c r="Q351" s="336">
        <f t="shared" si="182"/>
        <v>6.4028911362929577</v>
      </c>
      <c r="R351" s="692">
        <f t="shared" si="168"/>
        <v>0.17357949458813449</v>
      </c>
      <c r="S351" s="329">
        <f t="shared" si="169"/>
        <v>1.0121069642847431</v>
      </c>
      <c r="T351" s="330">
        <f t="shared" si="170"/>
        <v>0.15907998096641437</v>
      </c>
      <c r="U351" s="331">
        <f t="shared" si="171"/>
        <v>3.2363433398044821</v>
      </c>
      <c r="V351" s="332">
        <f t="shared" si="172"/>
        <v>-106.81719836835953</v>
      </c>
      <c r="W351" s="334">
        <f t="shared" si="173"/>
        <v>73.182801631640473</v>
      </c>
      <c r="Y351" s="307">
        <f t="shared" si="174"/>
        <v>1000000000</v>
      </c>
      <c r="Z351" s="307">
        <f t="shared" si="175"/>
        <v>741391212.25</v>
      </c>
      <c r="AB351" s="333">
        <f t="shared" si="176"/>
        <v>23.310954786853699</v>
      </c>
      <c r="AC351" s="334">
        <f t="shared" si="177"/>
        <v>-12.096456227659155</v>
      </c>
      <c r="AE351" s="333">
        <f t="shared" si="178"/>
        <v>22.690369092497043</v>
      </c>
      <c r="AF351" s="334">
        <f t="shared" si="179"/>
        <v>-93.766357688282511</v>
      </c>
      <c r="AH351">
        <f t="shared" si="180"/>
        <v>0</v>
      </c>
      <c r="AI351">
        <f t="shared" si="185"/>
        <v>0</v>
      </c>
    </row>
    <row r="352" spans="1:35" x14ac:dyDescent="0.2">
      <c r="A352" s="335">
        <v>27385.25</v>
      </c>
      <c r="B352" s="352">
        <f t="shared" si="181"/>
        <v>27.385249999999999</v>
      </c>
      <c r="C352" s="325">
        <f t="shared" si="156"/>
        <v>17.015478244804253</v>
      </c>
      <c r="D352" s="326">
        <f t="shared" si="157"/>
        <v>1.5119924228017985</v>
      </c>
      <c r="E352" s="326">
        <f t="shared" si="158"/>
        <v>1.0005919630881923</v>
      </c>
      <c r="F352" s="327">
        <f t="shared" si="159"/>
        <v>3.4399744729037222E-2</v>
      </c>
      <c r="G352" s="326">
        <f t="shared" si="160"/>
        <v>1</v>
      </c>
      <c r="H352" s="327">
        <f t="shared" si="161"/>
        <v>0</v>
      </c>
      <c r="I352" s="325">
        <f t="shared" si="162"/>
        <v>36347.336603121075</v>
      </c>
      <c r="J352" s="328">
        <f t="shared" si="163"/>
        <v>1.5707688144626715</v>
      </c>
      <c r="K352" s="336">
        <f t="shared" si="183"/>
        <v>6.9430116100754526</v>
      </c>
      <c r="L352" s="337">
        <f t="shared" si="184"/>
        <v>1.4262639304168374</v>
      </c>
      <c r="M352" s="325">
        <f t="shared" si="164"/>
        <v>1.002193603257381</v>
      </c>
      <c r="N352" s="337">
        <f t="shared" si="165"/>
        <v>6.6175536815665181E-2</v>
      </c>
      <c r="O352" s="343">
        <f t="shared" si="166"/>
        <v>1.0125826651128442</v>
      </c>
      <c r="P352" s="691">
        <f t="shared" si="167"/>
        <v>0.1578108372404145</v>
      </c>
      <c r="Q352" s="336">
        <f t="shared" si="182"/>
        <v>6.4039802583377332</v>
      </c>
      <c r="R352" s="692">
        <f t="shared" si="168"/>
        <v>0.17455901350848585</v>
      </c>
      <c r="S352" s="329">
        <f t="shared" si="169"/>
        <v>1.0122459180672874</v>
      </c>
      <c r="T352" s="330">
        <f t="shared" si="170"/>
        <v>0.1599814975662899</v>
      </c>
      <c r="U352" s="331">
        <f t="shared" si="171"/>
        <v>3.1840132106021968</v>
      </c>
      <c r="V352" s="332">
        <f t="shared" si="172"/>
        <v>-106.8567877819398</v>
      </c>
      <c r="W352" s="334">
        <f t="shared" si="173"/>
        <v>73.143212218060199</v>
      </c>
      <c r="Y352" s="307">
        <f t="shared" si="174"/>
        <v>1000000000</v>
      </c>
      <c r="Z352" s="307">
        <f t="shared" si="175"/>
        <v>749951917.5625</v>
      </c>
      <c r="AB352" s="333">
        <f t="shared" si="176"/>
        <v>23.309697844050238</v>
      </c>
      <c r="AC352" s="334">
        <f t="shared" si="177"/>
        <v>-12.071098955197087</v>
      </c>
      <c r="AE352" s="333">
        <f t="shared" si="178"/>
        <v>22.639548657374249</v>
      </c>
      <c r="AF352" s="334">
        <f t="shared" si="179"/>
        <v>-93.826089010944557</v>
      </c>
      <c r="AH352">
        <f t="shared" si="180"/>
        <v>0</v>
      </c>
      <c r="AI352">
        <f t="shared" si="185"/>
        <v>0</v>
      </c>
    </row>
    <row r="353" spans="1:35" x14ac:dyDescent="0.2">
      <c r="A353" s="335">
        <v>27542</v>
      </c>
      <c r="B353" s="352">
        <f t="shared" si="181"/>
        <v>27.542000000000002</v>
      </c>
      <c r="C353" s="325">
        <f t="shared" si="156"/>
        <v>17.112537433196266</v>
      </c>
      <c r="D353" s="326">
        <f t="shared" si="157"/>
        <v>1.5123263294991836</v>
      </c>
      <c r="E353" s="326">
        <f t="shared" si="158"/>
        <v>1.0005987571055532</v>
      </c>
      <c r="F353" s="327">
        <f t="shared" si="159"/>
        <v>3.459648825324154E-2</v>
      </c>
      <c r="G353" s="326">
        <f t="shared" si="160"/>
        <v>1</v>
      </c>
      <c r="H353" s="327">
        <f t="shared" si="161"/>
        <v>0</v>
      </c>
      <c r="I353" s="325">
        <f t="shared" si="162"/>
        <v>36555.384548940041</v>
      </c>
      <c r="J353" s="328">
        <f t="shared" si="163"/>
        <v>1.5707689710438228</v>
      </c>
      <c r="K353" s="336">
        <f t="shared" si="183"/>
        <v>6.9819304927481154</v>
      </c>
      <c r="L353" s="337">
        <f t="shared" si="184"/>
        <v>1.4270751965804516</v>
      </c>
      <c r="M353" s="325">
        <f t="shared" si="164"/>
        <v>1.0022187591113476</v>
      </c>
      <c r="N353" s="337">
        <f t="shared" si="165"/>
        <v>6.6553203583913284E-2</v>
      </c>
      <c r="O353" s="343">
        <f t="shared" si="166"/>
        <v>1.012726213092636</v>
      </c>
      <c r="P353" s="691">
        <f t="shared" si="167"/>
        <v>0.15869907972173522</v>
      </c>
      <c r="Q353" s="336">
        <f t="shared" si="182"/>
        <v>6.405075445520386</v>
      </c>
      <c r="R353" s="692">
        <f t="shared" si="168"/>
        <v>0.17553820050908717</v>
      </c>
      <c r="S353" s="329">
        <f t="shared" si="169"/>
        <v>1.012385650311588</v>
      </c>
      <c r="T353" s="330">
        <f t="shared" si="170"/>
        <v>0.16088277301324516</v>
      </c>
      <c r="U353" s="331">
        <f t="shared" si="171"/>
        <v>3.1319734793072849</v>
      </c>
      <c r="V353" s="332">
        <f t="shared" si="172"/>
        <v>-106.89666222541241</v>
      </c>
      <c r="W353" s="334">
        <f t="shared" si="173"/>
        <v>73.103337774587587</v>
      </c>
      <c r="Y353" s="307">
        <f t="shared" si="174"/>
        <v>1000000000</v>
      </c>
      <c r="Z353" s="307">
        <f t="shared" si="175"/>
        <v>758561764</v>
      </c>
      <c r="AB353" s="333">
        <f t="shared" si="176"/>
        <v>23.308457133848446</v>
      </c>
      <c r="AC353" s="334">
        <f t="shared" si="177"/>
        <v>-12.046264511253943</v>
      </c>
      <c r="AE353" s="333">
        <f t="shared" si="178"/>
        <v>22.589003679940021</v>
      </c>
      <c r="AF353" s="334">
        <f t="shared" si="179"/>
        <v>-93.885587161229722</v>
      </c>
      <c r="AH353">
        <f t="shared" si="180"/>
        <v>0</v>
      </c>
      <c r="AI353">
        <f t="shared" si="185"/>
        <v>0</v>
      </c>
    </row>
    <row r="354" spans="1:35" x14ac:dyDescent="0.2">
      <c r="A354" s="335">
        <v>27702.5</v>
      </c>
      <c r="B354" s="352">
        <f t="shared" si="181"/>
        <v>27.702500000000001</v>
      </c>
      <c r="C354" s="325">
        <f t="shared" si="156"/>
        <v>17.211920566130566</v>
      </c>
      <c r="D354" s="326">
        <f t="shared" si="157"/>
        <v>1.5126643222957041</v>
      </c>
      <c r="E354" s="326">
        <f t="shared" si="158"/>
        <v>1.0006057537908122</v>
      </c>
      <c r="F354" s="327">
        <f t="shared" si="159"/>
        <v>3.4797935783925031E-2</v>
      </c>
      <c r="G354" s="326">
        <f t="shared" si="160"/>
        <v>1</v>
      </c>
      <c r="H354" s="327">
        <f t="shared" si="161"/>
        <v>0</v>
      </c>
      <c r="I354" s="325">
        <f t="shared" si="162"/>
        <v>36768.409718344119</v>
      </c>
      <c r="J354" s="328">
        <f t="shared" si="163"/>
        <v>1.5707691295348631</v>
      </c>
      <c r="K354" s="336">
        <f t="shared" si="183"/>
        <v>7.0217851571455228</v>
      </c>
      <c r="L354" s="337">
        <f t="shared" si="184"/>
        <v>1.4278965521478566</v>
      </c>
      <c r="M354" s="325">
        <f t="shared" si="164"/>
        <v>1.0022446648917631</v>
      </c>
      <c r="N354" s="337">
        <f t="shared" si="165"/>
        <v>6.6939885741349098E-2</v>
      </c>
      <c r="O354" s="343">
        <f t="shared" si="166"/>
        <v>1.0128740229135704</v>
      </c>
      <c r="P354" s="691">
        <f t="shared" si="167"/>
        <v>0.15960831040931989</v>
      </c>
      <c r="Q354" s="336">
        <f t="shared" si="182"/>
        <v>6.4062031146269005</v>
      </c>
      <c r="R354" s="692">
        <f t="shared" si="168"/>
        <v>0.17654046736441206</v>
      </c>
      <c r="S354" s="329">
        <f t="shared" si="169"/>
        <v>1.0125295317167573</v>
      </c>
      <c r="T354" s="330">
        <f t="shared" si="170"/>
        <v>0.161805358896078</v>
      </c>
      <c r="U354" s="331">
        <f t="shared" si="171"/>
        <v>3.0789859800948403</v>
      </c>
      <c r="V354" s="332">
        <f t="shared" si="172"/>
        <v>-106.9377806789925</v>
      </c>
      <c r="W354" s="334">
        <f t="shared" si="173"/>
        <v>73.062219321007504</v>
      </c>
      <c r="Y354" s="307">
        <f t="shared" si="174"/>
        <v>1000000000</v>
      </c>
      <c r="Z354" s="307">
        <f t="shared" si="175"/>
        <v>767428506.25</v>
      </c>
      <c r="AB354" s="333">
        <f t="shared" si="176"/>
        <v>23.307203156815941</v>
      </c>
      <c r="AC354" s="334">
        <f t="shared" si="177"/>
        <v>-12.021368640235389</v>
      </c>
      <c r="AE354" s="333">
        <f t="shared" si="178"/>
        <v>22.5375316154635</v>
      </c>
      <c r="AF354" s="334">
        <f t="shared" si="179"/>
        <v>-93.94627090606869</v>
      </c>
      <c r="AH354">
        <f t="shared" si="180"/>
        <v>0</v>
      </c>
      <c r="AI354">
        <f t="shared" si="185"/>
        <v>0</v>
      </c>
    </row>
    <row r="355" spans="1:35" x14ac:dyDescent="0.2">
      <c r="A355" s="335">
        <v>27863</v>
      </c>
      <c r="B355" s="352">
        <f t="shared" si="181"/>
        <v>27.863</v>
      </c>
      <c r="C355" s="325">
        <f t="shared" si="156"/>
        <v>17.311305642763056</v>
      </c>
      <c r="D355" s="326">
        <f t="shared" si="157"/>
        <v>1.5129984342627305</v>
      </c>
      <c r="E355" s="326">
        <f t="shared" si="158"/>
        <v>1.0006127910811922</v>
      </c>
      <c r="F355" s="327">
        <f t="shared" si="159"/>
        <v>3.4999380489230104E-2</v>
      </c>
      <c r="G355" s="326">
        <f t="shared" si="160"/>
        <v>1</v>
      </c>
      <c r="H355" s="327">
        <f t="shared" si="161"/>
        <v>0</v>
      </c>
      <c r="I355" s="325">
        <f t="shared" si="162"/>
        <v>36981.434887749107</v>
      </c>
      <c r="J355" s="328">
        <f t="shared" si="163"/>
        <v>1.5707692861999831</v>
      </c>
      <c r="K355" s="336">
        <f t="shared" si="183"/>
        <v>7.0616445051422891</v>
      </c>
      <c r="L355" s="337">
        <f t="shared" si="184"/>
        <v>1.42870863599926</v>
      </c>
      <c r="M355" s="325">
        <f t="shared" si="164"/>
        <v>1.0022707205231387</v>
      </c>
      <c r="N355" s="337">
        <f t="shared" si="165"/>
        <v>6.7326547851754306E-2</v>
      </c>
      <c r="O355" s="343">
        <f t="shared" si="166"/>
        <v>1.0130226698331515</v>
      </c>
      <c r="P355" s="691">
        <f t="shared" si="167"/>
        <v>0.16051727501436927</v>
      </c>
      <c r="Q355" s="336">
        <f t="shared" si="182"/>
        <v>6.4073371359246218</v>
      </c>
      <c r="R355" s="692">
        <f t="shared" si="168"/>
        <v>0.17754238268564534</v>
      </c>
      <c r="S355" s="329">
        <f t="shared" si="169"/>
        <v>1.0126742285927508</v>
      </c>
      <c r="T355" s="330">
        <f t="shared" si="170"/>
        <v>0.16272768930681508</v>
      </c>
      <c r="U355" s="331">
        <f t="shared" si="171"/>
        <v>3.026295490470102</v>
      </c>
      <c r="V355" s="332">
        <f t="shared" si="172"/>
        <v>-106.9791873827857</v>
      </c>
      <c r="W355" s="334">
        <f t="shared" si="173"/>
        <v>73.020812617214304</v>
      </c>
      <c r="Y355" s="307">
        <f t="shared" si="174"/>
        <v>1000000000</v>
      </c>
      <c r="Z355" s="307">
        <f t="shared" si="175"/>
        <v>776346769</v>
      </c>
      <c r="AB355" s="333">
        <f t="shared" si="176"/>
        <v>23.305965387984099</v>
      </c>
      <c r="AC355" s="334">
        <f t="shared" si="177"/>
        <v>-11.997002746185427</v>
      </c>
      <c r="AE355" s="333">
        <f t="shared" si="178"/>
        <v>22.48634170186665</v>
      </c>
      <c r="AF355" s="334">
        <f t="shared" si="179"/>
        <v>-94.006717820165747</v>
      </c>
      <c r="AH355">
        <f t="shared" si="180"/>
        <v>0</v>
      </c>
      <c r="AI355">
        <f t="shared" si="185"/>
        <v>0</v>
      </c>
    </row>
    <row r="356" spans="1:35" x14ac:dyDescent="0.2">
      <c r="A356" s="335">
        <v>28023.5</v>
      </c>
      <c r="B356" s="352">
        <f t="shared" si="181"/>
        <v>28.023499999999999</v>
      </c>
      <c r="C356" s="325">
        <f t="shared" si="156"/>
        <v>17.410692629808217</v>
      </c>
      <c r="D356" s="326">
        <f t="shared" si="157"/>
        <v>1.513328731784862</v>
      </c>
      <c r="E356" s="326">
        <f t="shared" si="158"/>
        <v>1.0006198689758361</v>
      </c>
      <c r="F356" s="327">
        <f t="shared" si="159"/>
        <v>3.5200822352867318E-2</v>
      </c>
      <c r="G356" s="326">
        <f t="shared" si="160"/>
        <v>1</v>
      </c>
      <c r="H356" s="327">
        <f t="shared" si="161"/>
        <v>0</v>
      </c>
      <c r="I356" s="325">
        <f t="shared" si="162"/>
        <v>37194.460057154989</v>
      </c>
      <c r="J356" s="328">
        <f t="shared" si="163"/>
        <v>1.5707694410705553</v>
      </c>
      <c r="K356" s="336">
        <f t="shared" si="183"/>
        <v>7.1015084578740924</v>
      </c>
      <c r="L356" s="337">
        <f t="shared" si="184"/>
        <v>1.4295116031933393</v>
      </c>
      <c r="M356" s="325">
        <f t="shared" si="164"/>
        <v>1.0022969259937879</v>
      </c>
      <c r="N356" s="337">
        <f t="shared" si="165"/>
        <v>6.771318980107903E-2</v>
      </c>
      <c r="O356" s="343">
        <f t="shared" si="166"/>
        <v>1.0131721534829365</v>
      </c>
      <c r="P356" s="691">
        <f t="shared" si="167"/>
        <v>0.16142597215232643</v>
      </c>
      <c r="Q356" s="336">
        <f t="shared" si="182"/>
        <v>6.408477506041911</v>
      </c>
      <c r="R356" s="692">
        <f t="shared" si="168"/>
        <v>0.17854394468633802</v>
      </c>
      <c r="S356" s="329">
        <f t="shared" si="169"/>
        <v>1.0128197405911801</v>
      </c>
      <c r="T356" s="330">
        <f t="shared" si="170"/>
        <v>0.16364976291203723</v>
      </c>
      <c r="U356" s="331">
        <f t="shared" si="171"/>
        <v>2.9738983439008693</v>
      </c>
      <c r="V356" s="332">
        <f t="shared" si="172"/>
        <v>-107.02087715291188</v>
      </c>
      <c r="W356" s="334">
        <f t="shared" si="173"/>
        <v>72.979122847088121</v>
      </c>
      <c r="Y356" s="307">
        <f t="shared" si="174"/>
        <v>1000000000</v>
      </c>
      <c r="Z356" s="307">
        <f t="shared" si="175"/>
        <v>785316552.25</v>
      </c>
      <c r="AB356" s="333">
        <f t="shared" si="176"/>
        <v>23.304743434393572</v>
      </c>
      <c r="AC356" s="334">
        <f t="shared" si="177"/>
        <v>-11.97315794015914</v>
      </c>
      <c r="AE356" s="333">
        <f t="shared" si="178"/>
        <v>22.435430662793902</v>
      </c>
      <c r="AF356" s="334">
        <f t="shared" si="179"/>
        <v>-94.066931631612306</v>
      </c>
      <c r="AH356">
        <f t="shared" si="180"/>
        <v>0</v>
      </c>
      <c r="AI356">
        <f t="shared" si="185"/>
        <v>0</v>
      </c>
    </row>
    <row r="357" spans="1:35" x14ac:dyDescent="0.2">
      <c r="A357" s="335">
        <v>28184</v>
      </c>
      <c r="B357" s="352">
        <f t="shared" si="181"/>
        <v>28.184000000000001</v>
      </c>
      <c r="C357" s="325">
        <f t="shared" si="156"/>
        <v>17.510081494735626</v>
      </c>
      <c r="D357" s="326">
        <f t="shared" si="157"/>
        <v>1.5136552797428506</v>
      </c>
      <c r="E357" s="326">
        <f t="shared" si="158"/>
        <v>1.0006269874738829</v>
      </c>
      <c r="F357" s="327">
        <f t="shared" si="159"/>
        <v>3.5402261358548591E-2</v>
      </c>
      <c r="G357" s="326">
        <f t="shared" si="160"/>
        <v>1</v>
      </c>
      <c r="H357" s="327">
        <f t="shared" si="161"/>
        <v>0</v>
      </c>
      <c r="I357" s="325">
        <f t="shared" si="162"/>
        <v>37407.485226561752</v>
      </c>
      <c r="J357" s="328">
        <f t="shared" si="163"/>
        <v>1.5707695941772384</v>
      </c>
      <c r="K357" s="336">
        <f t="shared" si="183"/>
        <v>7.1413769382285173</v>
      </c>
      <c r="L357" s="337">
        <f t="shared" si="184"/>
        <v>1.4303056053737864</v>
      </c>
      <c r="M357" s="325">
        <f t="shared" si="164"/>
        <v>1.0023232812919585</v>
      </c>
      <c r="N357" s="337">
        <f t="shared" si="165"/>
        <v>6.8099811475309358E-2</v>
      </c>
      <c r="O357" s="343">
        <f t="shared" si="166"/>
        <v>1.0133224734926261</v>
      </c>
      <c r="P357" s="691">
        <f t="shared" si="167"/>
        <v>0.16233440044121586</v>
      </c>
      <c r="Q357" s="336">
        <f t="shared" si="182"/>
        <v>6.4096242215906649</v>
      </c>
      <c r="R357" s="692">
        <f t="shared" si="168"/>
        <v>0.17954515158410836</v>
      </c>
      <c r="S357" s="329">
        <f t="shared" si="169"/>
        <v>1.0129660673618959</v>
      </c>
      <c r="T357" s="330">
        <f t="shared" si="170"/>
        <v>0.16457157838074044</v>
      </c>
      <c r="U357" s="331">
        <f t="shared" si="171"/>
        <v>2.9217909403254252</v>
      </c>
      <c r="V357" s="332">
        <f t="shared" si="172"/>
        <v>-107.06284491517553</v>
      </c>
      <c r="W357" s="334">
        <f t="shared" si="173"/>
        <v>72.937155084824468</v>
      </c>
      <c r="Y357" s="307">
        <f t="shared" si="174"/>
        <v>1000000000</v>
      </c>
      <c r="Z357" s="307">
        <f t="shared" si="175"/>
        <v>794337856</v>
      </c>
      <c r="AB357" s="333">
        <f t="shared" si="176"/>
        <v>23.303536914029209</v>
      </c>
      <c r="AC357" s="334">
        <f t="shared" si="177"/>
        <v>-11.949825528837112</v>
      </c>
      <c r="AE357" s="333">
        <f t="shared" si="178"/>
        <v>22.384795277404521</v>
      </c>
      <c r="AF357" s="334">
        <f t="shared" si="179"/>
        <v>-94.126915982473932</v>
      </c>
      <c r="AH357">
        <f t="shared" si="180"/>
        <v>0</v>
      </c>
      <c r="AI357">
        <f t="shared" si="185"/>
        <v>0</v>
      </c>
    </row>
    <row r="358" spans="1:35" x14ac:dyDescent="0.2">
      <c r="A358" s="335">
        <v>28348</v>
      </c>
      <c r="B358" s="352">
        <f t="shared" si="181"/>
        <v>28.347999999999999</v>
      </c>
      <c r="C358" s="325">
        <f t="shared" si="156"/>
        <v>17.611639624764109</v>
      </c>
      <c r="D358" s="326">
        <f t="shared" si="157"/>
        <v>1.513985141556196</v>
      </c>
      <c r="E358" s="326">
        <f t="shared" si="158"/>
        <v>1.0006343031442781</v>
      </c>
      <c r="F358" s="327">
        <f t="shared" si="159"/>
        <v>3.560809014606698E-2</v>
      </c>
      <c r="G358" s="326">
        <f t="shared" si="160"/>
        <v>1</v>
      </c>
      <c r="H358" s="327">
        <f t="shared" si="161"/>
        <v>0</v>
      </c>
      <c r="I358" s="325">
        <f t="shared" si="162"/>
        <v>37625.155804648071</v>
      </c>
      <c r="J358" s="328">
        <f t="shared" si="163"/>
        <v>1.5707697488318628</v>
      </c>
      <c r="K358" s="336">
        <f t="shared" si="183"/>
        <v>7.182119423045588</v>
      </c>
      <c r="L358" s="337">
        <f t="shared" si="184"/>
        <v>1.4311078161538762</v>
      </c>
      <c r="M358" s="325">
        <f t="shared" si="164"/>
        <v>1.002350366068006</v>
      </c>
      <c r="N358" s="337">
        <f t="shared" si="165"/>
        <v>6.849484309007367E-2</v>
      </c>
      <c r="O358" s="343">
        <f t="shared" si="166"/>
        <v>1.0134769350378727</v>
      </c>
      <c r="P358" s="691">
        <f t="shared" si="167"/>
        <v>0.16326235955049812</v>
      </c>
      <c r="Q358" s="336">
        <f t="shared" si="182"/>
        <v>6.4108024943561883</v>
      </c>
      <c r="R358" s="692">
        <f t="shared" si="168"/>
        <v>0.18056782300101445</v>
      </c>
      <c r="S358" s="329">
        <f t="shared" si="169"/>
        <v>1.0131164263103658</v>
      </c>
      <c r="T358" s="330">
        <f t="shared" si="170"/>
        <v>0.1655132277204717</v>
      </c>
      <c r="U358" s="331">
        <f t="shared" si="171"/>
        <v>2.8688428498362266</v>
      </c>
      <c r="V358" s="332">
        <f t="shared" si="172"/>
        <v>-107.10600984594608</v>
      </c>
      <c r="W358" s="334">
        <f t="shared" si="173"/>
        <v>72.893990154053924</v>
      </c>
      <c r="Y358" s="307">
        <f t="shared" si="174"/>
        <v>1000000000</v>
      </c>
      <c r="Z358" s="307">
        <f t="shared" si="175"/>
        <v>803609104</v>
      </c>
      <c r="AB358" s="333">
        <f t="shared" si="176"/>
        <v>23.302319638571074</v>
      </c>
      <c r="AC358" s="334">
        <f t="shared" si="177"/>
        <v>-11.926504742188914</v>
      </c>
      <c r="AE358" s="333">
        <f t="shared" si="178"/>
        <v>22.333337135143289</v>
      </c>
      <c r="AF358" s="334">
        <f t="shared" si="179"/>
        <v>-94.187975084391695</v>
      </c>
      <c r="AH358">
        <f t="shared" si="180"/>
        <v>0</v>
      </c>
      <c r="AI358">
        <f t="shared" si="185"/>
        <v>0</v>
      </c>
    </row>
    <row r="359" spans="1:35" x14ac:dyDescent="0.2">
      <c r="A359" s="335">
        <v>28512</v>
      </c>
      <c r="B359" s="352">
        <f t="shared" si="181"/>
        <v>28.512</v>
      </c>
      <c r="C359" s="325">
        <f t="shared" si="156"/>
        <v>17.713199649120007</v>
      </c>
      <c r="D359" s="326">
        <f t="shared" si="157"/>
        <v>1.5143112208273444</v>
      </c>
      <c r="E359" s="326">
        <f t="shared" si="158"/>
        <v>1.0006416612064146</v>
      </c>
      <c r="F359" s="327">
        <f t="shared" si="159"/>
        <v>3.5813915915245513E-2</v>
      </c>
      <c r="G359" s="326">
        <f t="shared" si="160"/>
        <v>1</v>
      </c>
      <c r="H359" s="327">
        <f t="shared" si="161"/>
        <v>0</v>
      </c>
      <c r="I359" s="325">
        <f t="shared" si="162"/>
        <v>37842.826382735264</v>
      </c>
      <c r="J359" s="328">
        <f t="shared" si="163"/>
        <v>1.5707699017073515</v>
      </c>
      <c r="K359" s="336">
        <f t="shared" si="183"/>
        <v>7.2228664777142253</v>
      </c>
      <c r="L359" s="337">
        <f t="shared" si="184"/>
        <v>1.4319009762612134</v>
      </c>
      <c r="M359" s="325">
        <f t="shared" si="164"/>
        <v>1.0023776072523376</v>
      </c>
      <c r="N359" s="337">
        <f t="shared" si="165"/>
        <v>6.888985329526856E-2</v>
      </c>
      <c r="O359" s="343">
        <f t="shared" si="166"/>
        <v>1.0136322690299122</v>
      </c>
      <c r="P359" s="691">
        <f t="shared" si="167"/>
        <v>0.16419003504837398</v>
      </c>
      <c r="Q359" s="336">
        <f t="shared" si="182"/>
        <v>6.4119873851139646</v>
      </c>
      <c r="R359" s="692">
        <f t="shared" si="168"/>
        <v>0.18159011990932222</v>
      </c>
      <c r="S359" s="329">
        <f t="shared" si="169"/>
        <v>1.013267635209063</v>
      </c>
      <c r="T359" s="330">
        <f t="shared" si="170"/>
        <v>0.16645460474071769</v>
      </c>
      <c r="U359" s="331">
        <f t="shared" si="171"/>
        <v>2.8161898827960172</v>
      </c>
      <c r="V359" s="332">
        <f t="shared" si="172"/>
        <v>-107.14945465190431</v>
      </c>
      <c r="W359" s="334">
        <f t="shared" si="173"/>
        <v>72.850545348095693</v>
      </c>
      <c r="Y359" s="307">
        <f t="shared" si="174"/>
        <v>1000000000</v>
      </c>
      <c r="Z359" s="307">
        <f t="shared" si="175"/>
        <v>812934144</v>
      </c>
      <c r="AB359" s="333">
        <f t="shared" si="176"/>
        <v>23.301117703774572</v>
      </c>
      <c r="AC359" s="334">
        <f t="shared" si="177"/>
        <v>-11.903701192276859</v>
      </c>
      <c r="AE359" s="333">
        <f t="shared" si="178"/>
        <v>22.282160172902717</v>
      </c>
      <c r="AF359" s="334">
        <f t="shared" si="179"/>
        <v>-94.248802032786429</v>
      </c>
      <c r="AH359">
        <f t="shared" si="180"/>
        <v>0</v>
      </c>
      <c r="AI359">
        <f t="shared" si="185"/>
        <v>0</v>
      </c>
    </row>
    <row r="360" spans="1:35" x14ac:dyDescent="0.2">
      <c r="A360" s="335">
        <v>28676</v>
      </c>
      <c r="B360" s="352">
        <f t="shared" si="181"/>
        <v>28.675999999999998</v>
      </c>
      <c r="C360" s="325">
        <f t="shared" si="156"/>
        <v>17.814761535405246</v>
      </c>
      <c r="D360" s="326">
        <f t="shared" si="157"/>
        <v>1.5146335821791281</v>
      </c>
      <c r="E360" s="326">
        <f t="shared" si="158"/>
        <v>1.0006490616593575</v>
      </c>
      <c r="F360" s="327">
        <f t="shared" si="159"/>
        <v>3.6019738648711642E-2</v>
      </c>
      <c r="G360" s="326">
        <f t="shared" si="160"/>
        <v>1</v>
      </c>
      <c r="H360" s="327">
        <f t="shared" si="161"/>
        <v>0</v>
      </c>
      <c r="I360" s="325">
        <f t="shared" si="162"/>
        <v>38060.496960823344</v>
      </c>
      <c r="J360" s="328">
        <f t="shared" si="163"/>
        <v>1.5707700528342297</v>
      </c>
      <c r="K360" s="336">
        <f t="shared" si="183"/>
        <v>7.2636180253273039</v>
      </c>
      <c r="L360" s="337">
        <f t="shared" si="184"/>
        <v>1.4326852370220764</v>
      </c>
      <c r="M360" s="325">
        <f t="shared" si="164"/>
        <v>1.0024050048322017</v>
      </c>
      <c r="N360" s="337">
        <f t="shared" si="165"/>
        <v>6.9284841969375233E-2</v>
      </c>
      <c r="O360" s="343">
        <f t="shared" si="166"/>
        <v>1.0137884750677122</v>
      </c>
      <c r="P360" s="691">
        <f t="shared" si="167"/>
        <v>0.16511742546889671</v>
      </c>
      <c r="Q360" s="336">
        <f t="shared" si="182"/>
        <v>6.4131788901963942</v>
      </c>
      <c r="R360" s="692">
        <f t="shared" si="168"/>
        <v>0.18261204042074855</v>
      </c>
      <c r="S360" s="329">
        <f t="shared" si="169"/>
        <v>1.0134196936787541</v>
      </c>
      <c r="T360" s="330">
        <f t="shared" si="170"/>
        <v>0.16739570802936857</v>
      </c>
      <c r="U360" s="331">
        <f t="shared" si="171"/>
        <v>2.7638284032671017</v>
      </c>
      <c r="V360" s="332">
        <f t="shared" si="172"/>
        <v>-107.19317425598437</v>
      </c>
      <c r="W360" s="334">
        <f t="shared" si="173"/>
        <v>72.806825744015626</v>
      </c>
      <c r="Y360" s="307">
        <f t="shared" si="174"/>
        <v>1000000000</v>
      </c>
      <c r="Z360" s="307">
        <f t="shared" si="175"/>
        <v>822312976</v>
      </c>
      <c r="AB360" s="333">
        <f t="shared" si="176"/>
        <v>23.299930735188724</v>
      </c>
      <c r="AC360" s="334">
        <f t="shared" si="177"/>
        <v>-11.881406203530277</v>
      </c>
      <c r="AE360" s="333">
        <f t="shared" si="178"/>
        <v>22.231261126178467</v>
      </c>
      <c r="AF360" s="334">
        <f t="shared" si="179"/>
        <v>-94.309400450361153</v>
      </c>
      <c r="AH360">
        <f t="shared" si="180"/>
        <v>0</v>
      </c>
      <c r="AI360">
        <f t="shared" si="185"/>
        <v>0</v>
      </c>
    </row>
    <row r="361" spans="1:35" x14ac:dyDescent="0.2">
      <c r="A361" s="335">
        <v>28840</v>
      </c>
      <c r="B361" s="352">
        <f t="shared" si="181"/>
        <v>28.84</v>
      </c>
      <c r="C361" s="325">
        <f t="shared" si="156"/>
        <v>17.916325251955794</v>
      </c>
      <c r="D361" s="326">
        <f t="shared" si="157"/>
        <v>1.5149522887721811</v>
      </c>
      <c r="E361" s="326">
        <f t="shared" si="158"/>
        <v>1.0006565045021663</v>
      </c>
      <c r="F361" s="327">
        <f t="shared" si="159"/>
        <v>3.6225558329094389E-2</v>
      </c>
      <c r="G361" s="326">
        <f t="shared" si="160"/>
        <v>1</v>
      </c>
      <c r="H361" s="327">
        <f t="shared" si="161"/>
        <v>0</v>
      </c>
      <c r="I361" s="325">
        <f t="shared" si="162"/>
        <v>38278.167538912283</v>
      </c>
      <c r="J361" s="328">
        <f t="shared" si="163"/>
        <v>1.5707702022423276</v>
      </c>
      <c r="K361" s="336">
        <f t="shared" si="183"/>
        <v>7.3043739906855949</v>
      </c>
      <c r="L361" s="337">
        <f t="shared" si="184"/>
        <v>1.4334607464296945</v>
      </c>
      <c r="M361" s="325">
        <f t="shared" si="164"/>
        <v>1.0024325587947749</v>
      </c>
      <c r="N361" s="337">
        <f t="shared" si="165"/>
        <v>6.967980899091504E-2</v>
      </c>
      <c r="O361" s="343">
        <f t="shared" si="166"/>
        <v>1.0139455527482368</v>
      </c>
      <c r="P361" s="691">
        <f t="shared" si="167"/>
        <v>0.16604452934898167</v>
      </c>
      <c r="Q361" s="336">
        <f t="shared" si="182"/>
        <v>6.4143770059181389</v>
      </c>
      <c r="R361" s="692">
        <f t="shared" si="168"/>
        <v>0.18363358265151442</v>
      </c>
      <c r="S361" s="329">
        <f t="shared" si="169"/>
        <v>1.0135726013383042</v>
      </c>
      <c r="T361" s="330">
        <f t="shared" si="170"/>
        <v>0.16833653617699276</v>
      </c>
      <c r="U361" s="331">
        <f t="shared" si="171"/>
        <v>2.7117548410273509</v>
      </c>
      <c r="V361" s="332">
        <f t="shared" si="172"/>
        <v>-107.23716368852239</v>
      </c>
      <c r="W361" s="334">
        <f t="shared" si="173"/>
        <v>72.762836311477614</v>
      </c>
      <c r="Y361" s="307">
        <f t="shared" si="174"/>
        <v>1000000000</v>
      </c>
      <c r="Z361" s="307">
        <f t="shared" si="175"/>
        <v>831745600</v>
      </c>
      <c r="AB361" s="333">
        <f t="shared" si="176"/>
        <v>23.298758368786462</v>
      </c>
      <c r="AC361" s="334">
        <f t="shared" si="177"/>
        <v>-11.859611291310681</v>
      </c>
      <c r="AE361" s="333">
        <f t="shared" si="178"/>
        <v>22.180636785745662</v>
      </c>
      <c r="AF361" s="334">
        <f t="shared" si="179"/>
        <v>-94.369773876194387</v>
      </c>
      <c r="AH361">
        <f t="shared" si="180"/>
        <v>0</v>
      </c>
      <c r="AI361">
        <f t="shared" si="185"/>
        <v>0</v>
      </c>
    </row>
    <row r="362" spans="1:35" x14ac:dyDescent="0.2">
      <c r="A362" s="335">
        <v>29008</v>
      </c>
      <c r="B362" s="352">
        <f t="shared" si="181"/>
        <v>29.007999999999999</v>
      </c>
      <c r="C362" s="325">
        <f t="shared" si="156"/>
        <v>18.020367997746604</v>
      </c>
      <c r="D362" s="326">
        <f t="shared" si="157"/>
        <v>1.5152750436685256</v>
      </c>
      <c r="E362" s="326">
        <f t="shared" si="158"/>
        <v>1.0006641728300605</v>
      </c>
      <c r="F362" s="327">
        <f t="shared" si="159"/>
        <v>3.6436394817835428E-2</v>
      </c>
      <c r="G362" s="326">
        <f t="shared" si="160"/>
        <v>1</v>
      </c>
      <c r="H362" s="327">
        <f t="shared" si="161"/>
        <v>0</v>
      </c>
      <c r="I362" s="325">
        <f t="shared" si="162"/>
        <v>38501.147155492064</v>
      </c>
      <c r="J362" s="328">
        <f t="shared" si="163"/>
        <v>1.570770353542825</v>
      </c>
      <c r="K362" s="336">
        <f t="shared" si="183"/>
        <v>7.3461285078033809</v>
      </c>
      <c r="L362" s="337">
        <f t="shared" si="184"/>
        <v>1.4342462478628715</v>
      </c>
      <c r="M362" s="325">
        <f t="shared" si="164"/>
        <v>1.0024609469422785</v>
      </c>
      <c r="N362" s="337">
        <f t="shared" si="165"/>
        <v>7.0084386776328514E-2</v>
      </c>
      <c r="O362" s="343">
        <f t="shared" si="166"/>
        <v>1.0141073649596566</v>
      </c>
      <c r="P362" s="691">
        <f t="shared" si="167"/>
        <v>0.1669939468836131</v>
      </c>
      <c r="Q362" s="336">
        <f t="shared" si="182"/>
        <v>6.4156111945618788</v>
      </c>
      <c r="R362" s="692">
        <f t="shared" si="168"/>
        <v>0.18467964634934866</v>
      </c>
      <c r="S362" s="329">
        <f t="shared" si="169"/>
        <v>1.0137301185629291</v>
      </c>
      <c r="T362" s="330">
        <f t="shared" si="170"/>
        <v>0.16930002459313939</v>
      </c>
      <c r="U362" s="331">
        <f t="shared" si="171"/>
        <v>2.6587060638365196</v>
      </c>
      <c r="V362" s="332">
        <f t="shared" si="172"/>
        <v>-107.28250072963864</v>
      </c>
      <c r="W362" s="334">
        <f t="shared" si="173"/>
        <v>72.717499270361358</v>
      </c>
      <c r="Y362" s="307">
        <f t="shared" si="174"/>
        <v>1000000000</v>
      </c>
      <c r="Z362" s="307">
        <f t="shared" si="175"/>
        <v>841464064</v>
      </c>
      <c r="AB362" s="333">
        <f t="shared" si="176"/>
        <v>23.297572178910919</v>
      </c>
      <c r="AC362" s="334">
        <f t="shared" si="177"/>
        <v>-11.837794642832122</v>
      </c>
      <c r="AE362" s="333">
        <f t="shared" si="178"/>
        <v>22.129059245722761</v>
      </c>
      <c r="AF362" s="334">
        <f t="shared" si="179"/>
        <v>-94.431390148525225</v>
      </c>
      <c r="AH362">
        <f t="shared" si="180"/>
        <v>0</v>
      </c>
      <c r="AI362">
        <f t="shared" si="185"/>
        <v>0</v>
      </c>
    </row>
    <row r="363" spans="1:35" x14ac:dyDescent="0.2">
      <c r="A363" s="335">
        <v>29176</v>
      </c>
      <c r="B363" s="352">
        <f t="shared" si="181"/>
        <v>29.175999999999998</v>
      </c>
      <c r="C363" s="325">
        <f t="shared" si="156"/>
        <v>18.124412599180083</v>
      </c>
      <c r="D363" s="326">
        <f t="shared" si="157"/>
        <v>1.5155940929985732</v>
      </c>
      <c r="E363" s="326">
        <f t="shared" si="158"/>
        <v>1.0006718856388208</v>
      </c>
      <c r="F363" s="327">
        <f t="shared" si="159"/>
        <v>3.6647228065848983E-2</v>
      </c>
      <c r="G363" s="326">
        <f t="shared" si="160"/>
        <v>1</v>
      </c>
      <c r="H363" s="327">
        <f t="shared" si="161"/>
        <v>0</v>
      </c>
      <c r="I363" s="325">
        <f t="shared" si="162"/>
        <v>38724.126772072726</v>
      </c>
      <c r="J363" s="328">
        <f t="shared" si="163"/>
        <v>1.5707705031008983</v>
      </c>
      <c r="K363" s="336">
        <f t="shared" si="183"/>
        <v>7.3878875063377993</v>
      </c>
      <c r="L363" s="337">
        <f t="shared" si="184"/>
        <v>1.4350228698972429</v>
      </c>
      <c r="M363" s="325">
        <f t="shared" si="164"/>
        <v>1.0024894991664732</v>
      </c>
      <c r="N363" s="337">
        <f t="shared" si="165"/>
        <v>7.0488941582138934E-2</v>
      </c>
      <c r="O363" s="343">
        <f t="shared" si="166"/>
        <v>1.0142700909888738</v>
      </c>
      <c r="P363" s="691">
        <f t="shared" si="167"/>
        <v>0.16794306063092831</v>
      </c>
      <c r="Q363" s="336">
        <f t="shared" si="182"/>
        <v>6.4168523123619412</v>
      </c>
      <c r="R363" s="692">
        <f t="shared" si="168"/>
        <v>0.18572530910154014</v>
      </c>
      <c r="S363" s="329">
        <f t="shared" si="169"/>
        <v>1.0138885260907158</v>
      </c>
      <c r="T363" s="330">
        <f t="shared" si="170"/>
        <v>0.17026322129761373</v>
      </c>
      <c r="U363" s="331">
        <f t="shared" si="171"/>
        <v>2.6059520401939902</v>
      </c>
      <c r="V363" s="332">
        <f t="shared" si="172"/>
        <v>-107.32811069812439</v>
      </c>
      <c r="W363" s="334">
        <f t="shared" si="173"/>
        <v>72.671889301875609</v>
      </c>
      <c r="Y363" s="307">
        <f t="shared" si="174"/>
        <v>1000000000</v>
      </c>
      <c r="Z363" s="307">
        <f t="shared" si="175"/>
        <v>851238976</v>
      </c>
      <c r="AB363" s="333">
        <f t="shared" si="176"/>
        <v>23.296400570942886</v>
      </c>
      <c r="AC363" s="334">
        <f t="shared" si="177"/>
        <v>-11.816485329962489</v>
      </c>
      <c r="AE363" s="333">
        <f t="shared" si="178"/>
        <v>22.07776333074159</v>
      </c>
      <c r="AF363" s="334">
        <f t="shared" si="179"/>
        <v>-94.492777579378654</v>
      </c>
      <c r="AH363">
        <f t="shared" si="180"/>
        <v>0</v>
      </c>
      <c r="AI363">
        <f t="shared" si="185"/>
        <v>0</v>
      </c>
    </row>
    <row r="364" spans="1:35" x14ac:dyDescent="0.2">
      <c r="A364" s="335">
        <v>29344</v>
      </c>
      <c r="B364" s="352">
        <f t="shared" si="181"/>
        <v>29.344000000000001</v>
      </c>
      <c r="C364" s="325">
        <f t="shared" si="156"/>
        <v>18.228459024481261</v>
      </c>
      <c r="D364" s="326">
        <f t="shared" si="157"/>
        <v>1.5159095001499379</v>
      </c>
      <c r="E364" s="326">
        <f t="shared" si="158"/>
        <v>1.0006796429274185</v>
      </c>
      <c r="F364" s="327">
        <f t="shared" si="159"/>
        <v>3.6858058054466833E-2</v>
      </c>
      <c r="G364" s="326">
        <f t="shared" si="160"/>
        <v>1</v>
      </c>
      <c r="H364" s="327">
        <f t="shared" si="161"/>
        <v>0</v>
      </c>
      <c r="I364" s="325">
        <f t="shared" si="162"/>
        <v>38947.10638865424</v>
      </c>
      <c r="J364" s="328">
        <f t="shared" si="163"/>
        <v>1.5707706509464747</v>
      </c>
      <c r="K364" s="336">
        <f t="shared" si="183"/>
        <v>7.4296509107242761</v>
      </c>
      <c r="L364" s="337">
        <f t="shared" si="184"/>
        <v>1.435790761326089</v>
      </c>
      <c r="M364" s="325">
        <f t="shared" si="164"/>
        <v>1.0025182154533405</v>
      </c>
      <c r="N364" s="337">
        <f t="shared" si="165"/>
        <v>7.0893473277892832E-2</v>
      </c>
      <c r="O364" s="343">
        <f t="shared" si="166"/>
        <v>1.0144337303961299</v>
      </c>
      <c r="P364" s="691">
        <f t="shared" si="167"/>
        <v>0.16889186902757736</v>
      </c>
      <c r="Q364" s="336">
        <f t="shared" si="182"/>
        <v>6.4181003552991474</v>
      </c>
      <c r="R364" s="692">
        <f t="shared" si="168"/>
        <v>0.18677056889789906</v>
      </c>
      <c r="S364" s="329">
        <f t="shared" si="169"/>
        <v>1.0140478235057762</v>
      </c>
      <c r="T364" s="330">
        <f t="shared" si="170"/>
        <v>0.17122612478413629</v>
      </c>
      <c r="U364" s="331">
        <f t="shared" si="171"/>
        <v>2.5534891365310797</v>
      </c>
      <c r="V364" s="332">
        <f t="shared" si="172"/>
        <v>-107.37398858399968</v>
      </c>
      <c r="W364" s="334">
        <f t="shared" si="173"/>
        <v>72.626011416000324</v>
      </c>
      <c r="Y364" s="307">
        <f t="shared" si="174"/>
        <v>1000000000</v>
      </c>
      <c r="Z364" s="307">
        <f t="shared" si="175"/>
        <v>861070336</v>
      </c>
      <c r="AB364" s="333">
        <f t="shared" si="176"/>
        <v>23.295243185374254</v>
      </c>
      <c r="AC364" s="334">
        <f t="shared" si="177"/>
        <v>-11.795674821715071</v>
      </c>
      <c r="AE364" s="333">
        <f t="shared" si="178"/>
        <v>22.026745763445369</v>
      </c>
      <c r="AF364" s="334">
        <f t="shared" si="179"/>
        <v>-94.553939715363569</v>
      </c>
      <c r="AH364">
        <f t="shared" si="180"/>
        <v>0</v>
      </c>
      <c r="AI364">
        <f t="shared" si="185"/>
        <v>0</v>
      </c>
    </row>
    <row r="365" spans="1:35" x14ac:dyDescent="0.2">
      <c r="A365" s="335">
        <v>29512</v>
      </c>
      <c r="B365" s="352">
        <f t="shared" si="181"/>
        <v>29.512</v>
      </c>
      <c r="C365" s="325">
        <f t="shared" si="156"/>
        <v>18.332507242595966</v>
      </c>
      <c r="D365" s="326">
        <f t="shared" si="157"/>
        <v>1.5162213270741156</v>
      </c>
      <c r="E365" s="326">
        <f t="shared" si="158"/>
        <v>1.0006874446948191</v>
      </c>
      <c r="F365" s="327">
        <f t="shared" si="159"/>
        <v>3.7068884765022521E-2</v>
      </c>
      <c r="G365" s="326">
        <f t="shared" si="160"/>
        <v>1</v>
      </c>
      <c r="H365" s="327">
        <f t="shared" si="161"/>
        <v>0</v>
      </c>
      <c r="I365" s="325">
        <f t="shared" si="162"/>
        <v>39170.086005236597</v>
      </c>
      <c r="J365" s="328">
        <f t="shared" si="163"/>
        <v>1.5707707971087996</v>
      </c>
      <c r="K365" s="336">
        <f t="shared" si="183"/>
        <v>7.4714186470799033</v>
      </c>
      <c r="L365" s="337">
        <f t="shared" si="184"/>
        <v>1.4365500676571852</v>
      </c>
      <c r="M365" s="325">
        <f t="shared" si="164"/>
        <v>1.0025470957887821</v>
      </c>
      <c r="N365" s="337">
        <f t="shared" si="165"/>
        <v>7.1297981733181859E-2</v>
      </c>
      <c r="O365" s="343">
        <f t="shared" si="166"/>
        <v>1.0145982827394833</v>
      </c>
      <c r="P365" s="691">
        <f t="shared" si="167"/>
        <v>0.16984037051341508</v>
      </c>
      <c r="Q365" s="336">
        <f t="shared" si="182"/>
        <v>6.4193553193350246</v>
      </c>
      <c r="R365" s="692">
        <f t="shared" si="168"/>
        <v>0.18781542373327215</v>
      </c>
      <c r="S365" s="329">
        <f t="shared" si="169"/>
        <v>1.0142080103901481</v>
      </c>
      <c r="T365" s="330">
        <f t="shared" si="170"/>
        <v>0.17218873354942671</v>
      </c>
      <c r="U365" s="331">
        <f t="shared" si="171"/>
        <v>2.5013137849213338</v>
      </c>
      <c r="V365" s="332">
        <f t="shared" si="172"/>
        <v>-107.42012948348702</v>
      </c>
      <c r="W365" s="334">
        <f t="shared" si="173"/>
        <v>72.579870516512983</v>
      </c>
      <c r="Y365" s="307">
        <f t="shared" si="174"/>
        <v>1000000000</v>
      </c>
      <c r="Z365" s="307">
        <f t="shared" si="175"/>
        <v>870958144</v>
      </c>
      <c r="AB365" s="333">
        <f t="shared" si="176"/>
        <v>23.294099672724936</v>
      </c>
      <c r="AC365" s="334">
        <f t="shared" si="177"/>
        <v>-11.775354775312236</v>
      </c>
      <c r="AE365" s="333">
        <f t="shared" si="178"/>
        <v>21.976003322078427</v>
      </c>
      <c r="AF365" s="334">
        <f t="shared" si="179"/>
        <v>-94.614880020977111</v>
      </c>
      <c r="AH365">
        <f t="shared" si="180"/>
        <v>0</v>
      </c>
      <c r="AI365">
        <f t="shared" si="185"/>
        <v>0</v>
      </c>
    </row>
    <row r="366" spans="1:35" x14ac:dyDescent="0.2">
      <c r="A366" s="335">
        <v>29684</v>
      </c>
      <c r="B366" s="352">
        <f t="shared" si="181"/>
        <v>29.684000000000001</v>
      </c>
      <c r="C366" s="325">
        <f t="shared" si="156"/>
        <v>18.439034624896316</v>
      </c>
      <c r="D366" s="326">
        <f t="shared" si="157"/>
        <v>1.5165369325666962</v>
      </c>
      <c r="E366" s="326">
        <f t="shared" si="158"/>
        <v>1.0006954782974393</v>
      </c>
      <c r="F366" s="327">
        <f t="shared" si="159"/>
        <v>3.7284727743607853E-2</v>
      </c>
      <c r="G366" s="326">
        <f t="shared" si="160"/>
        <v>1</v>
      </c>
      <c r="H366" s="327">
        <f t="shared" si="161"/>
        <v>0</v>
      </c>
      <c r="I366" s="325">
        <f t="shared" si="162"/>
        <v>39398.374660309863</v>
      </c>
      <c r="J366" s="328">
        <f t="shared" si="163"/>
        <v>1.5707709450371787</v>
      </c>
      <c r="K366" s="336">
        <f t="shared" si="183"/>
        <v>7.5141852658265789</v>
      </c>
      <c r="L366" s="337">
        <f t="shared" si="184"/>
        <v>1.4373187071541336</v>
      </c>
      <c r="M366" s="325">
        <f t="shared" si="164"/>
        <v>1.0025768336904053</v>
      </c>
      <c r="N366" s="337">
        <f t="shared" si="165"/>
        <v>7.1712097128972058E-2</v>
      </c>
      <c r="O366" s="343">
        <f t="shared" si="166"/>
        <v>1.0147676983317264</v>
      </c>
      <c r="P366" s="691">
        <f t="shared" si="167"/>
        <v>0.17081113578330454</v>
      </c>
      <c r="Q366" s="336">
        <f t="shared" si="182"/>
        <v>6.420647329472275</v>
      </c>
      <c r="R366" s="692">
        <f t="shared" si="168"/>
        <v>0.18888473443755185</v>
      </c>
      <c r="S366" s="329">
        <f t="shared" si="169"/>
        <v>1.0143729322975299</v>
      </c>
      <c r="T366" s="330">
        <f t="shared" si="170"/>
        <v>0.173173954673914</v>
      </c>
      <c r="U366" s="331">
        <f t="shared" si="171"/>
        <v>2.4481904079006989</v>
      </c>
      <c r="V366" s="332">
        <f t="shared" si="172"/>
        <v>-107.46763644528771</v>
      </c>
      <c r="W366" s="334">
        <f t="shared" si="173"/>
        <v>72.53236355471229</v>
      </c>
      <c r="Y366" s="307">
        <f t="shared" si="174"/>
        <v>1000000000</v>
      </c>
      <c r="Z366" s="307">
        <f t="shared" si="175"/>
        <v>881139856</v>
      </c>
      <c r="AB366" s="333">
        <f t="shared" si="176"/>
        <v>23.292942951145776</v>
      </c>
      <c r="AC366" s="334">
        <f t="shared" si="177"/>
        <v>-11.755050516228792</v>
      </c>
      <c r="AE366" s="333">
        <f t="shared" si="178"/>
        <v>21.924334450056872</v>
      </c>
      <c r="AF366" s="334">
        <f t="shared" si="179"/>
        <v>-94.677045004373937</v>
      </c>
      <c r="AH366">
        <f t="shared" si="180"/>
        <v>0</v>
      </c>
      <c r="AI366">
        <f t="shared" si="185"/>
        <v>0</v>
      </c>
    </row>
    <row r="367" spans="1:35" x14ac:dyDescent="0.2">
      <c r="A367" s="335">
        <v>29856</v>
      </c>
      <c r="B367" s="352">
        <f t="shared" si="181"/>
        <v>29.856000000000002</v>
      </c>
      <c r="C367" s="325">
        <f t="shared" si="156"/>
        <v>18.545563822750481</v>
      </c>
      <c r="D367" s="326">
        <f t="shared" si="157"/>
        <v>1.5168489122957376</v>
      </c>
      <c r="E367" s="326">
        <f t="shared" si="158"/>
        <v>1.0007035585199018</v>
      </c>
      <c r="F367" s="327">
        <f t="shared" si="159"/>
        <v>3.7500567246582413E-2</v>
      </c>
      <c r="G367" s="326">
        <f t="shared" si="160"/>
        <v>1</v>
      </c>
      <c r="H367" s="327">
        <f t="shared" si="161"/>
        <v>0</v>
      </c>
      <c r="I367" s="325">
        <f t="shared" si="162"/>
        <v>39626.663315383987</v>
      </c>
      <c r="J367" s="328">
        <f t="shared" si="163"/>
        <v>1.5707710912611312</v>
      </c>
      <c r="K367" s="336">
        <f t="shared" si="183"/>
        <v>7.5569562737549605</v>
      </c>
      <c r="L367" s="337">
        <f t="shared" si="184"/>
        <v>1.4380786463743191</v>
      </c>
      <c r="M367" s="325">
        <f t="shared" si="164"/>
        <v>1.0026067435152779</v>
      </c>
      <c r="N367" s="337">
        <f t="shared" si="165"/>
        <v>7.212618788794084E-2</v>
      </c>
      <c r="O367" s="343">
        <f t="shared" si="166"/>
        <v>1.0149380699062578</v>
      </c>
      <c r="P367" s="691">
        <f t="shared" si="167"/>
        <v>0.17178157605436498</v>
      </c>
      <c r="Q367" s="336">
        <f t="shared" si="182"/>
        <v>6.4219465855792421</v>
      </c>
      <c r="R367" s="692">
        <f t="shared" si="168"/>
        <v>0.1899536164300861</v>
      </c>
      <c r="S367" s="329">
        <f t="shared" si="169"/>
        <v>1.0145387856408661</v>
      </c>
      <c r="T367" s="330">
        <f t="shared" si="170"/>
        <v>0.17415886369648378</v>
      </c>
      <c r="U367" s="331">
        <f t="shared" si="171"/>
        <v>2.3953610742175759</v>
      </c>
      <c r="V367" s="332">
        <f t="shared" si="172"/>
        <v>-107.51540902073994</v>
      </c>
      <c r="W367" s="334">
        <f t="shared" si="173"/>
        <v>72.484590979260062</v>
      </c>
      <c r="Y367" s="307">
        <f t="shared" si="174"/>
        <v>1000000000</v>
      </c>
      <c r="Z367" s="307">
        <f t="shared" si="175"/>
        <v>891380736</v>
      </c>
      <c r="AB367" s="333">
        <f t="shared" si="176"/>
        <v>23.291800060387704</v>
      </c>
      <c r="AC367" s="334">
        <f t="shared" si="177"/>
        <v>-11.735243237042694</v>
      </c>
      <c r="AE367" s="333">
        <f t="shared" si="178"/>
        <v>21.872947300000728</v>
      </c>
      <c r="AF367" s="334">
        <f t="shared" si="179"/>
        <v>-94.738984563837377</v>
      </c>
      <c r="AH367">
        <f t="shared" si="180"/>
        <v>0</v>
      </c>
      <c r="AI367">
        <f t="shared" si="185"/>
        <v>0</v>
      </c>
    </row>
    <row r="368" spans="1:35" x14ac:dyDescent="0.2">
      <c r="A368" s="335">
        <v>30028</v>
      </c>
      <c r="B368" s="352">
        <f t="shared" si="181"/>
        <v>30.027999999999999</v>
      </c>
      <c r="C368" s="325">
        <f t="shared" si="156"/>
        <v>18.652094805050513</v>
      </c>
      <c r="D368" s="326">
        <f t="shared" si="157"/>
        <v>1.5171573283253614</v>
      </c>
      <c r="E368" s="326">
        <f t="shared" si="158"/>
        <v>1.0007116853610778</v>
      </c>
      <c r="F368" s="327">
        <f t="shared" si="159"/>
        <v>3.7716403253920158E-2</v>
      </c>
      <c r="G368" s="326">
        <f t="shared" si="160"/>
        <v>1</v>
      </c>
      <c r="H368" s="327">
        <f t="shared" si="161"/>
        <v>0</v>
      </c>
      <c r="I368" s="325">
        <f t="shared" si="162"/>
        <v>39854.951970458947</v>
      </c>
      <c r="J368" s="328">
        <f t="shared" si="163"/>
        <v>1.5707712358099459</v>
      </c>
      <c r="K368" s="336">
        <f t="shared" si="183"/>
        <v>7.5997315967585912</v>
      </c>
      <c r="L368" s="337">
        <f t="shared" si="184"/>
        <v>1.4388300313418323</v>
      </c>
      <c r="M368" s="325">
        <f t="shared" si="164"/>
        <v>1.0026368252480145</v>
      </c>
      <c r="N368" s="337">
        <f t="shared" si="165"/>
        <v>7.25402538702902E-2</v>
      </c>
      <c r="O368" s="343">
        <f t="shared" si="166"/>
        <v>1.0151093969817337</v>
      </c>
      <c r="P368" s="691">
        <f t="shared" si="167"/>
        <v>0.17275168966286511</v>
      </c>
      <c r="Q368" s="336">
        <f t="shared" si="182"/>
        <v>6.4232530832596346</v>
      </c>
      <c r="R368" s="692">
        <f t="shared" si="168"/>
        <v>0.19102206757559081</v>
      </c>
      <c r="S368" s="329">
        <f t="shared" si="169"/>
        <v>1.0147055699649015</v>
      </c>
      <c r="T368" s="330">
        <f t="shared" si="170"/>
        <v>0.17514345901375478</v>
      </c>
      <c r="U368" s="331">
        <f t="shared" si="171"/>
        <v>2.3428221586673503</v>
      </c>
      <c r="V368" s="332">
        <f t="shared" si="172"/>
        <v>-107.56344227522257</v>
      </c>
      <c r="W368" s="334">
        <f t="shared" si="173"/>
        <v>72.43655772477743</v>
      </c>
      <c r="Y368" s="307">
        <f t="shared" si="174"/>
        <v>1000000000</v>
      </c>
      <c r="Z368" s="307">
        <f t="shared" si="175"/>
        <v>901680784</v>
      </c>
      <c r="AB368" s="333">
        <f t="shared" si="176"/>
        <v>23.290670655946176</v>
      </c>
      <c r="AC368" s="334">
        <f t="shared" si="177"/>
        <v>-11.715924564858108</v>
      </c>
      <c r="AE368" s="333">
        <f t="shared" si="178"/>
        <v>21.821838587616629</v>
      </c>
      <c r="AF368" s="334">
        <f t="shared" si="179"/>
        <v>-94.800702164660109</v>
      </c>
      <c r="AH368">
        <f t="shared" si="180"/>
        <v>0</v>
      </c>
      <c r="AI368">
        <f t="shared" si="185"/>
        <v>0</v>
      </c>
    </row>
    <row r="369" spans="1:35" x14ac:dyDescent="0.2">
      <c r="A369" s="335">
        <v>30200</v>
      </c>
      <c r="B369" s="352">
        <f t="shared" si="181"/>
        <v>30.2</v>
      </c>
      <c r="C369" s="325">
        <f t="shared" si="156"/>
        <v>18.758627541394592</v>
      </c>
      <c r="D369" s="326">
        <f t="shared" si="157"/>
        <v>1.5174622413125551</v>
      </c>
      <c r="E369" s="326">
        <f t="shared" si="158"/>
        <v>1.0007198588198316</v>
      </c>
      <c r="F369" s="327">
        <f t="shared" si="159"/>
        <v>3.7932235745596968E-2</v>
      </c>
      <c r="G369" s="326">
        <f t="shared" si="160"/>
        <v>1</v>
      </c>
      <c r="H369" s="327">
        <f t="shared" si="161"/>
        <v>0</v>
      </c>
      <c r="I369" s="325">
        <f t="shared" si="162"/>
        <v>40083.240625534723</v>
      </c>
      <c r="J369" s="328">
        <f t="shared" si="163"/>
        <v>1.5707713787122441</v>
      </c>
      <c r="K369" s="336">
        <f t="shared" si="183"/>
        <v>7.6425111623827249</v>
      </c>
      <c r="L369" s="337">
        <f t="shared" si="184"/>
        <v>1.4395730048503703</v>
      </c>
      <c r="M369" s="325">
        <f t="shared" si="164"/>
        <v>1.0026670788731422</v>
      </c>
      <c r="N369" s="337">
        <f t="shared" si="165"/>
        <v>7.2954294936272812E-2</v>
      </c>
      <c r="O369" s="343">
        <f t="shared" si="166"/>
        <v>1.0152816790744363</v>
      </c>
      <c r="P369" s="691">
        <f t="shared" si="167"/>
        <v>0.17372147494865303</v>
      </c>
      <c r="Q369" s="336">
        <f t="shared" si="182"/>
        <v>6.4245668180962445</v>
      </c>
      <c r="R369" s="692">
        <f t="shared" si="168"/>
        <v>0.19209008574439893</v>
      </c>
      <c r="S369" s="329">
        <f t="shared" si="169"/>
        <v>1.0148732848121262</v>
      </c>
      <c r="T369" s="330">
        <f t="shared" si="170"/>
        <v>0.1761277390256959</v>
      </c>
      <c r="U369" s="331">
        <f t="shared" si="171"/>
        <v>2.2905701014728859</v>
      </c>
      <c r="V369" s="332">
        <f t="shared" si="172"/>
        <v>-107.61173137885282</v>
      </c>
      <c r="W369" s="334">
        <f t="shared" si="173"/>
        <v>72.388268621147176</v>
      </c>
      <c r="Y369" s="307">
        <f t="shared" si="174"/>
        <v>1000000000</v>
      </c>
      <c r="Z369" s="307">
        <f t="shared" si="175"/>
        <v>912040000</v>
      </c>
      <c r="AB369" s="333">
        <f t="shared" si="176"/>
        <v>23.289554402939729</v>
      </c>
      <c r="AC369" s="334">
        <f t="shared" si="177"/>
        <v>-11.697086311831793</v>
      </c>
      <c r="AE369" s="333">
        <f t="shared" si="178"/>
        <v>21.771005084401658</v>
      </c>
      <c r="AF369" s="334">
        <f t="shared" si="179"/>
        <v>-94.862201191703733</v>
      </c>
      <c r="AH369">
        <f t="shared" si="180"/>
        <v>0</v>
      </c>
      <c r="AI369">
        <f t="shared" si="185"/>
        <v>0</v>
      </c>
    </row>
    <row r="370" spans="1:35" x14ac:dyDescent="0.2">
      <c r="A370" s="335">
        <v>30375.75</v>
      </c>
      <c r="B370" s="352">
        <f t="shared" si="181"/>
        <v>30.37575</v>
      </c>
      <c r="C370" s="325">
        <f t="shared" si="156"/>
        <v>18.867484720052101</v>
      </c>
      <c r="D370" s="326">
        <f t="shared" si="157"/>
        <v>1.5177702453552919</v>
      </c>
      <c r="E370" s="326">
        <f t="shared" si="158"/>
        <v>1.0007282586310202</v>
      </c>
      <c r="F370" s="327">
        <f t="shared" si="159"/>
        <v>3.8152770235225494E-2</v>
      </c>
      <c r="G370" s="326">
        <f t="shared" si="160"/>
        <v>1</v>
      </c>
      <c r="H370" s="327">
        <f t="shared" si="161"/>
        <v>0</v>
      </c>
      <c r="I370" s="325">
        <f t="shared" si="162"/>
        <v>40316.506504195851</v>
      </c>
      <c r="J370" s="328">
        <f t="shared" si="163"/>
        <v>1.5707715230584915</v>
      </c>
      <c r="K370" s="336">
        <f t="shared" si="183"/>
        <v>7.6862277306967881</v>
      </c>
      <c r="L370" s="337">
        <f t="shared" si="184"/>
        <v>1.4403236336498684</v>
      </c>
      <c r="M370" s="325">
        <f t="shared" si="164"/>
        <v>1.0026981696361918</v>
      </c>
      <c r="N370" s="337">
        <f t="shared" si="165"/>
        <v>7.337733717789284E-2</v>
      </c>
      <c r="O370" s="343">
        <f t="shared" si="166"/>
        <v>1.015458703288258</v>
      </c>
      <c r="P370" s="691">
        <f t="shared" si="167"/>
        <v>0.17471206294740055</v>
      </c>
      <c r="Q370" s="336">
        <f t="shared" si="182"/>
        <v>6.4259166663463363</v>
      </c>
      <c r="R370" s="692">
        <f t="shared" si="168"/>
        <v>0.19318093974368925</v>
      </c>
      <c r="S370" s="329">
        <f t="shared" si="169"/>
        <v>1.0150456169303881</v>
      </c>
      <c r="T370" s="330">
        <f t="shared" si="170"/>
        <v>0.17713315127783799</v>
      </c>
      <c r="U370" s="331">
        <f t="shared" si="171"/>
        <v>2.2374714987522952</v>
      </c>
      <c r="V370" s="332">
        <f t="shared" si="172"/>
        <v>-107.66133265575587</v>
      </c>
      <c r="W370" s="334">
        <f t="shared" si="173"/>
        <v>72.338667344244129</v>
      </c>
      <c r="Y370" s="307">
        <f t="shared" si="174"/>
        <v>1000000000</v>
      </c>
      <c r="Z370" s="307">
        <f t="shared" si="175"/>
        <v>922686188.0625</v>
      </c>
      <c r="AB370" s="333">
        <f t="shared" si="176"/>
        <v>23.288427058984851</v>
      </c>
      <c r="AC370" s="334">
        <f t="shared" si="177"/>
        <v>-11.678325255049492</v>
      </c>
      <c r="AE370" s="333">
        <f t="shared" si="178"/>
        <v>21.71934426543984</v>
      </c>
      <c r="AF370" s="334">
        <f t="shared" si="179"/>
        <v>-94.92481870672276</v>
      </c>
      <c r="AH370">
        <f t="shared" si="180"/>
        <v>0</v>
      </c>
      <c r="AI370">
        <f t="shared" si="185"/>
        <v>0</v>
      </c>
    </row>
    <row r="371" spans="1:35" x14ac:dyDescent="0.2">
      <c r="A371" s="335">
        <v>30551.5</v>
      </c>
      <c r="B371" s="352">
        <f t="shared" si="181"/>
        <v>30.551500000000001</v>
      </c>
      <c r="C371" s="325">
        <f t="shared" si="156"/>
        <v>18.976343668066253</v>
      </c>
      <c r="D371" s="326">
        <f t="shared" si="157"/>
        <v>1.5180747156588408</v>
      </c>
      <c r="E371" s="326">
        <f t="shared" si="158"/>
        <v>1.0007367071122708</v>
      </c>
      <c r="F371" s="327">
        <f t="shared" si="159"/>
        <v>3.8373301011959703E-2</v>
      </c>
      <c r="G371" s="326">
        <f t="shared" si="160"/>
        <v>1</v>
      </c>
      <c r="H371" s="327">
        <f t="shared" si="161"/>
        <v>0</v>
      </c>
      <c r="I371" s="325">
        <f t="shared" si="162"/>
        <v>40549.772382857802</v>
      </c>
      <c r="J371" s="328">
        <f t="shared" si="163"/>
        <v>1.5707716657440118</v>
      </c>
      <c r="K371" s="336">
        <f t="shared" si="183"/>
        <v>7.7299485807802153</v>
      </c>
      <c r="L371" s="337">
        <f t="shared" si="184"/>
        <v>1.4410657716999347</v>
      </c>
      <c r="M371" s="325">
        <f t="shared" si="164"/>
        <v>1.0027294398357101</v>
      </c>
      <c r="N371" s="337">
        <f t="shared" si="165"/>
        <v>7.3800353110000147E-2</v>
      </c>
      <c r="O371" s="343">
        <f t="shared" si="166"/>
        <v>1.0156367235878165</v>
      </c>
      <c r="P371" s="691">
        <f t="shared" si="167"/>
        <v>0.17570230465801101</v>
      </c>
      <c r="Q371" s="336">
        <f t="shared" si="182"/>
        <v>6.4272740613755595</v>
      </c>
      <c r="R371" s="692">
        <f t="shared" si="168"/>
        <v>0.19427133720313411</v>
      </c>
      <c r="S371" s="329">
        <f t="shared" si="169"/>
        <v>1.0152189196163508</v>
      </c>
      <c r="T371" s="330">
        <f t="shared" si="170"/>
        <v>0.17813823095920808</v>
      </c>
      <c r="U371" s="331">
        <f t="shared" si="171"/>
        <v>2.1846650869392708</v>
      </c>
      <c r="V371" s="332">
        <f t="shared" si="172"/>
        <v>-107.71119118672244</v>
      </c>
      <c r="W371" s="334">
        <f t="shared" si="173"/>
        <v>72.288808813277555</v>
      </c>
      <c r="Y371" s="307">
        <f t="shared" si="174"/>
        <v>1000000000</v>
      </c>
      <c r="Z371" s="307">
        <f t="shared" si="175"/>
        <v>933394152.25</v>
      </c>
      <c r="AB371" s="333">
        <f t="shared" si="176"/>
        <v>23.287312768643481</v>
      </c>
      <c r="AC371" s="334">
        <f t="shared" si="177"/>
        <v>-11.660049079798403</v>
      </c>
      <c r="AE371" s="333">
        <f t="shared" si="178"/>
        <v>21.667964144580907</v>
      </c>
      <c r="AF371" s="334">
        <f t="shared" si="179"/>
        <v>-94.987214911231732</v>
      </c>
      <c r="AH371">
        <f t="shared" si="180"/>
        <v>0</v>
      </c>
      <c r="AI371">
        <f t="shared" si="185"/>
        <v>0</v>
      </c>
    </row>
    <row r="372" spans="1:35" x14ac:dyDescent="0.2">
      <c r="A372" s="335">
        <v>30727.25</v>
      </c>
      <c r="B372" s="352">
        <f t="shared" si="181"/>
        <v>30.727250000000002</v>
      </c>
      <c r="C372" s="325">
        <f t="shared" si="156"/>
        <v>19.08520435516067</v>
      </c>
      <c r="D372" s="326">
        <f t="shared" si="157"/>
        <v>1.5183757126348749</v>
      </c>
      <c r="E372" s="326">
        <f t="shared" si="158"/>
        <v>1.0007452042623508</v>
      </c>
      <c r="F372" s="327">
        <f t="shared" si="159"/>
        <v>3.8593828054443384E-2</v>
      </c>
      <c r="G372" s="326">
        <f t="shared" si="160"/>
        <v>1</v>
      </c>
      <c r="H372" s="327">
        <f t="shared" si="161"/>
        <v>0</v>
      </c>
      <c r="I372" s="325">
        <f t="shared" si="162"/>
        <v>40783.03826152056</v>
      </c>
      <c r="J372" s="328">
        <f t="shared" si="163"/>
        <v>1.5707718067973013</v>
      </c>
      <c r="K372" s="336">
        <f t="shared" si="183"/>
        <v>7.7736736403881688</v>
      </c>
      <c r="L372" s="337">
        <f t="shared" si="184"/>
        <v>1.4417995614514201</v>
      </c>
      <c r="M372" s="325">
        <f t="shared" si="164"/>
        <v>1.0027608894549105</v>
      </c>
      <c r="N372" s="337">
        <f t="shared" si="165"/>
        <v>7.4223342583672108E-2</v>
      </c>
      <c r="O372" s="343">
        <f t="shared" si="166"/>
        <v>1.0158157394494238</v>
      </c>
      <c r="P372" s="691">
        <f t="shared" si="167"/>
        <v>0.17669219832103691</v>
      </c>
      <c r="Q372" s="336">
        <f t="shared" si="182"/>
        <v>6.4286389984042343</v>
      </c>
      <c r="R372" s="692">
        <f t="shared" si="168"/>
        <v>0.19536127586901994</v>
      </c>
      <c r="S372" s="329">
        <f t="shared" si="169"/>
        <v>1.0153931923746653</v>
      </c>
      <c r="T372" s="330">
        <f t="shared" si="170"/>
        <v>0.17914297637375273</v>
      </c>
      <c r="U372" s="331">
        <f t="shared" si="171"/>
        <v>2.1321472699622386</v>
      </c>
      <c r="V372" s="332">
        <f t="shared" si="172"/>
        <v>-107.76130214008158</v>
      </c>
      <c r="W372" s="334">
        <f t="shared" si="173"/>
        <v>72.238697859918418</v>
      </c>
      <c r="Y372" s="307">
        <f t="shared" si="174"/>
        <v>1000000000</v>
      </c>
      <c r="Z372" s="307">
        <f t="shared" si="175"/>
        <v>944163892.5625</v>
      </c>
      <c r="AB372" s="333">
        <f t="shared" si="176"/>
        <v>23.286211203751733</v>
      </c>
      <c r="AC372" s="334">
        <f t="shared" si="177"/>
        <v>-11.642249617346025</v>
      </c>
      <c r="AE372" s="333">
        <f t="shared" si="178"/>
        <v>21.616861450024352</v>
      </c>
      <c r="AF372" s="334">
        <f t="shared" si="179"/>
        <v>-95.049393170611452</v>
      </c>
      <c r="AH372">
        <f t="shared" si="180"/>
        <v>0</v>
      </c>
      <c r="AI372">
        <f t="shared" si="185"/>
        <v>0</v>
      </c>
    </row>
    <row r="373" spans="1:35" x14ac:dyDescent="0.2">
      <c r="A373" s="335">
        <v>30903</v>
      </c>
      <c r="B373" s="352">
        <f t="shared" si="181"/>
        <v>30.902999999999999</v>
      </c>
      <c r="C373" s="325">
        <f t="shared" si="156"/>
        <v>19.194066751745346</v>
      </c>
      <c r="D373" s="326">
        <f t="shared" si="157"/>
        <v>1.5186732953270792</v>
      </c>
      <c r="E373" s="326">
        <f t="shared" si="158"/>
        <v>1.0007537500800201</v>
      </c>
      <c r="F373" s="327">
        <f t="shared" si="159"/>
        <v>3.881435134132253E-2</v>
      </c>
      <c r="G373" s="326">
        <f t="shared" si="160"/>
        <v>1</v>
      </c>
      <c r="H373" s="327">
        <f t="shared" si="161"/>
        <v>0</v>
      </c>
      <c r="I373" s="325">
        <f t="shared" si="162"/>
        <v>41016.304140184133</v>
      </c>
      <c r="J373" s="328">
        <f t="shared" si="163"/>
        <v>1.5707719462462084</v>
      </c>
      <c r="K373" s="336">
        <f t="shared" si="183"/>
        <v>7.8174028388852808</v>
      </c>
      <c r="L373" s="337">
        <f t="shared" si="184"/>
        <v>1.4425251422042178</v>
      </c>
      <c r="M373" s="325">
        <f t="shared" si="164"/>
        <v>1.002792518476912</v>
      </c>
      <c r="N373" s="337">
        <f t="shared" si="165"/>
        <v>7.4646305450042597E-2</v>
      </c>
      <c r="O373" s="343">
        <f t="shared" si="166"/>
        <v>1.0159957503468335</v>
      </c>
      <c r="P373" s="691">
        <f t="shared" si="167"/>
        <v>0.17768174218099572</v>
      </c>
      <c r="Q373" s="336">
        <f t="shared" si="182"/>
        <v>6.4300114726301905</v>
      </c>
      <c r="R373" s="692">
        <f t="shared" si="168"/>
        <v>0.19645075349384636</v>
      </c>
      <c r="S373" s="329">
        <f t="shared" si="169"/>
        <v>1.0155684347075522</v>
      </c>
      <c r="T373" s="330">
        <f t="shared" si="170"/>
        <v>0.18014738582913042</v>
      </c>
      <c r="U373" s="331">
        <f t="shared" si="171"/>
        <v>2.0799145164679986</v>
      </c>
      <c r="V373" s="332">
        <f t="shared" si="172"/>
        <v>-107.81166078662639</v>
      </c>
      <c r="W373" s="334">
        <f t="shared" si="173"/>
        <v>72.188339213373609</v>
      </c>
      <c r="Y373" s="307">
        <f t="shared" si="174"/>
        <v>1000000000</v>
      </c>
      <c r="Z373" s="307">
        <f t="shared" si="175"/>
        <v>954995409</v>
      </c>
      <c r="AB373" s="333">
        <f t="shared" si="176"/>
        <v>23.28512204530746</v>
      </c>
      <c r="AC373" s="334">
        <f t="shared" si="177"/>
        <v>-11.62491887946261</v>
      </c>
      <c r="AE373" s="333">
        <f t="shared" si="178"/>
        <v>21.56603296551156</v>
      </c>
      <c r="AF373" s="334">
        <f t="shared" si="179"/>
        <v>-95.111356772075339</v>
      </c>
      <c r="AH373">
        <f t="shared" si="180"/>
        <v>0</v>
      </c>
      <c r="AI373">
        <f t="shared" si="185"/>
        <v>0</v>
      </c>
    </row>
    <row r="374" spans="1:35" x14ac:dyDescent="0.2">
      <c r="A374" s="335">
        <v>31083</v>
      </c>
      <c r="B374" s="352">
        <f t="shared" si="181"/>
        <v>31.082999999999998</v>
      </c>
      <c r="C374" s="325">
        <f t="shared" si="156"/>
        <v>19.305563408946917</v>
      </c>
      <c r="D374" s="326">
        <f t="shared" si="157"/>
        <v>1.5189745953565026</v>
      </c>
      <c r="E374" s="326">
        <f t="shared" si="158"/>
        <v>1.0007625529991504</v>
      </c>
      <c r="F374" s="327">
        <f t="shared" si="159"/>
        <v>3.9040203424023104E-2</v>
      </c>
      <c r="G374" s="326">
        <f t="shared" si="160"/>
        <v>1</v>
      </c>
      <c r="H374" s="327">
        <f t="shared" si="161"/>
        <v>0</v>
      </c>
      <c r="I374" s="325">
        <f t="shared" si="162"/>
        <v>41255.210872244359</v>
      </c>
      <c r="J374" s="328">
        <f t="shared" si="163"/>
        <v>1.5707720874326692</v>
      </c>
      <c r="K374" s="336">
        <f t="shared" si="183"/>
        <v>7.8621937182858455</v>
      </c>
      <c r="L374" s="337">
        <f t="shared" si="184"/>
        <v>1.4432599021776267</v>
      </c>
      <c r="M374" s="325">
        <f t="shared" si="164"/>
        <v>1.0028250982993692</v>
      </c>
      <c r="N374" s="337">
        <f t="shared" si="165"/>
        <v>7.5079468701232638E-2</v>
      </c>
      <c r="O374" s="343">
        <f t="shared" si="166"/>
        <v>1.0161811451488094</v>
      </c>
      <c r="P374" s="691">
        <f t="shared" si="167"/>
        <v>0.17869485084263906</v>
      </c>
      <c r="Q374" s="336">
        <f t="shared" si="182"/>
        <v>6.431424943890546</v>
      </c>
      <c r="R374" s="692">
        <f t="shared" si="168"/>
        <v>0.19756609670912076</v>
      </c>
      <c r="S374" s="329">
        <f t="shared" si="169"/>
        <v>1.0157489192688574</v>
      </c>
      <c r="T374" s="330">
        <f t="shared" si="170"/>
        <v>0.18117573398298317</v>
      </c>
      <c r="U374" s="331">
        <f t="shared" si="171"/>
        <v>2.0267105299052974</v>
      </c>
      <c r="V374" s="332">
        <f t="shared" si="172"/>
        <v>-107.86348912322528</v>
      </c>
      <c r="W374" s="334">
        <f t="shared" si="173"/>
        <v>72.136510876774722</v>
      </c>
      <c r="Y374" s="307">
        <f t="shared" si="174"/>
        <v>1000000000</v>
      </c>
      <c r="Z374" s="307">
        <f t="shared" si="175"/>
        <v>966152889</v>
      </c>
      <c r="AB374" s="333">
        <f t="shared" si="176"/>
        <v>23.284019084823516</v>
      </c>
      <c r="AC374" s="334">
        <f t="shared" si="177"/>
        <v>-11.60764674953308</v>
      </c>
      <c r="AE374" s="333">
        <f t="shared" si="178"/>
        <v>21.514256275693672</v>
      </c>
      <c r="AF374" s="334">
        <f t="shared" si="179"/>
        <v>-95.174599630153594</v>
      </c>
      <c r="AH374">
        <f t="shared" si="180"/>
        <v>0</v>
      </c>
      <c r="AI374">
        <f t="shared" si="185"/>
        <v>0</v>
      </c>
    </row>
    <row r="375" spans="1:35" x14ac:dyDescent="0.2">
      <c r="A375" s="335">
        <v>31263</v>
      </c>
      <c r="B375" s="352">
        <f t="shared" si="181"/>
        <v>31.263000000000002</v>
      </c>
      <c r="C375" s="325">
        <f t="shared" si="156"/>
        <v>19.417061798612938</v>
      </c>
      <c r="D375" s="326">
        <f t="shared" si="157"/>
        <v>1.5192724351087286</v>
      </c>
      <c r="E375" s="326">
        <f t="shared" si="158"/>
        <v>1.0007714069654414</v>
      </c>
      <c r="F375" s="327">
        <f t="shared" si="159"/>
        <v>3.9266051521953137E-2</v>
      </c>
      <c r="G375" s="326">
        <f t="shared" si="160"/>
        <v>1</v>
      </c>
      <c r="H375" s="327">
        <f t="shared" si="161"/>
        <v>0</v>
      </c>
      <c r="I375" s="325">
        <f t="shared" si="162"/>
        <v>41494.117604305407</v>
      </c>
      <c r="J375" s="328">
        <f t="shared" si="163"/>
        <v>1.5707722269933384</v>
      </c>
      <c r="K375" s="336">
        <f t="shared" si="183"/>
        <v>7.9069887941763319</v>
      </c>
      <c r="L375" s="337">
        <f t="shared" si="184"/>
        <v>1.4439863373402275</v>
      </c>
      <c r="M375" s="325">
        <f t="shared" si="164"/>
        <v>1.0028578662700569</v>
      </c>
      <c r="N375" s="337">
        <f t="shared" si="165"/>
        <v>7.5512603726823349E-2</v>
      </c>
      <c r="O375" s="343">
        <f t="shared" si="166"/>
        <v>1.0163675825669685</v>
      </c>
      <c r="P375" s="691">
        <f t="shared" si="167"/>
        <v>0.17970758886419291</v>
      </c>
      <c r="Q375" s="336">
        <f t="shared" si="182"/>
        <v>6.4328463110176877</v>
      </c>
      <c r="R375" s="692">
        <f t="shared" si="168"/>
        <v>0.19868095156390531</v>
      </c>
      <c r="S375" s="329">
        <f t="shared" si="169"/>
        <v>1.0159304197996641</v>
      </c>
      <c r="T375" s="330">
        <f t="shared" si="170"/>
        <v>0.18220372615153949</v>
      </c>
      <c r="U375" s="331">
        <f t="shared" si="171"/>
        <v>1.9737982638162033</v>
      </c>
      <c r="V375" s="332">
        <f t="shared" si="172"/>
        <v>-107.91556755368433</v>
      </c>
      <c r="W375" s="334">
        <f t="shared" si="173"/>
        <v>72.084432446315674</v>
      </c>
      <c r="Y375" s="307">
        <f t="shared" si="174"/>
        <v>1000000000</v>
      </c>
      <c r="Z375" s="307">
        <f t="shared" si="175"/>
        <v>977375169</v>
      </c>
      <c r="AB375" s="333">
        <f t="shared" si="176"/>
        <v>23.282928488896975</v>
      </c>
      <c r="AC375" s="334">
        <f t="shared" si="177"/>
        <v>-11.590849885769938</v>
      </c>
      <c r="AE375" s="333">
        <f t="shared" si="178"/>
        <v>21.462760562474816</v>
      </c>
      <c r="AF375" s="334">
        <f t="shared" si="179"/>
        <v>-95.237624060807704</v>
      </c>
      <c r="AH375">
        <f t="shared" si="180"/>
        <v>0</v>
      </c>
      <c r="AI375">
        <f t="shared" si="185"/>
        <v>0</v>
      </c>
    </row>
    <row r="376" spans="1:35" x14ac:dyDescent="0.2">
      <c r="A376" s="335">
        <v>31443</v>
      </c>
      <c r="B376" s="352">
        <f t="shared" si="181"/>
        <v>31.443000000000001</v>
      </c>
      <c r="C376" s="325">
        <f t="shared" si="156"/>
        <v>19.528561891068879</v>
      </c>
      <c r="D376" s="326">
        <f t="shared" si="157"/>
        <v>1.5195668738007557</v>
      </c>
      <c r="E376" s="326">
        <f t="shared" si="158"/>
        <v>1.0007803119775387</v>
      </c>
      <c r="F376" s="327">
        <f t="shared" si="159"/>
        <v>3.9491895612178876E-2</v>
      </c>
      <c r="G376" s="326">
        <f t="shared" si="160"/>
        <v>1</v>
      </c>
      <c r="H376" s="327">
        <f t="shared" si="161"/>
        <v>0</v>
      </c>
      <c r="I376" s="325">
        <f t="shared" si="162"/>
        <v>41733.024336367249</v>
      </c>
      <c r="J376" s="328">
        <f t="shared" si="163"/>
        <v>1.5707723649561371</v>
      </c>
      <c r="K376" s="336">
        <f t="shared" si="183"/>
        <v>7.9517879956360549</v>
      </c>
      <c r="L376" s="337">
        <f t="shared" si="184"/>
        <v>1.4447045876210476</v>
      </c>
      <c r="M376" s="325">
        <f t="shared" si="164"/>
        <v>1.0028908223705328</v>
      </c>
      <c r="N376" s="337">
        <f t="shared" si="165"/>
        <v>7.5945710367072011E-2</v>
      </c>
      <c r="O376" s="343">
        <f t="shared" si="166"/>
        <v>1.01655506202766</v>
      </c>
      <c r="P376" s="691">
        <f t="shared" si="167"/>
        <v>0.18071995437275304</v>
      </c>
      <c r="Q376" s="336">
        <f t="shared" si="182"/>
        <v>6.4342755687797517</v>
      </c>
      <c r="R376" s="692">
        <f t="shared" si="168"/>
        <v>0.19979531566408998</v>
      </c>
      <c r="S376" s="329">
        <f t="shared" si="169"/>
        <v>1.0161129357573142</v>
      </c>
      <c r="T376" s="330">
        <f t="shared" si="170"/>
        <v>0.18323136052889824</v>
      </c>
      <c r="U376" s="331">
        <f t="shared" si="171"/>
        <v>1.9211741255395189</v>
      </c>
      <c r="V376" s="332">
        <f t="shared" si="172"/>
        <v>-107.96789131397261</v>
      </c>
      <c r="W376" s="334">
        <f t="shared" si="173"/>
        <v>72.032108686027385</v>
      </c>
      <c r="Y376" s="307">
        <f t="shared" si="174"/>
        <v>1000000000</v>
      </c>
      <c r="Z376" s="307">
        <f t="shared" si="175"/>
        <v>988662249</v>
      </c>
      <c r="AB376" s="333">
        <f t="shared" si="176"/>
        <v>23.281849942752288</v>
      </c>
      <c r="AC376" s="334">
        <f t="shared" si="177"/>
        <v>-11.574520263277632</v>
      </c>
      <c r="AE376" s="333">
        <f t="shared" si="178"/>
        <v>21.411542543724046</v>
      </c>
      <c r="AF376" s="334">
        <f t="shared" si="179"/>
        <v>-95.300433354765289</v>
      </c>
      <c r="AH376">
        <f t="shared" si="180"/>
        <v>0</v>
      </c>
      <c r="AI376">
        <f t="shared" si="185"/>
        <v>0</v>
      </c>
    </row>
    <row r="377" spans="1:35" x14ac:dyDescent="0.2">
      <c r="A377" s="335">
        <v>31623</v>
      </c>
      <c r="B377" s="352">
        <f t="shared" si="181"/>
        <v>31.623000000000001</v>
      </c>
      <c r="C377" s="325">
        <f t="shared" si="156"/>
        <v>19.640063657313629</v>
      </c>
      <c r="D377" s="326">
        <f t="shared" si="157"/>
        <v>1.5198579693072103</v>
      </c>
      <c r="E377" s="326">
        <f t="shared" si="158"/>
        <v>1.0007892680340791</v>
      </c>
      <c r="F377" s="327">
        <f t="shared" si="159"/>
        <v>3.9717735671769006E-2</v>
      </c>
      <c r="G377" s="326">
        <f t="shared" si="160"/>
        <v>1</v>
      </c>
      <c r="H377" s="327">
        <f t="shared" si="161"/>
        <v>0</v>
      </c>
      <c r="I377" s="325">
        <f t="shared" si="162"/>
        <v>41971.931068429876</v>
      </c>
      <c r="J377" s="328">
        <f t="shared" si="163"/>
        <v>1.5707725013483509</v>
      </c>
      <c r="K377" s="336">
        <f t="shared" si="183"/>
        <v>7.9965912533271419</v>
      </c>
      <c r="L377" s="337">
        <f t="shared" si="184"/>
        <v>1.4454147898473542</v>
      </c>
      <c r="M377" s="325">
        <f t="shared" si="164"/>
        <v>1.0029239665822507</v>
      </c>
      <c r="N377" s="337">
        <f t="shared" si="165"/>
        <v>7.6378788462299452E-2</v>
      </c>
      <c r="O377" s="343">
        <f t="shared" si="166"/>
        <v>1.0167435829544502</v>
      </c>
      <c r="P377" s="691">
        <f t="shared" si="167"/>
        <v>0.18173194549984681</v>
      </c>
      <c r="Q377" s="336">
        <f t="shared" si="182"/>
        <v>6.4357127119204947</v>
      </c>
      <c r="R377" s="692">
        <f t="shared" si="168"/>
        <v>0.2009091866224989</v>
      </c>
      <c r="S377" s="329">
        <f t="shared" si="169"/>
        <v>1.0162964665965042</v>
      </c>
      <c r="T377" s="330">
        <f t="shared" si="170"/>
        <v>0.18425863531330824</v>
      </c>
      <c r="U377" s="331">
        <f t="shared" si="171"/>
        <v>1.8688345870427598</v>
      </c>
      <c r="V377" s="332">
        <f t="shared" si="172"/>
        <v>-108.02045574121318</v>
      </c>
      <c r="W377" s="334">
        <f t="shared" si="173"/>
        <v>71.979544258786817</v>
      </c>
      <c r="Y377" s="307">
        <f t="shared" si="174"/>
        <v>1000000000</v>
      </c>
      <c r="Z377" s="307">
        <f t="shared" si="175"/>
        <v>1000014129</v>
      </c>
      <c r="AB377" s="333">
        <f t="shared" si="176"/>
        <v>23.280783140417252</v>
      </c>
      <c r="AC377" s="334">
        <f t="shared" si="177"/>
        <v>-11.558650034845643</v>
      </c>
      <c r="AE377" s="333">
        <f t="shared" si="178"/>
        <v>21.360598993120057</v>
      </c>
      <c r="AF377" s="334">
        <f t="shared" si="179"/>
        <v>-95.363030726079288</v>
      </c>
      <c r="AH377">
        <f t="shared" si="180"/>
        <v>0</v>
      </c>
      <c r="AI377">
        <f t="shared" si="185"/>
        <v>0</v>
      </c>
    </row>
    <row r="378" spans="1:35" x14ac:dyDescent="0.2">
      <c r="A378" s="335">
        <v>31807</v>
      </c>
      <c r="B378" s="352">
        <f t="shared" si="181"/>
        <v>31.806999999999999</v>
      </c>
      <c r="C378" s="325">
        <f t="shared" si="156"/>
        <v>19.754044941069196</v>
      </c>
      <c r="D378" s="326">
        <f t="shared" si="157"/>
        <v>1.5201521370475422</v>
      </c>
      <c r="E378" s="326">
        <f t="shared" si="158"/>
        <v>1.0007984758711999</v>
      </c>
      <c r="F378" s="327">
        <f t="shared" si="159"/>
        <v>3.9948590209490327E-2</v>
      </c>
      <c r="G378" s="326">
        <f t="shared" si="160"/>
        <v>1</v>
      </c>
      <c r="H378" s="327">
        <f t="shared" si="161"/>
        <v>0</v>
      </c>
      <c r="I378" s="325">
        <f t="shared" si="162"/>
        <v>42216.146838983586</v>
      </c>
      <c r="J378" s="328">
        <f t="shared" si="163"/>
        <v>1.5707726391759411</v>
      </c>
      <c r="K378" s="336">
        <f t="shared" si="183"/>
        <v>8.0423942608216663</v>
      </c>
      <c r="L378" s="337">
        <f t="shared" si="184"/>
        <v>1.4461325953464952</v>
      </c>
      <c r="M378" s="325">
        <f t="shared" si="164"/>
        <v>1.0029580417406521</v>
      </c>
      <c r="N378" s="337">
        <f t="shared" si="165"/>
        <v>7.6821460845431594E-2</v>
      </c>
      <c r="O378" s="343">
        <f t="shared" si="166"/>
        <v>1.0169373690708499</v>
      </c>
      <c r="P378" s="691">
        <f t="shared" si="167"/>
        <v>0.18276603642450207</v>
      </c>
      <c r="Q378" s="336">
        <f t="shared" si="182"/>
        <v>6.4371899362486911</v>
      </c>
      <c r="R378" s="692">
        <f t="shared" si="168"/>
        <v>0.20204729808894539</v>
      </c>
      <c r="S378" s="329">
        <f t="shared" si="169"/>
        <v>1.0164851242897499</v>
      </c>
      <c r="T378" s="330">
        <f t="shared" si="170"/>
        <v>0.18530836488640537</v>
      </c>
      <c r="U378" s="331">
        <f t="shared" si="171"/>
        <v>1.8156224969311969</v>
      </c>
      <c r="V378" s="332">
        <f t="shared" si="172"/>
        <v>-108.07443226335533</v>
      </c>
      <c r="W378" s="334">
        <f t="shared" si="173"/>
        <v>71.925567736644666</v>
      </c>
      <c r="Y378" s="307">
        <f t="shared" si="174"/>
        <v>1000000000</v>
      </c>
      <c r="Z378" s="307">
        <f t="shared" si="175"/>
        <v>1011685249</v>
      </c>
      <c r="AB378" s="333">
        <f t="shared" si="176"/>
        <v>23.279704459853537</v>
      </c>
      <c r="AC378" s="334">
        <f t="shared" si="177"/>
        <v>-11.542893965415267</v>
      </c>
      <c r="AE378" s="333">
        <f t="shared" si="178"/>
        <v>21.308803746225323</v>
      </c>
      <c r="AF378" s="334">
        <f t="shared" si="179"/>
        <v>-95.426803379617738</v>
      </c>
      <c r="AH378">
        <f t="shared" si="180"/>
        <v>0</v>
      </c>
      <c r="AI378">
        <f t="shared" si="185"/>
        <v>0</v>
      </c>
    </row>
    <row r="379" spans="1:35" x14ac:dyDescent="0.2">
      <c r="A379" s="335">
        <v>31991</v>
      </c>
      <c r="B379" s="352">
        <f t="shared" si="181"/>
        <v>31.991</v>
      </c>
      <c r="C379" s="325">
        <f t="shared" si="156"/>
        <v>19.86802791462074</v>
      </c>
      <c r="D379" s="326">
        <f t="shared" si="157"/>
        <v>1.5204429295292607</v>
      </c>
      <c r="E379" s="326">
        <f t="shared" si="158"/>
        <v>1.000807737043709</v>
      </c>
      <c r="F379" s="327">
        <f t="shared" si="159"/>
        <v>4.0179440486998029E-2</v>
      </c>
      <c r="G379" s="326">
        <f t="shared" si="160"/>
        <v>1</v>
      </c>
      <c r="H379" s="327">
        <f t="shared" si="161"/>
        <v>0</v>
      </c>
      <c r="I379" s="325">
        <f t="shared" si="162"/>
        <v>42460.362609538082</v>
      </c>
      <c r="J379" s="328">
        <f t="shared" si="163"/>
        <v>1.570772775418068</v>
      </c>
      <c r="K379" s="336">
        <f t="shared" si="183"/>
        <v>8.0882013651840445</v>
      </c>
      <c r="L379" s="337">
        <f t="shared" si="184"/>
        <v>1.4468422707002306</v>
      </c>
      <c r="M379" s="325">
        <f t="shared" si="164"/>
        <v>1.0029923134241698</v>
      </c>
      <c r="N379" s="337">
        <f t="shared" si="165"/>
        <v>7.7264103063565515E-2</v>
      </c>
      <c r="O379" s="343">
        <f t="shared" si="166"/>
        <v>1.0171322422281179</v>
      </c>
      <c r="P379" s="691">
        <f t="shared" si="167"/>
        <v>0.18379973220961285</v>
      </c>
      <c r="Q379" s="336">
        <f t="shared" si="182"/>
        <v>6.4386753891263373</v>
      </c>
      <c r="R379" s="692">
        <f t="shared" si="168"/>
        <v>0.20318488923061445</v>
      </c>
      <c r="S379" s="329">
        <f t="shared" si="169"/>
        <v>1.0166748413108575</v>
      </c>
      <c r="T379" s="330">
        <f t="shared" si="170"/>
        <v>0.18635771491312994</v>
      </c>
      <c r="U379" s="331">
        <f t="shared" si="171"/>
        <v>1.7627005409953014</v>
      </c>
      <c r="V379" s="332">
        <f t="shared" si="172"/>
        <v>-108.12865072637713</v>
      </c>
      <c r="W379" s="334">
        <f t="shared" si="173"/>
        <v>71.871349273622869</v>
      </c>
      <c r="Y379" s="307">
        <f t="shared" si="174"/>
        <v>1000000000</v>
      </c>
      <c r="Z379" s="307">
        <f t="shared" si="175"/>
        <v>1023424081</v>
      </c>
      <c r="AB379" s="333">
        <f t="shared" si="176"/>
        <v>23.278637431197772</v>
      </c>
      <c r="AC379" s="334">
        <f t="shared" si="177"/>
        <v>-11.52760189983654</v>
      </c>
      <c r="AE379" s="333">
        <f t="shared" si="178"/>
        <v>21.257288657169653</v>
      </c>
      <c r="AF379" s="334">
        <f t="shared" si="179"/>
        <v>-95.490361142769629</v>
      </c>
      <c r="AH379">
        <f t="shared" si="180"/>
        <v>0</v>
      </c>
      <c r="AI379">
        <f t="shared" si="185"/>
        <v>0</v>
      </c>
    </row>
    <row r="380" spans="1:35" x14ac:dyDescent="0.2">
      <c r="A380" s="335">
        <v>32175</v>
      </c>
      <c r="B380" s="352">
        <f t="shared" si="181"/>
        <v>32.174999999999997</v>
      </c>
      <c r="C380" s="325">
        <f t="shared" si="156"/>
        <v>19.982012549051056</v>
      </c>
      <c r="D380" s="326">
        <f t="shared" si="157"/>
        <v>1.5207304044638528</v>
      </c>
      <c r="E380" s="326">
        <f t="shared" si="158"/>
        <v>1.0008170515501256</v>
      </c>
      <c r="F380" s="327">
        <f t="shared" si="159"/>
        <v>4.0410286479805838E-2</v>
      </c>
      <c r="G380" s="326">
        <f t="shared" si="160"/>
        <v>1</v>
      </c>
      <c r="H380" s="327">
        <f t="shared" si="161"/>
        <v>0</v>
      </c>
      <c r="I380" s="325">
        <f t="shared" si="162"/>
        <v>42704.578380093364</v>
      </c>
      <c r="J380" s="328">
        <f t="shared" si="163"/>
        <v>1.5707729101019325</v>
      </c>
      <c r="K380" s="336">
        <f t="shared" si="183"/>
        <v>8.1340124971991195</v>
      </c>
      <c r="L380" s="337">
        <f t="shared" si="184"/>
        <v>1.4475439525556693</v>
      </c>
      <c r="M380" s="325">
        <f t="shared" si="164"/>
        <v>1.0030267816126597</v>
      </c>
      <c r="N380" s="337">
        <f t="shared" si="165"/>
        <v>7.7706714946346497E-2</v>
      </c>
      <c r="O380" s="343">
        <f t="shared" si="166"/>
        <v>1.0173282018015735</v>
      </c>
      <c r="P380" s="691">
        <f t="shared" si="167"/>
        <v>0.18483303087382444</v>
      </c>
      <c r="Q380" s="336">
        <f t="shared" si="182"/>
        <v>6.4401690648605197</v>
      </c>
      <c r="R380" s="692">
        <f t="shared" si="168"/>
        <v>0.20432195752024682</v>
      </c>
      <c r="S380" s="329">
        <f t="shared" si="169"/>
        <v>1.016865617068839</v>
      </c>
      <c r="T380" s="330">
        <f t="shared" si="170"/>
        <v>0.18740668348247733</v>
      </c>
      <c r="U380" s="331">
        <f t="shared" si="171"/>
        <v>1.7100651502523025</v>
      </c>
      <c r="V380" s="332">
        <f t="shared" si="172"/>
        <v>-108.18310646003076</v>
      </c>
      <c r="W380" s="334">
        <f t="shared" si="173"/>
        <v>71.816893539969243</v>
      </c>
      <c r="Y380" s="307">
        <f t="shared" si="174"/>
        <v>1000000000</v>
      </c>
      <c r="Z380" s="307">
        <f t="shared" si="175"/>
        <v>1035230625</v>
      </c>
      <c r="AB380" s="333">
        <f t="shared" si="176"/>
        <v>23.277581754282181</v>
      </c>
      <c r="AC380" s="334">
        <f t="shared" si="177"/>
        <v>-11.512766000604737</v>
      </c>
      <c r="AE380" s="333">
        <f t="shared" si="178"/>
        <v>21.206050452536566</v>
      </c>
      <c r="AF380" s="334">
        <f t="shared" si="179"/>
        <v>-95.553707214070002</v>
      </c>
      <c r="AH380">
        <f t="shared" si="180"/>
        <v>0</v>
      </c>
      <c r="AI380">
        <f t="shared" si="185"/>
        <v>0</v>
      </c>
    </row>
    <row r="381" spans="1:35" x14ac:dyDescent="0.2">
      <c r="A381" s="335">
        <v>32359</v>
      </c>
      <c r="B381" s="352">
        <f t="shared" si="181"/>
        <v>32.359000000000002</v>
      </c>
      <c r="C381" s="325">
        <f t="shared" si="156"/>
        <v>20.095998816098597</v>
      </c>
      <c r="D381" s="326">
        <f t="shared" si="157"/>
        <v>1.521014618255649</v>
      </c>
      <c r="E381" s="326">
        <f t="shared" si="158"/>
        <v>1.0008264193889609</v>
      </c>
      <c r="F381" s="327">
        <f t="shared" si="159"/>
        <v>4.0641128163430226E-2</v>
      </c>
      <c r="G381" s="326">
        <f t="shared" si="160"/>
        <v>1</v>
      </c>
      <c r="H381" s="327">
        <f t="shared" si="161"/>
        <v>0</v>
      </c>
      <c r="I381" s="325">
        <f t="shared" si="162"/>
        <v>42948.79415064941</v>
      </c>
      <c r="J381" s="328">
        <f t="shared" si="163"/>
        <v>1.5707730432541158</v>
      </c>
      <c r="K381" s="336">
        <f t="shared" si="183"/>
        <v>8.1798275891962735</v>
      </c>
      <c r="L381" s="337">
        <f t="shared" si="184"/>
        <v>1.4482377745303774</v>
      </c>
      <c r="M381" s="325">
        <f t="shared" si="164"/>
        <v>1.0030614462858636</v>
      </c>
      <c r="N381" s="337">
        <f t="shared" si="165"/>
        <v>7.8149296323490797E-2</v>
      </c>
      <c r="O381" s="343">
        <f t="shared" si="166"/>
        <v>1.0175252471635361</v>
      </c>
      <c r="P381" s="691">
        <f t="shared" si="167"/>
        <v>0.18586593044069633</v>
      </c>
      <c r="Q381" s="336">
        <f t="shared" si="182"/>
        <v>6.4416709577321098</v>
      </c>
      <c r="R381" s="692">
        <f t="shared" si="168"/>
        <v>0.20545850043826011</v>
      </c>
      <c r="S381" s="329">
        <f t="shared" si="169"/>
        <v>1.0170574509698525</v>
      </c>
      <c r="T381" s="330">
        <f t="shared" si="170"/>
        <v>0.18845526868804566</v>
      </c>
      <c r="U381" s="331">
        <f t="shared" si="171"/>
        <v>1.6577128197777478</v>
      </c>
      <c r="V381" s="332">
        <f t="shared" si="172"/>
        <v>-108.23779489314452</v>
      </c>
      <c r="W381" s="334">
        <f t="shared" si="173"/>
        <v>71.762205106855475</v>
      </c>
      <c r="Y381" s="307">
        <f t="shared" si="174"/>
        <v>1000000000</v>
      </c>
      <c r="Z381" s="307">
        <f t="shared" si="175"/>
        <v>1047104881</v>
      </c>
      <c r="AB381" s="333">
        <f t="shared" si="176"/>
        <v>23.276537137332596</v>
      </c>
      <c r="AC381" s="334">
        <f t="shared" si="177"/>
        <v>-11.49837860376369</v>
      </c>
      <c r="AE381" s="333">
        <f t="shared" si="178"/>
        <v>21.155085914557734</v>
      </c>
      <c r="AF381" s="334">
        <f t="shared" si="179"/>
        <v>-95.616844717423035</v>
      </c>
      <c r="AH381">
        <f t="shared" si="180"/>
        <v>0</v>
      </c>
      <c r="AI381">
        <f t="shared" si="185"/>
        <v>0</v>
      </c>
    </row>
    <row r="382" spans="1:35" x14ac:dyDescent="0.2">
      <c r="A382" s="335">
        <v>32547.5</v>
      </c>
      <c r="B382" s="352">
        <f t="shared" si="181"/>
        <v>32.547499999999999</v>
      </c>
      <c r="C382" s="325">
        <f t="shared" si="156"/>
        <v>20.212774454886283</v>
      </c>
      <c r="D382" s="326">
        <f t="shared" si="157"/>
        <v>1.5213024588069899</v>
      </c>
      <c r="E382" s="326">
        <f t="shared" si="158"/>
        <v>1.0008360716358411</v>
      </c>
      <c r="F382" s="327">
        <f t="shared" si="159"/>
        <v>4.0877610937561773E-2</v>
      </c>
      <c r="G382" s="326">
        <f t="shared" si="160"/>
        <v>1</v>
      </c>
      <c r="H382" s="327">
        <f t="shared" si="161"/>
        <v>0</v>
      </c>
      <c r="I382" s="325">
        <f t="shared" si="162"/>
        <v>43198.982589507876</v>
      </c>
      <c r="J382" s="328">
        <f t="shared" si="163"/>
        <v>1.5707731781015677</v>
      </c>
      <c r="K382" s="336">
        <f t="shared" si="183"/>
        <v>8.2267671962583542</v>
      </c>
      <c r="L382" s="337">
        <f t="shared" si="184"/>
        <v>1.4489405509980013</v>
      </c>
      <c r="M382" s="325">
        <f t="shared" si="164"/>
        <v>1.003097162466579</v>
      </c>
      <c r="N382" s="337">
        <f t="shared" si="165"/>
        <v>7.8602669889908064E-2</v>
      </c>
      <c r="O382" s="343">
        <f t="shared" si="166"/>
        <v>1.0177282368554696</v>
      </c>
      <c r="P382" s="691">
        <f t="shared" si="167"/>
        <v>0.18692367521972997</v>
      </c>
      <c r="Q382" s="336">
        <f t="shared" si="182"/>
        <v>6.4432180967116333</v>
      </c>
      <c r="R382" s="692">
        <f t="shared" si="168"/>
        <v>0.20662229181501024</v>
      </c>
      <c r="S382" s="329">
        <f t="shared" si="169"/>
        <v>1.0172550731142491</v>
      </c>
      <c r="T382" s="330">
        <f t="shared" si="170"/>
        <v>0.1895290991102799</v>
      </c>
      <c r="U382" s="331">
        <f t="shared" si="171"/>
        <v>1.6043700639075937</v>
      </c>
      <c r="V382" s="332">
        <f t="shared" si="172"/>
        <v>-108.29405744322811</v>
      </c>
      <c r="W382" s="334">
        <f t="shared" si="173"/>
        <v>71.705942556771888</v>
      </c>
      <c r="Y382" s="307">
        <f t="shared" si="174"/>
        <v>1000000000</v>
      </c>
      <c r="Z382" s="307">
        <f t="shared" si="175"/>
        <v>1059339756.25</v>
      </c>
      <c r="AB382" s="333">
        <f t="shared" si="176"/>
        <v>23.275478145194114</v>
      </c>
      <c r="AC382" s="334">
        <f t="shared" si="177"/>
        <v>-11.484096596299773</v>
      </c>
      <c r="AE382" s="333">
        <f t="shared" si="178"/>
        <v>21.103155442387159</v>
      </c>
      <c r="AF382" s="334">
        <f t="shared" si="179"/>
        <v>-95.681313252482752</v>
      </c>
      <c r="AH382">
        <f t="shared" si="180"/>
        <v>0</v>
      </c>
      <c r="AI382">
        <f t="shared" si="185"/>
        <v>0</v>
      </c>
    </row>
    <row r="383" spans="1:35" x14ac:dyDescent="0.2">
      <c r="A383" s="335">
        <v>32736</v>
      </c>
      <c r="B383" s="352">
        <f t="shared" si="181"/>
        <v>32.735999999999997</v>
      </c>
      <c r="C383" s="325">
        <f t="shared" si="156"/>
        <v>20.329551749107292</v>
      </c>
      <c r="D383" s="326">
        <f t="shared" si="157"/>
        <v>1.5215869925462739</v>
      </c>
      <c r="E383" s="326">
        <f t="shared" si="158"/>
        <v>1.0008457798524988</v>
      </c>
      <c r="F383" s="327">
        <f t="shared" si="159"/>
        <v>4.1114089137146176E-2</v>
      </c>
      <c r="G383" s="326">
        <f t="shared" si="160"/>
        <v>1</v>
      </c>
      <c r="H383" s="327">
        <f t="shared" si="161"/>
        <v>0</v>
      </c>
      <c r="I383" s="325">
        <f t="shared" si="162"/>
        <v>43449.17102836712</v>
      </c>
      <c r="J383" s="328">
        <f t="shared" si="163"/>
        <v>1.5707733113960658</v>
      </c>
      <c r="K383" s="336">
        <f t="shared" si="183"/>
        <v>8.273710820373136</v>
      </c>
      <c r="L383" s="337">
        <f t="shared" si="184"/>
        <v>1.4496353529379093</v>
      </c>
      <c r="M383" s="325">
        <f t="shared" si="164"/>
        <v>1.0031330848167925</v>
      </c>
      <c r="N383" s="337">
        <f t="shared" si="165"/>
        <v>7.9056011078748531E-2</v>
      </c>
      <c r="O383" s="343">
        <f t="shared" si="166"/>
        <v>1.0179323647513265</v>
      </c>
      <c r="P383" s="691">
        <f t="shared" si="167"/>
        <v>0.18798099695821749</v>
      </c>
      <c r="Q383" s="336">
        <f t="shared" si="182"/>
        <v>6.4447738474333258</v>
      </c>
      <c r="R383" s="692">
        <f t="shared" si="168"/>
        <v>0.20778552647985973</v>
      </c>
      <c r="S383" s="329">
        <f t="shared" si="169"/>
        <v>1.0174538045207024</v>
      </c>
      <c r="T383" s="330">
        <f t="shared" si="170"/>
        <v>0.1906025231523194</v>
      </c>
      <c r="U383" s="331">
        <f t="shared" si="171"/>
        <v>1.5513171356297828</v>
      </c>
      <c r="V383" s="332">
        <f t="shared" si="172"/>
        <v>-108.35055480907079</v>
      </c>
      <c r="W383" s="334">
        <f t="shared" si="173"/>
        <v>71.649445190929214</v>
      </c>
      <c r="Y383" s="307">
        <f t="shared" si="174"/>
        <v>1000000000</v>
      </c>
      <c r="Z383" s="307">
        <f t="shared" si="175"/>
        <v>1071645696</v>
      </c>
      <c r="AB383" s="333">
        <f t="shared" si="176"/>
        <v>23.274430166494962</v>
      </c>
      <c r="AC383" s="334">
        <f t="shared" si="177"/>
        <v>-11.470269551541923</v>
      </c>
      <c r="AE383" s="333">
        <f t="shared" si="178"/>
        <v>21.051505523359832</v>
      </c>
      <c r="AF383" s="334">
        <f t="shared" si="179"/>
        <v>-95.745569299399918</v>
      </c>
      <c r="AH383">
        <f t="shared" si="180"/>
        <v>0</v>
      </c>
      <c r="AI383">
        <f t="shared" si="185"/>
        <v>0</v>
      </c>
    </row>
    <row r="384" spans="1:35" x14ac:dyDescent="0.2">
      <c r="A384" s="335">
        <v>32924.5</v>
      </c>
      <c r="B384" s="352">
        <f t="shared" si="181"/>
        <v>32.924500000000002</v>
      </c>
      <c r="C384" s="325">
        <f t="shared" si="156"/>
        <v>20.446330670397074</v>
      </c>
      <c r="D384" s="326">
        <f t="shared" si="157"/>
        <v>1.5218682760874582</v>
      </c>
      <c r="E384" s="326">
        <f t="shared" si="158"/>
        <v>1.0008555440373055</v>
      </c>
      <c r="F384" s="327">
        <f t="shared" si="159"/>
        <v>4.135056273586829E-2</v>
      </c>
      <c r="G384" s="326">
        <f t="shared" si="160"/>
        <v>1</v>
      </c>
      <c r="H384" s="327">
        <f t="shared" si="161"/>
        <v>0</v>
      </c>
      <c r="I384" s="325">
        <f t="shared" si="162"/>
        <v>43699.359467227128</v>
      </c>
      <c r="J384" s="328">
        <f t="shared" si="163"/>
        <v>1.5707734431642832</v>
      </c>
      <c r="K384" s="336">
        <f t="shared" si="183"/>
        <v>8.320658393550195</v>
      </c>
      <c r="L384" s="337">
        <f t="shared" si="184"/>
        <v>1.4503223146573376</v>
      </c>
      <c r="M384" s="325">
        <f t="shared" si="164"/>
        <v>1.0031692133143562</v>
      </c>
      <c r="N384" s="337">
        <f t="shared" si="165"/>
        <v>7.9509319707160742E-2</v>
      </c>
      <c r="O384" s="343">
        <f t="shared" si="166"/>
        <v>1.0181376301665064</v>
      </c>
      <c r="P384" s="691">
        <f t="shared" si="167"/>
        <v>0.18903789354729919</v>
      </c>
      <c r="Q384" s="336">
        <f t="shared" si="182"/>
        <v>6.4463382036631831</v>
      </c>
      <c r="R384" s="692">
        <f t="shared" si="168"/>
        <v>0.2089482017490415</v>
      </c>
      <c r="S384" s="329">
        <f t="shared" si="169"/>
        <v>1.0176536445414701</v>
      </c>
      <c r="T384" s="330">
        <f t="shared" si="170"/>
        <v>0.19167553877958504</v>
      </c>
      <c r="U384" s="331">
        <f t="shared" si="171"/>
        <v>1.4985504658187381</v>
      </c>
      <c r="V384" s="332">
        <f t="shared" si="172"/>
        <v>-108.40728238222231</v>
      </c>
      <c r="W384" s="334">
        <f t="shared" si="173"/>
        <v>71.592717617777694</v>
      </c>
      <c r="Y384" s="307">
        <f t="shared" si="174"/>
        <v>1000000000</v>
      </c>
      <c r="Z384" s="307">
        <f t="shared" si="175"/>
        <v>1084022700.25</v>
      </c>
      <c r="AB384" s="333">
        <f t="shared" si="176"/>
        <v>23.273392913138309</v>
      </c>
      <c r="AC384" s="334">
        <f t="shared" si="177"/>
        <v>-11.456889765303961</v>
      </c>
      <c r="AE384" s="333">
        <f t="shared" si="178"/>
        <v>21.000132871428654</v>
      </c>
      <c r="AF384" s="334">
        <f t="shared" si="179"/>
        <v>-95.809615986850318</v>
      </c>
      <c r="AH384">
        <f t="shared" si="180"/>
        <v>0</v>
      </c>
      <c r="AI384">
        <f t="shared" si="185"/>
        <v>0</v>
      </c>
    </row>
    <row r="385" spans="1:35" x14ac:dyDescent="0.2">
      <c r="A385" s="335">
        <v>33113</v>
      </c>
      <c r="B385" s="352">
        <f t="shared" si="181"/>
        <v>33.113</v>
      </c>
      <c r="C385" s="325">
        <f t="shared" si="156"/>
        <v>20.563111191035016</v>
      </c>
      <c r="D385" s="326">
        <f t="shared" si="157"/>
        <v>1.5221463647605122</v>
      </c>
      <c r="E385" s="326">
        <f t="shared" si="158"/>
        <v>1.0008653641886232</v>
      </c>
      <c r="F385" s="327">
        <f t="shared" si="159"/>
        <v>4.1587031707416074E-2</v>
      </c>
      <c r="G385" s="326">
        <f t="shared" si="160"/>
        <v>1</v>
      </c>
      <c r="H385" s="327">
        <f t="shared" si="161"/>
        <v>0</v>
      </c>
      <c r="I385" s="325">
        <f t="shared" si="162"/>
        <v>43949.547906087886</v>
      </c>
      <c r="J385" s="328">
        <f t="shared" si="163"/>
        <v>1.5707735734322859</v>
      </c>
      <c r="K385" s="336">
        <f t="shared" si="183"/>
        <v>8.3676098493193418</v>
      </c>
      <c r="L385" s="337">
        <f t="shared" si="184"/>
        <v>1.4510015674790624</v>
      </c>
      <c r="M385" s="325">
        <f t="shared" si="164"/>
        <v>1.0032055479369975</v>
      </c>
      <c r="N385" s="337">
        <f t="shared" si="165"/>
        <v>7.996259559237294E-2</v>
      </c>
      <c r="O385" s="343">
        <f t="shared" si="166"/>
        <v>1.0183440324131472</v>
      </c>
      <c r="P385" s="691">
        <f t="shared" si="167"/>
        <v>0.19009436288361006</v>
      </c>
      <c r="Q385" s="336">
        <f t="shared" si="182"/>
        <v>6.4479111591387843</v>
      </c>
      <c r="R385" s="692">
        <f t="shared" si="168"/>
        <v>0.21011031494735824</v>
      </c>
      <c r="S385" s="329">
        <f t="shared" si="169"/>
        <v>1.017854592525707</v>
      </c>
      <c r="T385" s="330">
        <f t="shared" si="170"/>
        <v>0.19274814396264514</v>
      </c>
      <c r="U385" s="331">
        <f t="shared" si="171"/>
        <v>1.4460665494093337</v>
      </c>
      <c r="V385" s="332">
        <f t="shared" si="172"/>
        <v>-108.46423565210323</v>
      </c>
      <c r="W385" s="334">
        <f t="shared" si="173"/>
        <v>71.535764347896773</v>
      </c>
      <c r="Y385" s="307">
        <f t="shared" si="174"/>
        <v>1000000000</v>
      </c>
      <c r="Z385" s="307">
        <f t="shared" si="175"/>
        <v>1096470769</v>
      </c>
      <c r="AB385" s="333">
        <f t="shared" si="176"/>
        <v>23.272366105099529</v>
      </c>
      <c r="AC385" s="334">
        <f t="shared" si="177"/>
        <v>-11.443949704366455</v>
      </c>
      <c r="AE385" s="333">
        <f t="shared" si="178"/>
        <v>20.94903425651718</v>
      </c>
      <c r="AF385" s="334">
        <f t="shared" si="179"/>
        <v>-95.873456370237363</v>
      </c>
      <c r="AH385">
        <f t="shared" si="180"/>
        <v>0</v>
      </c>
      <c r="AI385">
        <f t="shared" si="185"/>
        <v>0</v>
      </c>
    </row>
    <row r="386" spans="1:35" x14ac:dyDescent="0.2">
      <c r="A386" s="335">
        <v>33305.75</v>
      </c>
      <c r="B386" s="352">
        <f t="shared" si="181"/>
        <v>33.305750000000003</v>
      </c>
      <c r="C386" s="325">
        <f t="shared" si="156"/>
        <v>20.682526319852759</v>
      </c>
      <c r="D386" s="326">
        <f t="shared" si="157"/>
        <v>1.5224274759459839</v>
      </c>
      <c r="E386" s="326">
        <f t="shared" si="158"/>
        <v>1.000875463620974</v>
      </c>
      <c r="F386" s="327">
        <f t="shared" si="159"/>
        <v>4.1828827395250477E-2</v>
      </c>
      <c r="G386" s="326">
        <f t="shared" si="160"/>
        <v>1</v>
      </c>
      <c r="H386" s="327">
        <f t="shared" si="161"/>
        <v>0</v>
      </c>
      <c r="I386" s="325">
        <f t="shared" si="162"/>
        <v>44205.377198345472</v>
      </c>
      <c r="J386" s="328">
        <f t="shared" si="163"/>
        <v>1.5707737051125705</v>
      </c>
      <c r="K386" s="336">
        <f t="shared" si="183"/>
        <v>8.4156238394710723</v>
      </c>
      <c r="L386" s="337">
        <f t="shared" si="184"/>
        <v>1.4516882972279159</v>
      </c>
      <c r="M386" s="325">
        <f t="shared" si="164"/>
        <v>1.0032429149004778</v>
      </c>
      <c r="N386" s="337">
        <f t="shared" si="165"/>
        <v>8.0426057176439233E-2</v>
      </c>
      <c r="O386" s="343">
        <f t="shared" si="166"/>
        <v>1.01855626313892</v>
      </c>
      <c r="P386" s="691">
        <f t="shared" si="167"/>
        <v>0.19117420782384317</v>
      </c>
      <c r="Q386" s="336">
        <f t="shared" si="182"/>
        <v>6.4495284648283508</v>
      </c>
      <c r="R386" s="692">
        <f t="shared" si="168"/>
        <v>0.211298045635995</v>
      </c>
      <c r="S386" s="329">
        <f t="shared" si="169"/>
        <v>1.0180612162020872</v>
      </c>
      <c r="T386" s="330">
        <f t="shared" si="170"/>
        <v>0.19384450601315012</v>
      </c>
      <c r="U386" s="331">
        <f t="shared" si="171"/>
        <v>1.3926881102869084</v>
      </c>
      <c r="V386" s="332">
        <f t="shared" si="172"/>
        <v>-108.5227018018021</v>
      </c>
      <c r="W386" s="334">
        <f t="shared" si="173"/>
        <v>71.4772981981979</v>
      </c>
      <c r="Y386" s="307">
        <f t="shared" si="174"/>
        <v>1000000000</v>
      </c>
      <c r="Z386" s="307">
        <f t="shared" si="175"/>
        <v>1109272983.0625</v>
      </c>
      <c r="AB386" s="333">
        <f t="shared" si="176"/>
        <v>23.271326663878071</v>
      </c>
      <c r="AC386" s="334">
        <f t="shared" si="177"/>
        <v>-11.431164925534469</v>
      </c>
      <c r="AE386" s="333">
        <f t="shared" si="178"/>
        <v>20.897063617401539</v>
      </c>
      <c r="AF386" s="334">
        <f t="shared" si="179"/>
        <v>-95.938525900708044</v>
      </c>
      <c r="AH386">
        <f t="shared" si="180"/>
        <v>0</v>
      </c>
      <c r="AI386">
        <f t="shared" si="185"/>
        <v>0</v>
      </c>
    </row>
    <row r="387" spans="1:35" x14ac:dyDescent="0.2">
      <c r="A387" s="335">
        <v>33498.5</v>
      </c>
      <c r="B387" s="352">
        <f t="shared" si="181"/>
        <v>33.4985</v>
      </c>
      <c r="C387" s="325">
        <f t="shared" si="156"/>
        <v>20.801943064311164</v>
      </c>
      <c r="D387" s="326">
        <f t="shared" si="157"/>
        <v>1.5227053596294597</v>
      </c>
      <c r="E387" s="326">
        <f t="shared" si="158"/>
        <v>1.0008856215684807</v>
      </c>
      <c r="F387" s="327">
        <f t="shared" si="159"/>
        <v>4.2070618189271762E-2</v>
      </c>
      <c r="G387" s="326">
        <f t="shared" si="160"/>
        <v>1</v>
      </c>
      <c r="H387" s="327">
        <f t="shared" si="161"/>
        <v>0</v>
      </c>
      <c r="I387" s="325">
        <f t="shared" si="162"/>
        <v>44461.206490603814</v>
      </c>
      <c r="J387" s="328">
        <f t="shared" si="163"/>
        <v>1.5707738352774814</v>
      </c>
      <c r="K387" s="336">
        <f t="shared" si="183"/>
        <v>8.4636417533813191</v>
      </c>
      <c r="L387" s="337">
        <f t="shared" si="184"/>
        <v>1.4523672350619565</v>
      </c>
      <c r="M387" s="325">
        <f t="shared" si="164"/>
        <v>1.003280497341086</v>
      </c>
      <c r="N387" s="337">
        <f t="shared" si="165"/>
        <v>8.0889484137912818E-2</v>
      </c>
      <c r="O387" s="343">
        <f t="shared" si="166"/>
        <v>1.0187696810719449</v>
      </c>
      <c r="P387" s="691">
        <f t="shared" si="167"/>
        <v>0.19225360159759813</v>
      </c>
      <c r="Q387" s="336">
        <f t="shared" si="182"/>
        <v>6.4511547485653589</v>
      </c>
      <c r="R387" s="692">
        <f t="shared" si="168"/>
        <v>0.2124851829927695</v>
      </c>
      <c r="S387" s="329">
        <f t="shared" si="169"/>
        <v>1.0182689969801</v>
      </c>
      <c r="T387" s="330">
        <f t="shared" si="170"/>
        <v>0.19494043462746968</v>
      </c>
      <c r="U387" s="331">
        <f t="shared" si="171"/>
        <v>1.3395981045180791</v>
      </c>
      <c r="V387" s="332">
        <f t="shared" si="172"/>
        <v>-108.58139470339285</v>
      </c>
      <c r="W387" s="334">
        <f t="shared" si="173"/>
        <v>71.418605296607154</v>
      </c>
      <c r="Y387" s="307">
        <f t="shared" si="174"/>
        <v>1000000000</v>
      </c>
      <c r="Z387" s="307">
        <f t="shared" si="175"/>
        <v>1122149502.25</v>
      </c>
      <c r="AB387" s="333">
        <f t="shared" si="176"/>
        <v>23.270297576790931</v>
      </c>
      <c r="AC387" s="334">
        <f t="shared" si="177"/>
        <v>-11.418824519983131</v>
      </c>
      <c r="AE387" s="333">
        <f t="shared" si="178"/>
        <v>20.845372854577143</v>
      </c>
      <c r="AF387" s="334">
        <f t="shared" si="179"/>
        <v>-96.003385955266452</v>
      </c>
      <c r="AH387">
        <f t="shared" si="180"/>
        <v>0</v>
      </c>
      <c r="AI387">
        <f t="shared" si="185"/>
        <v>0</v>
      </c>
    </row>
    <row r="388" spans="1:35" x14ac:dyDescent="0.2">
      <c r="A388" s="335">
        <v>33691.25</v>
      </c>
      <c r="B388" s="352">
        <f t="shared" si="181"/>
        <v>33.691249999999997</v>
      </c>
      <c r="C388" s="325">
        <f t="shared" si="156"/>
        <v>20.92136139674454</v>
      </c>
      <c r="D388" s="326">
        <f t="shared" si="157"/>
        <v>1.5229800710350261</v>
      </c>
      <c r="E388" s="326">
        <f t="shared" si="158"/>
        <v>1.000895838029362</v>
      </c>
      <c r="F388" s="327">
        <f t="shared" si="159"/>
        <v>4.2312404061357833E-2</v>
      </c>
      <c r="G388" s="326">
        <f t="shared" si="160"/>
        <v>1</v>
      </c>
      <c r="H388" s="327">
        <f t="shared" si="161"/>
        <v>0</v>
      </c>
      <c r="I388" s="325">
        <f t="shared" si="162"/>
        <v>44717.035782862906</v>
      </c>
      <c r="J388" s="328">
        <f t="shared" si="163"/>
        <v>1.5707739639530272</v>
      </c>
      <c r="K388" s="336">
        <f t="shared" si="183"/>
        <v>8.5116635246433088</v>
      </c>
      <c r="L388" s="337">
        <f t="shared" si="184"/>
        <v>1.4530385122330145</v>
      </c>
      <c r="M388" s="325">
        <f t="shared" si="164"/>
        <v>1.0033182952346082</v>
      </c>
      <c r="N388" s="337">
        <f t="shared" si="165"/>
        <v>8.1352876281640257E-2</v>
      </c>
      <c r="O388" s="343">
        <f t="shared" si="166"/>
        <v>1.018984285466269</v>
      </c>
      <c r="P388" s="691">
        <f t="shared" si="167"/>
        <v>0.19333254197396407</v>
      </c>
      <c r="Q388" s="336">
        <f t="shared" si="182"/>
        <v>6.4527900035627797</v>
      </c>
      <c r="R388" s="692">
        <f t="shared" si="168"/>
        <v>0.2136717241854052</v>
      </c>
      <c r="S388" s="329">
        <f t="shared" si="169"/>
        <v>1.018477934153879</v>
      </c>
      <c r="T388" s="330">
        <f t="shared" si="170"/>
        <v>0.19603592765260799</v>
      </c>
      <c r="U388" s="331">
        <f t="shared" si="171"/>
        <v>1.2867929825862947</v>
      </c>
      <c r="V388" s="332">
        <f t="shared" si="172"/>
        <v>-108.64030983491338</v>
      </c>
      <c r="W388" s="334">
        <f t="shared" si="173"/>
        <v>71.359690165086619</v>
      </c>
      <c r="Y388" s="307">
        <f t="shared" si="174"/>
        <v>1000000000</v>
      </c>
      <c r="Z388" s="307">
        <f t="shared" si="175"/>
        <v>1135100326.5625</v>
      </c>
      <c r="AB388" s="333">
        <f t="shared" si="176"/>
        <v>23.26927856891183</v>
      </c>
      <c r="AC388" s="334">
        <f t="shared" si="177"/>
        <v>-11.406920957845223</v>
      </c>
      <c r="AE388" s="333">
        <f t="shared" si="178"/>
        <v>20.79395868801344</v>
      </c>
      <c r="AF388" s="334">
        <f t="shared" si="179"/>
        <v>-96.068039576273421</v>
      </c>
      <c r="AH388">
        <f t="shared" si="180"/>
        <v>0</v>
      </c>
      <c r="AI388">
        <f t="shared" si="185"/>
        <v>0</v>
      </c>
    </row>
    <row r="389" spans="1:35" x14ac:dyDescent="0.2">
      <c r="A389" s="335">
        <v>33884</v>
      </c>
      <c r="B389" s="352">
        <f t="shared" si="181"/>
        <v>33.884</v>
      </c>
      <c r="C389" s="325">
        <f t="shared" si="156"/>
        <v>21.040781290114932</v>
      </c>
      <c r="D389" s="326">
        <f t="shared" si="157"/>
        <v>1.5232516641349827</v>
      </c>
      <c r="E389" s="326">
        <f t="shared" si="158"/>
        <v>1.0009061130018255</v>
      </c>
      <c r="F389" s="327">
        <f t="shared" si="159"/>
        <v>4.2554184983390031E-2</v>
      </c>
      <c r="G389" s="326">
        <f t="shared" si="160"/>
        <v>1</v>
      </c>
      <c r="H389" s="327">
        <f t="shared" si="161"/>
        <v>0</v>
      </c>
      <c r="I389" s="325">
        <f t="shared" si="162"/>
        <v>44972.865075122725</v>
      </c>
      <c r="J389" s="328">
        <f t="shared" si="163"/>
        <v>1.5707740911646246</v>
      </c>
      <c r="K389" s="336">
        <f t="shared" si="183"/>
        <v>8.5596890883352277</v>
      </c>
      <c r="L389" s="337">
        <f t="shared" si="184"/>
        <v>1.4537022570752518</v>
      </c>
      <c r="M389" s="325">
        <f t="shared" si="164"/>
        <v>1.0033563085566954</v>
      </c>
      <c r="N389" s="337">
        <f t="shared" si="165"/>
        <v>8.1816233412557268E-2</v>
      </c>
      <c r="O389" s="343">
        <f t="shared" si="166"/>
        <v>1.0192000755724231</v>
      </c>
      <c r="P389" s="691">
        <f t="shared" si="167"/>
        <v>0.19441102672812638</v>
      </c>
      <c r="Q389" s="336">
        <f t="shared" si="182"/>
        <v>6.4544342230030409</v>
      </c>
      <c r="R389" s="692">
        <f t="shared" si="168"/>
        <v>0.21485766639111625</v>
      </c>
      <c r="S389" s="329">
        <f t="shared" si="169"/>
        <v>1.0186880270142109</v>
      </c>
      <c r="T389" s="330">
        <f t="shared" si="170"/>
        <v>0.19713098294128123</v>
      </c>
      <c r="U389" s="331">
        <f t="shared" si="171"/>
        <v>1.234269258570476</v>
      </c>
      <c r="V389" s="332">
        <f t="shared" si="172"/>
        <v>-108.69944277034223</v>
      </c>
      <c r="W389" s="334">
        <f t="shared" si="173"/>
        <v>71.30055722965777</v>
      </c>
      <c r="Y389" s="307">
        <f t="shared" si="174"/>
        <v>1000000000</v>
      </c>
      <c r="Z389" s="307">
        <f t="shared" si="175"/>
        <v>1148125456</v>
      </c>
      <c r="AB389" s="333">
        <f t="shared" si="176"/>
        <v>23.268269373018839</v>
      </c>
      <c r="AC389" s="334">
        <f t="shared" si="177"/>
        <v>-11.395446876394811</v>
      </c>
      <c r="AE389" s="333">
        <f t="shared" si="178"/>
        <v>20.742817893552512</v>
      </c>
      <c r="AF389" s="334">
        <f t="shared" si="179"/>
        <v>-96.132489734694687</v>
      </c>
      <c r="AH389">
        <f t="shared" si="180"/>
        <v>0</v>
      </c>
      <c r="AI389">
        <f t="shared" si="185"/>
        <v>0</v>
      </c>
    </row>
    <row r="390" spans="1:35" x14ac:dyDescent="0.2">
      <c r="A390" s="335">
        <v>34081.5</v>
      </c>
      <c r="B390" s="352">
        <f t="shared" si="181"/>
        <v>34.081499999999998</v>
      </c>
      <c r="C390" s="325">
        <f t="shared" si="156"/>
        <v>21.163145677652153</v>
      </c>
      <c r="D390" s="326">
        <f t="shared" si="157"/>
        <v>1.5235267708338678</v>
      </c>
      <c r="E390" s="326">
        <f t="shared" si="158"/>
        <v>1.0009167018740714</v>
      </c>
      <c r="F390" s="327">
        <f t="shared" si="159"/>
        <v>4.2801919026203457E-2</v>
      </c>
      <c r="G390" s="326">
        <f t="shared" si="160"/>
        <v>1</v>
      </c>
      <c r="H390" s="327">
        <f t="shared" si="161"/>
        <v>0</v>
      </c>
      <c r="I390" s="325">
        <f t="shared" si="162"/>
        <v>45234.998850590731</v>
      </c>
      <c r="J390" s="328">
        <f t="shared" si="163"/>
        <v>1.5707742200186063</v>
      </c>
      <c r="K390" s="336">
        <f t="shared" si="183"/>
        <v>8.6089020287718956</v>
      </c>
      <c r="L390" s="337">
        <f t="shared" si="184"/>
        <v>1.4543746769711572</v>
      </c>
      <c r="M390" s="325">
        <f t="shared" si="164"/>
        <v>1.003395482084942</v>
      </c>
      <c r="N390" s="337">
        <f t="shared" si="165"/>
        <v>8.2290972680102353E-2</v>
      </c>
      <c r="O390" s="343">
        <f t="shared" si="166"/>
        <v>1.0194224125775015</v>
      </c>
      <c r="P390" s="691">
        <f t="shared" si="167"/>
        <v>0.19551561400472525</v>
      </c>
      <c r="Q390" s="336">
        <f t="shared" si="182"/>
        <v>6.4561282528432979</v>
      </c>
      <c r="R390" s="692">
        <f t="shared" si="168"/>
        <v>0.21607220989816961</v>
      </c>
      <c r="S390" s="329">
        <f t="shared" si="169"/>
        <v>1.0189044952724127</v>
      </c>
      <c r="T390" s="330">
        <f t="shared" si="170"/>
        <v>0.19825256773837302</v>
      </c>
      <c r="U390" s="331">
        <f t="shared" si="171"/>
        <v>1.1807394806101721</v>
      </c>
      <c r="V390" s="332">
        <f t="shared" si="172"/>
        <v>-108.7602543283471</v>
      </c>
      <c r="W390" s="334">
        <f t="shared" si="173"/>
        <v>71.239745671652898</v>
      </c>
      <c r="Y390" s="307">
        <f t="shared" si="174"/>
        <v>1000000000</v>
      </c>
      <c r="Z390" s="307">
        <f t="shared" si="175"/>
        <v>1161548642.25</v>
      </c>
      <c r="AB390" s="333">
        <f t="shared" si="176"/>
        <v>23.26724521323127</v>
      </c>
      <c r="AC390" s="334">
        <f t="shared" si="177"/>
        <v>-11.384127993474673</v>
      </c>
      <c r="AE390" s="333">
        <f t="shared" si="178"/>
        <v>20.690697066093197</v>
      </c>
      <c r="AF390" s="334">
        <f t="shared" si="179"/>
        <v>-96.19832014767627</v>
      </c>
      <c r="AH390">
        <f t="shared" si="180"/>
        <v>0</v>
      </c>
      <c r="AI390">
        <f t="shared" si="185"/>
        <v>0</v>
      </c>
    </row>
    <row r="391" spans="1:35" x14ac:dyDescent="0.2">
      <c r="A391" s="335">
        <v>34279</v>
      </c>
      <c r="B391" s="352">
        <f t="shared" si="181"/>
        <v>34.279000000000003</v>
      </c>
      <c r="C391" s="325">
        <f t="shared" si="156"/>
        <v>21.285511648478881</v>
      </c>
      <c r="D391" s="326">
        <f t="shared" si="157"/>
        <v>1.5237987144909719</v>
      </c>
      <c r="E391" s="326">
        <f t="shared" si="158"/>
        <v>1.0009273521734317</v>
      </c>
      <c r="F391" s="327">
        <f t="shared" si="159"/>
        <v>4.3049647812225818E-2</v>
      </c>
      <c r="G391" s="326">
        <f t="shared" si="160"/>
        <v>1</v>
      </c>
      <c r="H391" s="327">
        <f t="shared" si="161"/>
        <v>0</v>
      </c>
      <c r="I391" s="325">
        <f t="shared" si="162"/>
        <v>45497.13262605948</v>
      </c>
      <c r="J391" s="328">
        <f t="shared" si="163"/>
        <v>1.570774347387792</v>
      </c>
      <c r="K391" s="336">
        <f t="shared" si="183"/>
        <v>8.6581188174596893</v>
      </c>
      <c r="L391" s="337">
        <f t="shared" si="184"/>
        <v>1.4550394524676944</v>
      </c>
      <c r="M391" s="325">
        <f t="shared" si="164"/>
        <v>1.0034348817381387</v>
      </c>
      <c r="N391" s="337">
        <f t="shared" si="165"/>
        <v>8.2765674773558631E-2</v>
      </c>
      <c r="O391" s="343">
        <f t="shared" si="166"/>
        <v>1.019645992849852</v>
      </c>
      <c r="P391" s="691">
        <f t="shared" si="167"/>
        <v>0.19661971821685403</v>
      </c>
      <c r="Q391" s="336">
        <f t="shared" si="182"/>
        <v>6.4578316798081312</v>
      </c>
      <c r="R391" s="692">
        <f t="shared" si="168"/>
        <v>0.21728611856288102</v>
      </c>
      <c r="S391" s="329">
        <f t="shared" si="169"/>
        <v>1.0191221753606439</v>
      </c>
      <c r="T391" s="330">
        <f t="shared" si="170"/>
        <v>0.19937368841268704</v>
      </c>
      <c r="U391" s="331">
        <f t="shared" si="171"/>
        <v>1.1274979289684914</v>
      </c>
      <c r="V391" s="332">
        <f t="shared" si="172"/>
        <v>-108.82128544692159</v>
      </c>
      <c r="W391" s="334">
        <f t="shared" si="173"/>
        <v>71.178714553078407</v>
      </c>
      <c r="Y391" s="307">
        <f t="shared" si="174"/>
        <v>1000000000</v>
      </c>
      <c r="Z391" s="307">
        <f t="shared" si="175"/>
        <v>1175049841</v>
      </c>
      <c r="AB391" s="333">
        <f t="shared" si="176"/>
        <v>23.26623081066732</v>
      </c>
      <c r="AC391" s="334">
        <f t="shared" si="177"/>
        <v>-11.37324488738478</v>
      </c>
      <c r="AE391" s="333">
        <f t="shared" si="178"/>
        <v>20.638856571358804</v>
      </c>
      <c r="AF391" s="334">
        <f t="shared" si="179"/>
        <v>-96.26394304062876</v>
      </c>
      <c r="AH391">
        <f t="shared" si="180"/>
        <v>0</v>
      </c>
      <c r="AI391">
        <f t="shared" si="185"/>
        <v>0</v>
      </c>
    </row>
    <row r="392" spans="1:35" x14ac:dyDescent="0.2">
      <c r="A392" s="335">
        <v>34476.5</v>
      </c>
      <c r="B392" s="352">
        <f t="shared" si="181"/>
        <v>34.476500000000001</v>
      </c>
      <c r="C392" s="325">
        <f t="shared" si="156"/>
        <v>21.407879175445196</v>
      </c>
      <c r="D392" s="326">
        <f t="shared" si="157"/>
        <v>1.524067549305604</v>
      </c>
      <c r="E392" s="326">
        <f t="shared" si="158"/>
        <v>1.0009380638979448</v>
      </c>
      <c r="F392" s="327">
        <f t="shared" si="159"/>
        <v>4.3297371311219399E-2</v>
      </c>
      <c r="G392" s="326">
        <f t="shared" si="160"/>
        <v>1</v>
      </c>
      <c r="H392" s="327">
        <f t="shared" si="161"/>
        <v>0</v>
      </c>
      <c r="I392" s="325">
        <f t="shared" si="162"/>
        <v>45759.266401528963</v>
      </c>
      <c r="J392" s="328">
        <f t="shared" si="163"/>
        <v>1.5707744732976987</v>
      </c>
      <c r="K392" s="336">
        <f t="shared" si="183"/>
        <v>8.7073393891437991</v>
      </c>
      <c r="L392" s="337">
        <f t="shared" si="184"/>
        <v>1.4556967126083151</v>
      </c>
      <c r="M392" s="325">
        <f t="shared" si="164"/>
        <v>1.0034745074896505</v>
      </c>
      <c r="N392" s="337">
        <f t="shared" si="165"/>
        <v>8.324033948337678E-2</v>
      </c>
      <c r="O392" s="343">
        <f t="shared" si="166"/>
        <v>1.0198708155718124</v>
      </c>
      <c r="P392" s="691">
        <f t="shared" si="167"/>
        <v>0.19772333699119182</v>
      </c>
      <c r="Q392" s="336">
        <f t="shared" si="182"/>
        <v>6.4595444964645221</v>
      </c>
      <c r="R392" s="692">
        <f t="shared" si="168"/>
        <v>0.21849938937979541</v>
      </c>
      <c r="S392" s="329">
        <f t="shared" si="169"/>
        <v>1.0193410665050964</v>
      </c>
      <c r="T392" s="330">
        <f t="shared" si="170"/>
        <v>0.20049434267304631</v>
      </c>
      <c r="U392" s="331">
        <f t="shared" si="171"/>
        <v>1.0745410516159122</v>
      </c>
      <c r="V392" s="332">
        <f t="shared" si="172"/>
        <v>-108.88253166150713</v>
      </c>
      <c r="W392" s="334">
        <f t="shared" si="173"/>
        <v>71.11746833849287</v>
      </c>
      <c r="Y392" s="307">
        <f t="shared" si="174"/>
        <v>1000000000</v>
      </c>
      <c r="Z392" s="307">
        <f t="shared" si="175"/>
        <v>1188629052.25</v>
      </c>
      <c r="AB392" s="333">
        <f t="shared" si="176"/>
        <v>23.265225901379768</v>
      </c>
      <c r="AC392" s="334">
        <f t="shared" si="177"/>
        <v>-11.362790153935727</v>
      </c>
      <c r="AE392" s="333">
        <f t="shared" si="178"/>
        <v>20.587293115335502</v>
      </c>
      <c r="AF392" s="334">
        <f t="shared" si="179"/>
        <v>-96.329361389401484</v>
      </c>
      <c r="AH392">
        <f t="shared" si="180"/>
        <v>0</v>
      </c>
      <c r="AI392">
        <f t="shared" si="185"/>
        <v>0</v>
      </c>
    </row>
    <row r="393" spans="1:35" x14ac:dyDescent="0.2">
      <c r="A393" s="335">
        <v>34674</v>
      </c>
      <c r="B393" s="352">
        <f t="shared" si="181"/>
        <v>34.673999999999999</v>
      </c>
      <c r="C393" s="325">
        <f t="shared" si="156"/>
        <v>21.53024823201806</v>
      </c>
      <c r="D393" s="326">
        <f t="shared" si="157"/>
        <v>1.5243333282467078</v>
      </c>
      <c r="E393" s="326">
        <f t="shared" si="158"/>
        <v>1.0009488370456392</v>
      </c>
      <c r="F393" s="327">
        <f t="shared" si="159"/>
        <v>4.3545089492950377E-2</v>
      </c>
      <c r="G393" s="326">
        <f t="shared" si="160"/>
        <v>1</v>
      </c>
      <c r="H393" s="327">
        <f t="shared" si="161"/>
        <v>0</v>
      </c>
      <c r="I393" s="325">
        <f t="shared" si="162"/>
        <v>46021.400176999152</v>
      </c>
      <c r="J393" s="328">
        <f t="shared" si="163"/>
        <v>1.5707745977732626</v>
      </c>
      <c r="K393" s="336">
        <f t="shared" si="183"/>
        <v>8.7565636800316611</v>
      </c>
      <c r="L393" s="337">
        <f t="shared" si="184"/>
        <v>1.4563465835611513</v>
      </c>
      <c r="M393" s="325">
        <f t="shared" si="164"/>
        <v>1.0035143593126938</v>
      </c>
      <c r="N393" s="337">
        <f t="shared" si="165"/>
        <v>8.371496660010784E-2</v>
      </c>
      <c r="O393" s="343">
        <f t="shared" si="166"/>
        <v>1.0200968799218986</v>
      </c>
      <c r="P393" s="691">
        <f t="shared" si="167"/>
        <v>0.19882646796123427</v>
      </c>
      <c r="Q393" s="336">
        <f t="shared" si="182"/>
        <v>6.4612666953463833</v>
      </c>
      <c r="R393" s="692">
        <f t="shared" si="168"/>
        <v>0.21971201935405096</v>
      </c>
      <c r="S393" s="329">
        <f t="shared" si="169"/>
        <v>1.0195611679283241</v>
      </c>
      <c r="T393" s="330">
        <f t="shared" si="170"/>
        <v>0.20161452823466247</v>
      </c>
      <c r="U393" s="331">
        <f t="shared" si="171"/>
        <v>1.0218653601848462</v>
      </c>
      <c r="V393" s="332">
        <f t="shared" si="172"/>
        <v>-108.94398860234858</v>
      </c>
      <c r="W393" s="334">
        <f t="shared" si="173"/>
        <v>71.056011397651417</v>
      </c>
      <c r="Y393" s="307">
        <f t="shared" si="174"/>
        <v>1000000000</v>
      </c>
      <c r="Z393" s="307">
        <f t="shared" si="175"/>
        <v>1202286276</v>
      </c>
      <c r="AB393" s="333">
        <f t="shared" si="176"/>
        <v>23.264230228834194</v>
      </c>
      <c r="AC393" s="334">
        <f t="shared" si="177"/>
        <v>-11.352756553654219</v>
      </c>
      <c r="AE393" s="333">
        <f t="shared" si="178"/>
        <v>20.536003460239076</v>
      </c>
      <c r="AF393" s="334">
        <f t="shared" si="179"/>
        <v>-96.394578099714977</v>
      </c>
      <c r="AH393">
        <f t="shared" si="180"/>
        <v>0</v>
      </c>
      <c r="AI393">
        <f t="shared" si="185"/>
        <v>0</v>
      </c>
    </row>
    <row r="394" spans="1:35" x14ac:dyDescent="0.2">
      <c r="A394" s="335">
        <v>34875.75</v>
      </c>
      <c r="B394" s="352">
        <f t="shared" si="181"/>
        <v>34.875749999999996</v>
      </c>
      <c r="C394" s="325">
        <f t="shared" si="156"/>
        <v>21.655252099138966</v>
      </c>
      <c r="D394" s="326">
        <f t="shared" si="157"/>
        <v>1.524601725094785</v>
      </c>
      <c r="E394" s="326">
        <f t="shared" si="158"/>
        <v>1.0009599054385498</v>
      </c>
      <c r="F394" s="327">
        <f t="shared" si="159"/>
        <v>4.3798132797534882E-2</v>
      </c>
      <c r="G394" s="326">
        <f t="shared" si="160"/>
        <v>1</v>
      </c>
      <c r="H394" s="327">
        <f t="shared" si="161"/>
        <v>0</v>
      </c>
      <c r="I394" s="325">
        <f t="shared" si="162"/>
        <v>46289.174805866271</v>
      </c>
      <c r="J394" s="328">
        <f t="shared" si="163"/>
        <v>1.5707747234717813</v>
      </c>
      <c r="K394" s="336">
        <f t="shared" si="183"/>
        <v>8.806851003074387</v>
      </c>
      <c r="L394" s="337">
        <f t="shared" si="184"/>
        <v>1.4570029379497544</v>
      </c>
      <c r="M394" s="325">
        <f t="shared" si="164"/>
        <v>1.0035553020997243</v>
      </c>
      <c r="N394" s="337">
        <f t="shared" si="165"/>
        <v>8.4199768178813181E-2</v>
      </c>
      <c r="O394" s="343">
        <f t="shared" si="166"/>
        <v>1.0203290900830932</v>
      </c>
      <c r="P394" s="691">
        <f t="shared" si="167"/>
        <v>0.19995283107602285</v>
      </c>
      <c r="Q394" s="336">
        <f t="shared" si="182"/>
        <v>6.4630356336474151</v>
      </c>
      <c r="R394" s="692">
        <f t="shared" si="168"/>
        <v>0.22095007911761363</v>
      </c>
      <c r="S394" s="329">
        <f t="shared" si="169"/>
        <v>1.0197872545239792</v>
      </c>
      <c r="T394" s="330">
        <f t="shared" si="170"/>
        <v>0.20275833274976846</v>
      </c>
      <c r="U394" s="331">
        <f t="shared" si="171"/>
        <v>0.9683429058603743</v>
      </c>
      <c r="V394" s="332">
        <f t="shared" si="172"/>
        <v>-109.00698116355117</v>
      </c>
      <c r="W394" s="334">
        <f t="shared" si="173"/>
        <v>70.993018836448826</v>
      </c>
      <c r="Y394" s="307">
        <f t="shared" si="174"/>
        <v>1000000000</v>
      </c>
      <c r="Z394" s="307">
        <f t="shared" si="175"/>
        <v>1216317938.0625</v>
      </c>
      <c r="AB394" s="333">
        <f t="shared" si="176"/>
        <v>23.263222408168488</v>
      </c>
      <c r="AC394" s="334">
        <f t="shared" si="177"/>
        <v>-11.342934503666855</v>
      </c>
      <c r="AE394" s="333">
        <f t="shared" si="178"/>
        <v>20.483889496341654</v>
      </c>
      <c r="AF394" s="334">
        <f t="shared" si="179"/>
        <v>-96.460992964337137</v>
      </c>
      <c r="AH394">
        <f t="shared" si="180"/>
        <v>0</v>
      </c>
      <c r="AI394">
        <f t="shared" si="185"/>
        <v>0</v>
      </c>
    </row>
    <row r="395" spans="1:35" x14ac:dyDescent="0.2">
      <c r="A395" s="335">
        <v>35077.5</v>
      </c>
      <c r="B395" s="352">
        <f t="shared" si="181"/>
        <v>35.077500000000001</v>
      </c>
      <c r="C395" s="325">
        <f t="shared" si="156"/>
        <v>21.780257508329939</v>
      </c>
      <c r="D395" s="326">
        <f t="shared" si="157"/>
        <v>1.5248670410930001</v>
      </c>
      <c r="E395" s="326">
        <f t="shared" si="158"/>
        <v>1.0009710379224181</v>
      </c>
      <c r="F395" s="327">
        <f t="shared" si="159"/>
        <v>4.4051170489785837E-2</v>
      </c>
      <c r="G395" s="326">
        <f t="shared" si="160"/>
        <v>1</v>
      </c>
      <c r="H395" s="327">
        <f t="shared" si="161"/>
        <v>0</v>
      </c>
      <c r="I395" s="325">
        <f t="shared" si="162"/>
        <v>46556.94943473411</v>
      </c>
      <c r="J395" s="328">
        <f t="shared" si="163"/>
        <v>1.5707748477243773</v>
      </c>
      <c r="K395" s="336">
        <f t="shared" si="183"/>
        <v>8.8571420770354692</v>
      </c>
      <c r="L395" s="337">
        <f t="shared" si="184"/>
        <v>1.4576518390220374</v>
      </c>
      <c r="M395" s="325">
        <f t="shared" si="164"/>
        <v>1.0035964807356603</v>
      </c>
      <c r="N395" s="337">
        <f t="shared" si="165"/>
        <v>8.4684530087592039E-2</v>
      </c>
      <c r="O395" s="343">
        <f t="shared" si="166"/>
        <v>1.0205625941395162</v>
      </c>
      <c r="P395" s="691">
        <f t="shared" si="167"/>
        <v>0.2010786801963329</v>
      </c>
      <c r="Q395" s="336">
        <f t="shared" si="182"/>
        <v>6.4648143464562438</v>
      </c>
      <c r="R395" s="692">
        <f t="shared" si="168"/>
        <v>0.22218746387759833</v>
      </c>
      <c r="S395" s="329">
        <f t="shared" si="169"/>
        <v>1.0200146023952557</v>
      </c>
      <c r="T395" s="330">
        <f t="shared" si="170"/>
        <v>0.20390164337806627</v>
      </c>
      <c r="U395" s="331">
        <f t="shared" si="171"/>
        <v>0.91510670748074829</v>
      </c>
      <c r="V395" s="332">
        <f t="shared" si="172"/>
        <v>-109.07018469165507</v>
      </c>
      <c r="W395" s="334">
        <f t="shared" si="173"/>
        <v>70.929815308344928</v>
      </c>
      <c r="Y395" s="307">
        <f t="shared" si="174"/>
        <v>1000000000</v>
      </c>
      <c r="Z395" s="307">
        <f t="shared" si="175"/>
        <v>1230431006.25</v>
      </c>
      <c r="AB395" s="333">
        <f t="shared" si="176"/>
        <v>23.262223707507189</v>
      </c>
      <c r="AC395" s="334">
        <f t="shared" si="177"/>
        <v>-11.333537141483868</v>
      </c>
      <c r="AE395" s="333">
        <f t="shared" si="178"/>
        <v>20.432054588069999</v>
      </c>
      <c r="AF395" s="334">
        <f t="shared" si="179"/>
        <v>-96.527203333198031</v>
      </c>
      <c r="AH395">
        <f t="shared" si="180"/>
        <v>0</v>
      </c>
      <c r="AI395">
        <f t="shared" si="185"/>
        <v>0</v>
      </c>
    </row>
    <row r="396" spans="1:35" x14ac:dyDescent="0.2">
      <c r="A396" s="335">
        <v>35279.25</v>
      </c>
      <c r="B396" s="352">
        <f t="shared" si="181"/>
        <v>35.279249999999998</v>
      </c>
      <c r="C396" s="325">
        <f t="shared" si="156"/>
        <v>21.905264433190869</v>
      </c>
      <c r="D396" s="326">
        <f t="shared" si="157"/>
        <v>1.5251293289481995</v>
      </c>
      <c r="E396" s="326">
        <f t="shared" si="158"/>
        <v>1.0009822344951058</v>
      </c>
      <c r="F396" s="327">
        <f t="shared" si="159"/>
        <v>4.4304202537487986E-2</v>
      </c>
      <c r="G396" s="326">
        <f t="shared" si="160"/>
        <v>1</v>
      </c>
      <c r="H396" s="327">
        <f t="shared" si="161"/>
        <v>0</v>
      </c>
      <c r="I396" s="325">
        <f t="shared" si="162"/>
        <v>46824.724063602669</v>
      </c>
      <c r="J396" s="328">
        <f t="shared" si="163"/>
        <v>1.5707749705558567</v>
      </c>
      <c r="K396" s="336">
        <f t="shared" si="183"/>
        <v>8.9074368383822495</v>
      </c>
      <c r="L396" s="337">
        <f t="shared" si="184"/>
        <v>1.4582934124795894</v>
      </c>
      <c r="M396" s="325">
        <f t="shared" si="164"/>
        <v>1.0036378951914711</v>
      </c>
      <c r="N396" s="337">
        <f t="shared" si="165"/>
        <v>8.5169252103509008E-2</v>
      </c>
      <c r="O396" s="343">
        <f t="shared" si="166"/>
        <v>1.0207973912032442</v>
      </c>
      <c r="P396" s="691">
        <f t="shared" si="167"/>
        <v>0.20220401282176223</v>
      </c>
      <c r="Q396" s="336">
        <f t="shared" si="182"/>
        <v>6.4666028257084536</v>
      </c>
      <c r="R396" s="692">
        <f t="shared" si="168"/>
        <v>0.22342417047606228</v>
      </c>
      <c r="S396" s="329">
        <f t="shared" si="169"/>
        <v>1.0202432107017565</v>
      </c>
      <c r="T396" s="330">
        <f t="shared" si="170"/>
        <v>0.20504445770486948</v>
      </c>
      <c r="U396" s="331">
        <f t="shared" si="171"/>
        <v>0.86215324271917004</v>
      </c>
      <c r="V396" s="332">
        <f t="shared" si="172"/>
        <v>-109.13359481883761</v>
      </c>
      <c r="W396" s="334">
        <f t="shared" si="173"/>
        <v>70.866405181162392</v>
      </c>
      <c r="Y396" s="307">
        <f t="shared" si="174"/>
        <v>1000000000</v>
      </c>
      <c r="Z396" s="307">
        <f t="shared" si="175"/>
        <v>1244625480.5625</v>
      </c>
      <c r="AB396" s="333">
        <f t="shared" si="176"/>
        <v>23.26123387578486</v>
      </c>
      <c r="AC396" s="334">
        <f t="shared" si="177"/>
        <v>-11.324557253582739</v>
      </c>
      <c r="AE396" s="333">
        <f t="shared" si="178"/>
        <v>20.380495457757423</v>
      </c>
      <c r="AF396" s="334">
        <f t="shared" si="179"/>
        <v>-96.593212089671951</v>
      </c>
      <c r="AH396">
        <f t="shared" si="180"/>
        <v>0</v>
      </c>
      <c r="AI396">
        <f t="shared" si="185"/>
        <v>0</v>
      </c>
    </row>
    <row r="397" spans="1:35" x14ac:dyDescent="0.2">
      <c r="A397" s="335">
        <v>35481</v>
      </c>
      <c r="B397" s="352">
        <f t="shared" si="181"/>
        <v>35.481000000000002</v>
      </c>
      <c r="C397" s="325">
        <f t="shared" ref="C397:C460" si="186">SQRT(1+(A397/pole1)^2)</f>
        <v>22.030272847920546</v>
      </c>
      <c r="D397" s="326">
        <f t="shared" ref="D397:D460" si="187">ATAN(A397/pole1)</f>
        <v>1.5253886401726</v>
      </c>
      <c r="E397" s="326">
        <f t="shared" ref="E397:E460" si="188">SQRT(1+(A397/Zero1)^2)</f>
        <v>1.0009934951544626</v>
      </c>
      <c r="F397" s="327">
        <f t="shared" ref="F397:F460" si="189">ATAN(A397/Zero1)</f>
        <v>4.4557228908430446E-2</v>
      </c>
      <c r="G397" s="326">
        <f t="shared" ref="G397:G460" si="190">IF(VIN_nom&gt;Vout, 1, SQRT(1+(A397/z_RHP)^2))</f>
        <v>1</v>
      </c>
      <c r="H397" s="327">
        <f t="shared" ref="H397:H460" si="191">IF(VIN_nom&gt;Vout, 0, -ATAN(A397/z_RHP))</f>
        <v>0</v>
      </c>
      <c r="I397" s="325">
        <f t="shared" ref="I397:I460" si="192">SQRT(1+(A397/Pole2)^2)</f>
        <v>47092.498692471912</v>
      </c>
      <c r="J397" s="328">
        <f t="shared" ref="J397:J460" si="193">ATAN(A397/Pole2)</f>
        <v>1.5707750919904619</v>
      </c>
      <c r="K397" s="336">
        <f t="shared" si="183"/>
        <v>8.9577352250043241</v>
      </c>
      <c r="L397" s="337">
        <f t="shared" si="184"/>
        <v>1.4589277812251429</v>
      </c>
      <c r="M397" s="325">
        <f t="shared" ref="M397:M460" si="194">SQRT(1+(A397/pole4)^2)</f>
        <v>1.0036795454379652</v>
      </c>
      <c r="N397" s="337">
        <f t="shared" ref="N397:N460" si="195">ATAN(A397/pole4)</f>
        <v>8.5653934003740342E-2</v>
      </c>
      <c r="O397" s="343">
        <f t="shared" ref="O397:O460" si="196">IF(VOUT_setting=1,1,SQRT(1+(A397*zterm1)^2))</f>
        <v>1.0210334803822569</v>
      </c>
      <c r="P397" s="691">
        <f t="shared" ref="P397:P460" si="197">IF(VOUT_setting=1,0,ATAN(((A397*zterm1))))</f>
        <v>0.20332882645943501</v>
      </c>
      <c r="Q397" s="336">
        <f t="shared" si="182"/>
        <v>6.4684010633042917</v>
      </c>
      <c r="R397" s="692">
        <f t="shared" ref="R397:R460" si="198">IF(VOUT_setting=1,0,ATAN(A397*$Q$4/(1+Afbr-$Q$5*(A397)^2)))</f>
        <v>0.22466019576673663</v>
      </c>
      <c r="S397" s="329">
        <f t="shared" ref="S397:S460" si="199">SQRT((1-(Z397/pterm2))^2+(A397/pterm1)^2)</f>
        <v>1.0204730785991813</v>
      </c>
      <c r="T397" s="330">
        <f t="shared" ref="T397:T460" si="200">IF((ATAN((A397/pterm1)/(1-A397^2/pterm2))&gt;0),ATAN((A397/pterm1)/(1-A397^2/pterm2)),PI()+ATAN((A397/pterm1)/(1-A397^2/pterm2)))</f>
        <v>0.20618677332254737</v>
      </c>
      <c r="U397" s="331">
        <f t="shared" ref="U397:U460" si="201">20*LOG10(((E397*K397*G397*O397)/(C397*I397*S397*M397*Q397))*Adc)</f>
        <v>0.80947905221485694</v>
      </c>
      <c r="V397" s="332">
        <f t="shared" ref="V397:V460" si="202">((F397+L397+H397+P397)-(D397+J397+T397+N397+R397))*radconv</f>
        <v>-109.19720726980756</v>
      </c>
      <c r="W397" s="334">
        <f t="shared" ref="W397:W460" si="203">IF(V397&gt;0,V397,V397+180)</f>
        <v>70.802792730192436</v>
      </c>
      <c r="Y397" s="307">
        <f t="shared" ref="Y397:Y460" si="204">IF(U397&lt;0,A397,1000000000)</f>
        <v>1000000000</v>
      </c>
      <c r="Z397" s="307">
        <f t="shared" ref="Z397:Z460" si="205">A397^2</f>
        <v>1258901361</v>
      </c>
      <c r="AB397" s="333">
        <f t="shared" ref="AB397:AB460" si="206">20*LOG10((K397/(I397*M397))*AEA)</f>
        <v>23.260252668981277</v>
      </c>
      <c r="AC397" s="334">
        <f t="shared" ref="AC397:AC460" si="207">(L397-(J397+N397))*radconv</f>
        <v>-11.315987786777731</v>
      </c>
      <c r="AE397" s="333">
        <f t="shared" ref="AE397:AE460" si="208">20*LOG10((E397*G397/(C397*S397))*Acs*Am)</f>
        <v>20.329208883637694</v>
      </c>
      <c r="AF397" s="334">
        <f t="shared" ref="AF397:AF460" si="209">(F397+H397-(D397+T397))*radconv</f>
        <v>-96.65902204908997</v>
      </c>
      <c r="AH397">
        <f t="shared" ref="AH397:AH460" si="210">SUM((U398&lt;0)*(U397&gt;0))*A397</f>
        <v>0</v>
      </c>
      <c r="AI397">
        <f t="shared" si="185"/>
        <v>0</v>
      </c>
    </row>
    <row r="398" spans="1:35" x14ac:dyDescent="0.2">
      <c r="A398" s="335">
        <v>35687.75</v>
      </c>
      <c r="B398" s="352">
        <f t="shared" ref="B398:B461" si="211">A398/1000</f>
        <v>35.687750000000001</v>
      </c>
      <c r="C398" s="325">
        <f t="shared" si="186"/>
        <v>22.158380883961009</v>
      </c>
      <c r="D398" s="326">
        <f t="shared" si="187"/>
        <v>1.5256513424076308</v>
      </c>
      <c r="E398" s="326">
        <f t="shared" si="188"/>
        <v>1.001005101374892</v>
      </c>
      <c r="F398" s="327">
        <f t="shared" si="189"/>
        <v>4.4816520146010459E-2</v>
      </c>
      <c r="G398" s="326">
        <f t="shared" si="190"/>
        <v>1</v>
      </c>
      <c r="H398" s="327">
        <f t="shared" si="191"/>
        <v>0</v>
      </c>
      <c r="I398" s="325">
        <f t="shared" si="192"/>
        <v>47366.909619455117</v>
      </c>
      <c r="J398" s="328">
        <f t="shared" si="193"/>
        <v>1.5707752150101484</v>
      </c>
      <c r="K398" s="336">
        <f t="shared" si="183"/>
        <v>9.009283861600764</v>
      </c>
      <c r="L398" s="337">
        <f t="shared" si="184"/>
        <v>1.4595705225655207</v>
      </c>
      <c r="M398" s="325">
        <f t="shared" si="194"/>
        <v>1.0037224725065022</v>
      </c>
      <c r="N398" s="337">
        <f t="shared" si="195"/>
        <v>8.6150585994714368E-2</v>
      </c>
      <c r="O398" s="343">
        <f t="shared" si="196"/>
        <v>1.0212767602029313</v>
      </c>
      <c r="P398" s="691">
        <f t="shared" si="197"/>
        <v>0.20448097547926056</v>
      </c>
      <c r="Q398" s="336">
        <f t="shared" si="182"/>
        <v>6.4702539824820011</v>
      </c>
      <c r="R398" s="692">
        <f t="shared" si="198"/>
        <v>0.22592614353116669</v>
      </c>
      <c r="S398" s="329">
        <f t="shared" si="199"/>
        <v>1.0207099492620171</v>
      </c>
      <c r="T398" s="330">
        <f t="shared" si="200"/>
        <v>0.20735687920391488</v>
      </c>
      <c r="U398" s="331">
        <f t="shared" si="201"/>
        <v>0.75578561747203543</v>
      </c>
      <c r="V398" s="332">
        <f t="shared" si="202"/>
        <v>-109.26260176736186</v>
      </c>
      <c r="W398" s="334">
        <f t="shared" si="203"/>
        <v>70.737398232638142</v>
      </c>
      <c r="Y398" s="307">
        <f t="shared" si="204"/>
        <v>1000000000</v>
      </c>
      <c r="Z398" s="307">
        <f t="shared" si="205"/>
        <v>1273615500.0625</v>
      </c>
      <c r="AB398" s="333">
        <f t="shared" si="206"/>
        <v>23.259255844890259</v>
      </c>
      <c r="AC398" s="334">
        <f t="shared" si="207"/>
        <v>-11.30762453212435</v>
      </c>
      <c r="AE398" s="333">
        <f t="shared" si="208"/>
        <v>20.27693072625944</v>
      </c>
      <c r="AF398" s="334">
        <f t="shared" si="209"/>
        <v>-96.726259613510464</v>
      </c>
      <c r="AH398">
        <f t="shared" si="210"/>
        <v>0</v>
      </c>
      <c r="AI398">
        <f t="shared" si="185"/>
        <v>0</v>
      </c>
    </row>
    <row r="399" spans="1:35" x14ac:dyDescent="0.2">
      <c r="A399" s="335">
        <v>35894.5</v>
      </c>
      <c r="B399" s="352">
        <f t="shared" si="211"/>
        <v>35.894500000000001</v>
      </c>
      <c r="C399" s="325">
        <f t="shared" si="186"/>
        <v>22.286490431625417</v>
      </c>
      <c r="D399" s="326">
        <f t="shared" si="187"/>
        <v>1.5259110244751917</v>
      </c>
      <c r="E399" s="326">
        <f t="shared" si="188"/>
        <v>1.001016774893279</v>
      </c>
      <c r="F399" s="327">
        <f t="shared" si="189"/>
        <v>4.5075805353489297E-2</v>
      </c>
      <c r="G399" s="326">
        <f t="shared" si="190"/>
        <v>1</v>
      </c>
      <c r="H399" s="327">
        <f t="shared" si="191"/>
        <v>0</v>
      </c>
      <c r="I399" s="325">
        <f t="shared" si="192"/>
        <v>47641.320546439027</v>
      </c>
      <c r="J399" s="328">
        <f t="shared" si="193"/>
        <v>1.570775336612664</v>
      </c>
      <c r="K399" s="336">
        <f t="shared" si="183"/>
        <v>9.0608361777306534</v>
      </c>
      <c r="L399" s="337">
        <f t="shared" si="184"/>
        <v>1.4602059503145015</v>
      </c>
      <c r="M399" s="325">
        <f t="shared" si="194"/>
        <v>1.0037656471352245</v>
      </c>
      <c r="N399" s="337">
        <f t="shared" si="195"/>
        <v>8.6647195383530218E-2</v>
      </c>
      <c r="O399" s="343">
        <f t="shared" si="196"/>
        <v>1.021521395067972</v>
      </c>
      <c r="P399" s="691">
        <f t="shared" si="197"/>
        <v>0.20563257419179137</v>
      </c>
      <c r="Q399" s="336">
        <f t="shared" ref="Q399:Q462" si="212">IF(VOUT_setting=1,1,SQRT((1+Afbr-$Q$5*(A399)^2)^2+(A399*$Q$4)^2))</f>
        <v>6.472117132345633</v>
      </c>
      <c r="R399" s="692">
        <f t="shared" si="198"/>
        <v>0.22719136914699534</v>
      </c>
      <c r="S399" s="329">
        <f t="shared" si="199"/>
        <v>1.0209481409148615</v>
      </c>
      <c r="T399" s="330">
        <f t="shared" si="200"/>
        <v>0.20852645625395427</v>
      </c>
      <c r="U399" s="331">
        <f t="shared" si="201"/>
        <v>0.7023783115434068</v>
      </c>
      <c r="V399" s="332">
        <f t="shared" si="202"/>
        <v>-109.32819993777983</v>
      </c>
      <c r="W399" s="334">
        <f t="shared" si="203"/>
        <v>70.671800062220171</v>
      </c>
      <c r="Y399" s="307">
        <f t="shared" si="204"/>
        <v>1000000000</v>
      </c>
      <c r="Z399" s="307">
        <f t="shared" si="205"/>
        <v>1288415130.25</v>
      </c>
      <c r="AB399" s="333">
        <f t="shared" si="206"/>
        <v>23.258267581320993</v>
      </c>
      <c r="AC399" s="334">
        <f t="shared" si="207"/>
        <v>-11.299677793269815</v>
      </c>
      <c r="AE399" s="333">
        <f t="shared" si="208"/>
        <v>20.224932125986953</v>
      </c>
      <c r="AF399" s="334">
        <f t="shared" si="209"/>
        <v>-96.793294180777451</v>
      </c>
      <c r="AH399">
        <f t="shared" si="210"/>
        <v>0</v>
      </c>
      <c r="AI399">
        <f t="shared" si="185"/>
        <v>0</v>
      </c>
    </row>
    <row r="400" spans="1:35" x14ac:dyDescent="0.2">
      <c r="A400" s="335">
        <v>36101.25</v>
      </c>
      <c r="B400" s="352">
        <f t="shared" si="211"/>
        <v>36.10125</v>
      </c>
      <c r="C400" s="325">
        <f t="shared" si="186"/>
        <v>22.414601464994934</v>
      </c>
      <c r="D400" s="326">
        <f t="shared" si="187"/>
        <v>1.5261677381254106</v>
      </c>
      <c r="E400" s="326">
        <f t="shared" si="188"/>
        <v>1.0010285157072691</v>
      </c>
      <c r="F400" s="327">
        <f t="shared" si="189"/>
        <v>4.533508449621567E-2</v>
      </c>
      <c r="G400" s="326">
        <f t="shared" si="190"/>
        <v>1</v>
      </c>
      <c r="H400" s="327">
        <f t="shared" si="191"/>
        <v>0</v>
      </c>
      <c r="I400" s="325">
        <f t="shared" si="192"/>
        <v>47915.731473423635</v>
      </c>
      <c r="J400" s="328">
        <f t="shared" si="193"/>
        <v>1.5707754568223569</v>
      </c>
      <c r="K400" s="336">
        <f t="shared" si="183"/>
        <v>9.1123921109443735</v>
      </c>
      <c r="L400" s="337">
        <f t="shared" si="184"/>
        <v>1.4608341880906788</v>
      </c>
      <c r="M400" s="325">
        <f t="shared" si="194"/>
        <v>1.003809069292189</v>
      </c>
      <c r="N400" s="337">
        <f t="shared" si="195"/>
        <v>8.7143761930752295E-2</v>
      </c>
      <c r="O400" s="343">
        <f t="shared" si="196"/>
        <v>1.0217673840040913</v>
      </c>
      <c r="P400" s="691">
        <f t="shared" si="197"/>
        <v>0.20678361993894454</v>
      </c>
      <c r="Q400" s="336">
        <f t="shared" si="212"/>
        <v>6.4739905040638073</v>
      </c>
      <c r="R400" s="692">
        <f t="shared" si="198"/>
        <v>0.22845586926656583</v>
      </c>
      <c r="S400" s="329">
        <f t="shared" si="199"/>
        <v>1.0211876526364116</v>
      </c>
      <c r="T400" s="330">
        <f t="shared" si="200"/>
        <v>0.20969550190477826</v>
      </c>
      <c r="U400" s="331">
        <f t="shared" si="201"/>
        <v>0.64925360761646511</v>
      </c>
      <c r="V400" s="332">
        <f t="shared" si="202"/>
        <v>-109.39399746632475</v>
      </c>
      <c r="W400" s="334">
        <f t="shared" si="203"/>
        <v>70.606002533675252</v>
      </c>
      <c r="Y400" s="307">
        <f t="shared" si="204"/>
        <v>1000000000</v>
      </c>
      <c r="Z400" s="307">
        <f t="shared" si="205"/>
        <v>1303300251.5625</v>
      </c>
      <c r="AB400" s="333">
        <f t="shared" si="206"/>
        <v>23.257287637174965</v>
      </c>
      <c r="AC400" s="334">
        <f t="shared" si="207"/>
        <v>-11.292140475066828</v>
      </c>
      <c r="AE400" s="333">
        <f t="shared" si="208"/>
        <v>20.173209790126002</v>
      </c>
      <c r="AF400" s="334">
        <f t="shared" si="209"/>
        <v>-96.860128570811085</v>
      </c>
      <c r="AH400">
        <f t="shared" si="210"/>
        <v>0</v>
      </c>
      <c r="AI400">
        <f t="shared" si="185"/>
        <v>0</v>
      </c>
    </row>
    <row r="401" spans="1:35" x14ac:dyDescent="0.2">
      <c r="A401" s="335">
        <v>36308</v>
      </c>
      <c r="B401" s="352">
        <f t="shared" si="211"/>
        <v>36.308</v>
      </c>
      <c r="C401" s="325">
        <f t="shared" si="186"/>
        <v>22.542713958739625</v>
      </c>
      <c r="D401" s="326">
        <f t="shared" si="187"/>
        <v>1.526421533933596</v>
      </c>
      <c r="E401" s="326">
        <f t="shared" si="188"/>
        <v>1.0010403238144947</v>
      </c>
      <c r="F401" s="327">
        <f t="shared" si="189"/>
        <v>4.5594357539543134E-2</v>
      </c>
      <c r="G401" s="326">
        <f t="shared" si="190"/>
        <v>1</v>
      </c>
      <c r="H401" s="327">
        <f t="shared" si="191"/>
        <v>0</v>
      </c>
      <c r="I401" s="325">
        <f t="shared" si="192"/>
        <v>48190.142400408928</v>
      </c>
      <c r="J401" s="328">
        <f t="shared" si="193"/>
        <v>1.5707755756630206</v>
      </c>
      <c r="K401" s="336">
        <f t="shared" si="183"/>
        <v>9.1639516001933234</v>
      </c>
      <c r="L401" s="337">
        <f t="shared" si="184"/>
        <v>1.4614553567535629</v>
      </c>
      <c r="M401" s="325">
        <f t="shared" si="194"/>
        <v>1.0038527389452745</v>
      </c>
      <c r="N401" s="337">
        <f t="shared" si="195"/>
        <v>8.7640285397070916E-2</v>
      </c>
      <c r="O401" s="343">
        <f t="shared" si="196"/>
        <v>1.0220147260335541</v>
      </c>
      <c r="P401" s="691">
        <f t="shared" si="197"/>
        <v>0.20793411007105028</v>
      </c>
      <c r="Q401" s="336">
        <f t="shared" si="212"/>
        <v>6.4758740887669424</v>
      </c>
      <c r="R401" s="692">
        <f t="shared" si="198"/>
        <v>0.22971964055524524</v>
      </c>
      <c r="S401" s="329">
        <f t="shared" si="199"/>
        <v>1.0214284835011247</v>
      </c>
      <c r="T401" s="330">
        <f t="shared" si="200"/>
        <v>0.21086401359638862</v>
      </c>
      <c r="U401" s="331">
        <f t="shared" si="201"/>
        <v>0.59640804196680497</v>
      </c>
      <c r="V401" s="332">
        <f t="shared" si="202"/>
        <v>-109.45999012972278</v>
      </c>
      <c r="W401" s="334">
        <f t="shared" si="203"/>
        <v>70.540009870277217</v>
      </c>
      <c r="Y401" s="307">
        <f t="shared" si="204"/>
        <v>1000000000</v>
      </c>
      <c r="Z401" s="307">
        <f t="shared" si="205"/>
        <v>1318270864</v>
      </c>
      <c r="AB401" s="333">
        <f t="shared" si="206"/>
        <v>23.256315778135054</v>
      </c>
      <c r="AC401" s="334">
        <f t="shared" si="207"/>
        <v>-11.285005640427359</v>
      </c>
      <c r="AE401" s="333">
        <f t="shared" si="208"/>
        <v>20.121760482267703</v>
      </c>
      <c r="AF401" s="334">
        <f t="shared" si="209"/>
        <v>-96.926765536671155</v>
      </c>
      <c r="AH401">
        <f t="shared" si="210"/>
        <v>0</v>
      </c>
      <c r="AI401">
        <f t="shared" si="185"/>
        <v>0</v>
      </c>
    </row>
    <row r="402" spans="1:35" x14ac:dyDescent="0.2">
      <c r="A402" s="335">
        <v>36519.5</v>
      </c>
      <c r="B402" s="352">
        <f t="shared" si="211"/>
        <v>36.519500000000001</v>
      </c>
      <c r="C402" s="325">
        <f t="shared" si="186"/>
        <v>22.673771271959254</v>
      </c>
      <c r="D402" s="326">
        <f t="shared" si="187"/>
        <v>1.5266781929695037</v>
      </c>
      <c r="E402" s="326">
        <f t="shared" si="188"/>
        <v>1.0010524728359089</v>
      </c>
      <c r="F402" s="327">
        <f t="shared" si="189"/>
        <v>4.5859580931825704E-2</v>
      </c>
      <c r="G402" s="326">
        <f t="shared" si="190"/>
        <v>1</v>
      </c>
      <c r="H402" s="327">
        <f t="shared" si="191"/>
        <v>0</v>
      </c>
      <c r="I402" s="325">
        <f t="shared" si="192"/>
        <v>48470.85781060256</v>
      </c>
      <c r="J402" s="328">
        <f t="shared" si="193"/>
        <v>1.5707756958416756</v>
      </c>
      <c r="K402" s="336">
        <f t="shared" si="183"/>
        <v>9.2166992657428892</v>
      </c>
      <c r="L402" s="337">
        <f t="shared" si="184"/>
        <v>1.4620836051294512</v>
      </c>
      <c r="M402" s="325">
        <f t="shared" si="194"/>
        <v>1.0038976679484299</v>
      </c>
      <c r="N402" s="337">
        <f t="shared" si="195"/>
        <v>8.8148171468593953E-2</v>
      </c>
      <c r="O402" s="343">
        <f t="shared" si="196"/>
        <v>1.0222691497054908</v>
      </c>
      <c r="P402" s="691">
        <f t="shared" si="197"/>
        <v>0.20911045459874783</v>
      </c>
      <c r="Q402" s="336">
        <f t="shared" si="212"/>
        <v>6.4778115064399886</v>
      </c>
      <c r="R402" s="692">
        <f t="shared" si="198"/>
        <v>0.2310116888893311</v>
      </c>
      <c r="S402" s="329">
        <f t="shared" si="199"/>
        <v>1.0216762113423685</v>
      </c>
      <c r="T402" s="330">
        <f t="shared" si="200"/>
        <v>0.21205881622263398</v>
      </c>
      <c r="U402" s="331">
        <f t="shared" si="201"/>
        <v>0.54263365493233517</v>
      </c>
      <c r="V402" s="332">
        <f t="shared" si="202"/>
        <v>-109.52769654961737</v>
      </c>
      <c r="W402" s="334">
        <f t="shared" si="203"/>
        <v>70.472303450382626</v>
      </c>
      <c r="Y402" s="307">
        <f t="shared" si="204"/>
        <v>1000000000</v>
      </c>
      <c r="Z402" s="307">
        <f t="shared" si="205"/>
        <v>1333673880.25</v>
      </c>
      <c r="AB402" s="333">
        <f t="shared" si="206"/>
        <v>23.255329719445736</v>
      </c>
      <c r="AC402" s="334">
        <f t="shared" si="207"/>
        <v>-11.278116274096607</v>
      </c>
      <c r="AE402" s="333">
        <f t="shared" si="208"/>
        <v>20.069408339155345</v>
      </c>
      <c r="AF402" s="334">
        <f t="shared" si="209"/>
        <v>-96.994731983109304</v>
      </c>
      <c r="AH402">
        <f t="shared" si="210"/>
        <v>0</v>
      </c>
      <c r="AI402">
        <f t="shared" si="185"/>
        <v>0</v>
      </c>
    </row>
    <row r="403" spans="1:35" x14ac:dyDescent="0.2">
      <c r="A403" s="335">
        <v>36731</v>
      </c>
      <c r="B403" s="352">
        <f t="shared" si="211"/>
        <v>36.731000000000002</v>
      </c>
      <c r="C403" s="325">
        <f t="shared" si="186"/>
        <v>22.804830061620411</v>
      </c>
      <c r="D403" s="326">
        <f t="shared" si="187"/>
        <v>1.5269319019958065</v>
      </c>
      <c r="E403" s="326">
        <f t="shared" si="188"/>
        <v>1.0010646922730935</v>
      </c>
      <c r="F403" s="327">
        <f t="shared" si="189"/>
        <v>4.612479786789675E-2</v>
      </c>
      <c r="G403" s="326">
        <f t="shared" si="190"/>
        <v>1</v>
      </c>
      <c r="H403" s="327">
        <f t="shared" si="191"/>
        <v>0</v>
      </c>
      <c r="I403" s="325">
        <f t="shared" si="192"/>
        <v>48751.573220796876</v>
      </c>
      <c r="J403" s="328">
        <f t="shared" si="193"/>
        <v>1.5707758146363342</v>
      </c>
      <c r="K403" s="336">
        <f t="shared" si="183"/>
        <v>9.2694505276845298</v>
      </c>
      <c r="L403" s="337">
        <f t="shared" si="184"/>
        <v>1.4627047031852396</v>
      </c>
      <c r="M403" s="325">
        <f t="shared" si="194"/>
        <v>1.0039428558820269</v>
      </c>
      <c r="N403" s="337">
        <f t="shared" si="195"/>
        <v>8.8656011950728433E-2</v>
      </c>
      <c r="O403" s="343">
        <f t="shared" si="196"/>
        <v>1.0225249872745212</v>
      </c>
      <c r="P403" s="691">
        <f t="shared" si="197"/>
        <v>0.21028621210578316</v>
      </c>
      <c r="Q403" s="336">
        <f t="shared" si="212"/>
        <v>6.4797595928689349</v>
      </c>
      <c r="R403" s="692">
        <f t="shared" si="198"/>
        <v>0.23230296750109466</v>
      </c>
      <c r="S403" s="329">
        <f t="shared" si="199"/>
        <v>1.0219253176637773</v>
      </c>
      <c r="T403" s="330">
        <f t="shared" si="200"/>
        <v>0.21325305467870037</v>
      </c>
      <c r="U403" s="331">
        <f t="shared" si="201"/>
        <v>0.48914424276281515</v>
      </c>
      <c r="V403" s="332">
        <f t="shared" si="202"/>
        <v>-109.59559851550902</v>
      </c>
      <c r="W403" s="334">
        <f t="shared" si="203"/>
        <v>70.404401484490975</v>
      </c>
      <c r="Y403" s="307">
        <f t="shared" si="204"/>
        <v>1000000000</v>
      </c>
      <c r="Z403" s="307">
        <f t="shared" si="205"/>
        <v>1349166361</v>
      </c>
      <c r="AB403" s="333">
        <f t="shared" si="206"/>
        <v>23.254351646347871</v>
      </c>
      <c r="AC403" s="334">
        <f t="shared" si="207"/>
        <v>-11.271633899553512</v>
      </c>
      <c r="AE403" s="333">
        <f t="shared" si="208"/>
        <v>20.01733523704269</v>
      </c>
      <c r="AF403" s="334">
        <f t="shared" si="209"/>
        <v>-97.062497451790833</v>
      </c>
      <c r="AH403">
        <f t="shared" si="210"/>
        <v>0</v>
      </c>
      <c r="AI403">
        <f t="shared" si="185"/>
        <v>0</v>
      </c>
    </row>
    <row r="404" spans="1:35" x14ac:dyDescent="0.2">
      <c r="A404" s="335">
        <v>36942.5</v>
      </c>
      <c r="B404" s="352">
        <f t="shared" si="211"/>
        <v>36.942500000000003</v>
      </c>
      <c r="C404" s="325">
        <f t="shared" si="186"/>
        <v>22.93589030241333</v>
      </c>
      <c r="D404" s="326">
        <f t="shared" si="187"/>
        <v>1.5271827115503855</v>
      </c>
      <c r="E404" s="326">
        <f t="shared" si="188"/>
        <v>1.0010769821234697</v>
      </c>
      <c r="F404" s="327">
        <f t="shared" si="189"/>
        <v>4.6390008310682629E-2</v>
      </c>
      <c r="G404" s="326">
        <f t="shared" si="190"/>
        <v>1</v>
      </c>
      <c r="H404" s="327">
        <f t="shared" si="191"/>
        <v>0</v>
      </c>
      <c r="I404" s="325">
        <f t="shared" si="192"/>
        <v>49032.288630991883</v>
      </c>
      <c r="J404" s="328">
        <f t="shared" si="193"/>
        <v>1.570775932070767</v>
      </c>
      <c r="K404" s="336">
        <f t="shared" si="183"/>
        <v>9.3222053249658803</v>
      </c>
      <c r="L404" s="337">
        <f t="shared" si="184"/>
        <v>1.463318771829611</v>
      </c>
      <c r="M404" s="325">
        <f t="shared" si="194"/>
        <v>1.0039883027111036</v>
      </c>
      <c r="N404" s="337">
        <f t="shared" si="195"/>
        <v>8.9163806587701788E-2</v>
      </c>
      <c r="O404" s="343">
        <f t="shared" si="196"/>
        <v>1.0227822376796341</v>
      </c>
      <c r="P404" s="691">
        <f t="shared" si="197"/>
        <v>0.21146137978314322</v>
      </c>
      <c r="Q404" s="336">
        <f t="shared" si="212"/>
        <v>6.481718338435897</v>
      </c>
      <c r="R404" s="692">
        <f t="shared" si="198"/>
        <v>0.23359347286328974</v>
      </c>
      <c r="S404" s="329">
        <f t="shared" si="199"/>
        <v>1.0221758014608826</v>
      </c>
      <c r="T404" s="330">
        <f t="shared" si="200"/>
        <v>0.21444672624985986</v>
      </c>
      <c r="U404" s="331">
        <f t="shared" si="201"/>
        <v>0.43593629282559337</v>
      </c>
      <c r="V404" s="332">
        <f t="shared" si="202"/>
        <v>-109.66369178758488</v>
      </c>
      <c r="W404" s="334">
        <f t="shared" si="203"/>
        <v>70.336308212415119</v>
      </c>
      <c r="Y404" s="307">
        <f t="shared" si="204"/>
        <v>1000000000</v>
      </c>
      <c r="Z404" s="307">
        <f t="shared" si="205"/>
        <v>1364748306.25</v>
      </c>
      <c r="AB404" s="333">
        <f t="shared" si="206"/>
        <v>23.253381328582829</v>
      </c>
      <c r="AC404" s="334">
        <f t="shared" si="207"/>
        <v>-11.265551575948082</v>
      </c>
      <c r="AE404" s="333">
        <f t="shared" si="208"/>
        <v>19.965537885992738</v>
      </c>
      <c r="AF404" s="334">
        <f t="shared" si="209"/>
        <v>-97.130064684904738</v>
      </c>
      <c r="AH404">
        <f t="shared" si="210"/>
        <v>0</v>
      </c>
      <c r="AI404">
        <f t="shared" si="185"/>
        <v>0</v>
      </c>
    </row>
    <row r="405" spans="1:35" x14ac:dyDescent="0.2">
      <c r="A405" s="335">
        <v>37154</v>
      </c>
      <c r="B405" s="352">
        <f t="shared" si="211"/>
        <v>37.154000000000003</v>
      </c>
      <c r="C405" s="325">
        <f t="shared" si="186"/>
        <v>23.066951969603178</v>
      </c>
      <c r="D405" s="326">
        <f t="shared" si="187"/>
        <v>1.5274306710240164</v>
      </c>
      <c r="E405" s="326">
        <f t="shared" si="188"/>
        <v>1.0010893423844447</v>
      </c>
      <c r="F405" s="327">
        <f t="shared" si="189"/>
        <v>4.6655212223115208E-2</v>
      </c>
      <c r="G405" s="326">
        <f t="shared" si="190"/>
        <v>1</v>
      </c>
      <c r="H405" s="327">
        <f t="shared" si="191"/>
        <v>0</v>
      </c>
      <c r="I405" s="325">
        <f t="shared" si="192"/>
        <v>49313.004041187553</v>
      </c>
      <c r="J405" s="328">
        <f t="shared" si="193"/>
        <v>1.5707760481682034</v>
      </c>
      <c r="K405" s="336">
        <f t="shared" si="183"/>
        <v>9.3749635979047525</v>
      </c>
      <c r="L405" s="337">
        <f t="shared" si="184"/>
        <v>1.4639259292710403</v>
      </c>
      <c r="M405" s="325">
        <f t="shared" si="194"/>
        <v>1.0040340084005035</v>
      </c>
      <c r="N405" s="337">
        <f t="shared" si="195"/>
        <v>8.9671555123882127E-2</v>
      </c>
      <c r="O405" s="343">
        <f t="shared" si="196"/>
        <v>1.0230408998550282</v>
      </c>
      <c r="P405" s="691">
        <f t="shared" si="197"/>
        <v>0.21263595483114903</v>
      </c>
      <c r="Q405" s="336">
        <f t="shared" si="212"/>
        <v>6.4836877334820224</v>
      </c>
      <c r="R405" s="692">
        <f t="shared" si="198"/>
        <v>0.23488320146308966</v>
      </c>
      <c r="S405" s="329">
        <f t="shared" si="199"/>
        <v>1.0224276617246495</v>
      </c>
      <c r="T405" s="330">
        <f t="shared" si="200"/>
        <v>0.21563982823013941</v>
      </c>
      <c r="U405" s="331">
        <f t="shared" si="201"/>
        <v>0.38300635525946813</v>
      </c>
      <c r="V405" s="332">
        <f t="shared" si="202"/>
        <v>-109.7319722157883</v>
      </c>
      <c r="W405" s="334">
        <f t="shared" si="203"/>
        <v>70.268027784211696</v>
      </c>
      <c r="Y405" s="307">
        <f t="shared" si="204"/>
        <v>1000000000</v>
      </c>
      <c r="Z405" s="307">
        <f t="shared" si="205"/>
        <v>1380419716</v>
      </c>
      <c r="AB405" s="333">
        <f t="shared" si="206"/>
        <v>23.252418542372485</v>
      </c>
      <c r="AC405" s="334">
        <f t="shared" si="207"/>
        <v>-11.259862517117909</v>
      </c>
      <c r="AE405" s="333">
        <f t="shared" si="208"/>
        <v>19.914013052337257</v>
      </c>
      <c r="AF405" s="334">
        <f t="shared" si="209"/>
        <v>-97.197436359417026</v>
      </c>
      <c r="AH405">
        <f t="shared" si="210"/>
        <v>0</v>
      </c>
      <c r="AI405">
        <f t="shared" si="185"/>
        <v>0</v>
      </c>
    </row>
    <row r="406" spans="1:35" x14ac:dyDescent="0.2">
      <c r="A406" s="335">
        <v>37370.25</v>
      </c>
      <c r="B406" s="352">
        <f t="shared" si="211"/>
        <v>37.370249999999999</v>
      </c>
      <c r="C406" s="325">
        <f t="shared" si="186"/>
        <v>23.200958551760259</v>
      </c>
      <c r="D406" s="326">
        <f t="shared" si="187"/>
        <v>1.5276813027961496</v>
      </c>
      <c r="E406" s="326">
        <f t="shared" si="188"/>
        <v>1.0011020530375601</v>
      </c>
      <c r="F406" s="327">
        <f t="shared" si="189"/>
        <v>4.6926365461182638E-2</v>
      </c>
      <c r="G406" s="326">
        <f t="shared" si="190"/>
        <v>1</v>
      </c>
      <c r="H406" s="327">
        <f t="shared" si="191"/>
        <v>0</v>
      </c>
      <c r="I406" s="325">
        <f t="shared" si="192"/>
        <v>49600.023934591605</v>
      </c>
      <c r="J406" s="328">
        <f t="shared" si="193"/>
        <v>1.5707761655143015</v>
      </c>
      <c r="K406" s="336">
        <f t="shared" si="183"/>
        <v>9.4289102821611177</v>
      </c>
      <c r="L406" s="337">
        <f t="shared" si="184"/>
        <v>1.4645396972514346</v>
      </c>
      <c r="M406" s="325">
        <f t="shared" si="194"/>
        <v>1.0040810081862717</v>
      </c>
      <c r="N406" s="337">
        <f t="shared" si="195"/>
        <v>9.0190659064382589E-2</v>
      </c>
      <c r="O406" s="343">
        <f t="shared" si="196"/>
        <v>1.0233068297989554</v>
      </c>
      <c r="P406" s="691">
        <f t="shared" si="197"/>
        <v>0.2138362935743664</v>
      </c>
      <c r="Q406" s="336">
        <f t="shared" si="212"/>
        <v>6.485712359260364</v>
      </c>
      <c r="R406" s="692">
        <f t="shared" si="198"/>
        <v>0.23620108882890367</v>
      </c>
      <c r="S406" s="329">
        <f t="shared" si="199"/>
        <v>1.0226866005528747</v>
      </c>
      <c r="T406" s="330">
        <f t="shared" si="200"/>
        <v>0.21685913391253334</v>
      </c>
      <c r="U406" s="331">
        <f t="shared" si="201"/>
        <v>0.32917160256404282</v>
      </c>
      <c r="V406" s="332">
        <f t="shared" si="202"/>
        <v>-109.80197540545927</v>
      </c>
      <c r="W406" s="334">
        <f t="shared" si="203"/>
        <v>70.198024594540726</v>
      </c>
      <c r="Y406" s="307">
        <f t="shared" si="204"/>
        <v>1000000000</v>
      </c>
      <c r="Z406" s="307">
        <f t="shared" si="205"/>
        <v>1396535585.0625</v>
      </c>
      <c r="AB406" s="333">
        <f t="shared" si="206"/>
        <v>23.25144169393619</v>
      </c>
      <c r="AC406" s="334">
        <f t="shared" si="207"/>
        <v>-11.254445390590314</v>
      </c>
      <c r="AE406" s="333">
        <f t="shared" si="208"/>
        <v>19.861609497403077</v>
      </c>
      <c r="AF406" s="334">
        <f t="shared" si="209"/>
        <v>-97.266121635645547</v>
      </c>
      <c r="AH406">
        <f t="shared" si="210"/>
        <v>0</v>
      </c>
      <c r="AI406">
        <f t="shared" si="185"/>
        <v>0</v>
      </c>
    </row>
    <row r="407" spans="1:35" x14ac:dyDescent="0.2">
      <c r="A407" s="335">
        <v>37586.5</v>
      </c>
      <c r="B407" s="352">
        <f t="shared" si="211"/>
        <v>37.586500000000001</v>
      </c>
      <c r="C407" s="325">
        <f t="shared" si="186"/>
        <v>23.334966574576406</v>
      </c>
      <c r="D407" s="326">
        <f t="shared" si="187"/>
        <v>1.5279290559279139</v>
      </c>
      <c r="E407" s="326">
        <f t="shared" si="188"/>
        <v>1.0011148372939094</v>
      </c>
      <c r="F407" s="327">
        <f t="shared" si="189"/>
        <v>4.7197511793920954E-2</v>
      </c>
      <c r="G407" s="326">
        <f t="shared" si="190"/>
        <v>1</v>
      </c>
      <c r="H407" s="327">
        <f t="shared" si="191"/>
        <v>0</v>
      </c>
      <c r="I407" s="325">
        <f t="shared" si="192"/>
        <v>49887.043827996327</v>
      </c>
      <c r="J407" s="328">
        <f t="shared" si="193"/>
        <v>1.5707762815101225</v>
      </c>
      <c r="K407" s="336">
        <f t="shared" ref="K407:K470" si="213">SQRT(1+(A407/Zero2)^2)</f>
        <v>9.4828604779787948</v>
      </c>
      <c r="L407" s="337">
        <f t="shared" ref="L407:L470" si="214">ATAN(A407/Zero2)</f>
        <v>1.4651464817210516</v>
      </c>
      <c r="M407" s="325">
        <f t="shared" si="194"/>
        <v>1.0041282785152745</v>
      </c>
      <c r="N407" s="337">
        <f t="shared" si="195"/>
        <v>9.0709714270081454E-2</v>
      </c>
      <c r="O407" s="343">
        <f t="shared" si="196"/>
        <v>1.0235742333694178</v>
      </c>
      <c r="P407" s="691">
        <f t="shared" si="197"/>
        <v>0.21503600688059377</v>
      </c>
      <c r="Q407" s="336">
        <f t="shared" si="212"/>
        <v>6.4877480976827071</v>
      </c>
      <c r="R407" s="692">
        <f t="shared" si="198"/>
        <v>0.23751815676954358</v>
      </c>
      <c r="S407" s="329">
        <f t="shared" si="199"/>
        <v>1.0229469762211936</v>
      </c>
      <c r="T407" s="330">
        <f t="shared" si="200"/>
        <v>0.21807783843912409</v>
      </c>
      <c r="U407" s="331">
        <f t="shared" si="201"/>
        <v>0.2756203904046664</v>
      </c>
      <c r="V407" s="332">
        <f t="shared" si="202"/>
        <v>-109.87216575446831</v>
      </c>
      <c r="W407" s="334">
        <f t="shared" si="203"/>
        <v>70.127834245531687</v>
      </c>
      <c r="Y407" s="307">
        <f t="shared" si="204"/>
        <v>1000000000</v>
      </c>
      <c r="Z407" s="307">
        <f t="shared" si="205"/>
        <v>1412744982.25</v>
      </c>
      <c r="AB407" s="333">
        <f t="shared" si="206"/>
        <v>23.250472265822843</v>
      </c>
      <c r="AC407" s="334">
        <f t="shared" si="207"/>
        <v>-11.249425520093265</v>
      </c>
      <c r="AE407" s="333">
        <f t="shared" si="208"/>
        <v>19.809484175657644</v>
      </c>
      <c r="AF407" s="334">
        <f t="shared" si="209"/>
        <v>-97.334607929885834</v>
      </c>
      <c r="AH407">
        <f t="shared" si="210"/>
        <v>0</v>
      </c>
      <c r="AI407">
        <f t="shared" si="185"/>
        <v>0</v>
      </c>
    </row>
    <row r="408" spans="1:35" x14ac:dyDescent="0.2">
      <c r="A408" s="335">
        <v>37802.75</v>
      </c>
      <c r="B408" s="352">
        <f t="shared" si="211"/>
        <v>37.802750000000003</v>
      </c>
      <c r="C408" s="325">
        <f t="shared" si="186"/>
        <v>23.468976013373105</v>
      </c>
      <c r="D408" s="326">
        <f t="shared" si="187"/>
        <v>1.5281739797003242</v>
      </c>
      <c r="E408" s="326">
        <f t="shared" si="188"/>
        <v>1.0011276951506727</v>
      </c>
      <c r="F408" s="327">
        <f t="shared" si="189"/>
        <v>4.746865118172594E-2</v>
      </c>
      <c r="G408" s="326">
        <f t="shared" si="190"/>
        <v>1</v>
      </c>
      <c r="H408" s="327">
        <f t="shared" si="191"/>
        <v>0</v>
      </c>
      <c r="I408" s="325">
        <f t="shared" si="192"/>
        <v>50174.063721401726</v>
      </c>
      <c r="J408" s="328">
        <f t="shared" si="193"/>
        <v>1.5707763961788392</v>
      </c>
      <c r="K408" s="336">
        <f t="shared" si="213"/>
        <v>9.5368141257625911</v>
      </c>
      <c r="L408" s="337">
        <f t="shared" si="214"/>
        <v>1.4657464007549428</v>
      </c>
      <c r="M408" s="325">
        <f t="shared" si="194"/>
        <v>1.0041758193493056</v>
      </c>
      <c r="N408" s="337">
        <f t="shared" si="195"/>
        <v>9.1228720468194982E-2</v>
      </c>
      <c r="O408" s="343">
        <f t="shared" si="196"/>
        <v>1.0238431094117857</v>
      </c>
      <c r="P408" s="691">
        <f t="shared" si="197"/>
        <v>0.21623509178771394</v>
      </c>
      <c r="Q408" s="336">
        <f t="shared" si="212"/>
        <v>6.4897949382932856</v>
      </c>
      <c r="R408" s="692">
        <f t="shared" si="198"/>
        <v>0.23883440157715477</v>
      </c>
      <c r="S408" s="329">
        <f t="shared" si="199"/>
        <v>1.0232087876363656</v>
      </c>
      <c r="T408" s="330">
        <f t="shared" si="200"/>
        <v>0.21929593894607138</v>
      </c>
      <c r="U408" s="331">
        <f t="shared" si="201"/>
        <v>0.22234922527010134</v>
      </c>
      <c r="V408" s="332">
        <f t="shared" si="202"/>
        <v>-109.94253910236147</v>
      </c>
      <c r="W408" s="334">
        <f t="shared" si="203"/>
        <v>70.057460897638535</v>
      </c>
      <c r="Y408" s="307">
        <f t="shared" si="204"/>
        <v>1000000000</v>
      </c>
      <c r="Z408" s="307">
        <f t="shared" si="205"/>
        <v>1429047907.5625</v>
      </c>
      <c r="AB408" s="333">
        <f t="shared" si="206"/>
        <v>23.24951003847022</v>
      </c>
      <c r="AC408" s="334">
        <f t="shared" si="207"/>
        <v>-11.244796126122989</v>
      </c>
      <c r="AE408" s="333">
        <f t="shared" si="208"/>
        <v>19.757633804974162</v>
      </c>
      <c r="AF408" s="334">
        <f t="shared" si="209"/>
        <v>-97.402897903915232</v>
      </c>
      <c r="AH408">
        <f t="shared" si="210"/>
        <v>0</v>
      </c>
      <c r="AI408">
        <f t="shared" si="185"/>
        <v>0</v>
      </c>
    </row>
    <row r="409" spans="1:35" x14ac:dyDescent="0.2">
      <c r="A409" s="335">
        <v>38019</v>
      </c>
      <c r="B409" s="352">
        <f t="shared" si="211"/>
        <v>38.018999999999998</v>
      </c>
      <c r="C409" s="325">
        <f t="shared" si="186"/>
        <v>23.602986844032031</v>
      </c>
      <c r="D409" s="326">
        <f t="shared" si="187"/>
        <v>1.5284161222765578</v>
      </c>
      <c r="E409" s="326">
        <f t="shared" si="188"/>
        <v>1.0011406266050142</v>
      </c>
      <c r="F409" s="327">
        <f t="shared" si="189"/>
        <v>4.7739783584999466E-2</v>
      </c>
      <c r="G409" s="326">
        <f t="shared" si="190"/>
        <v>1</v>
      </c>
      <c r="H409" s="327">
        <f t="shared" si="191"/>
        <v>0</v>
      </c>
      <c r="I409" s="325">
        <f t="shared" si="192"/>
        <v>50461.083614807772</v>
      </c>
      <c r="J409" s="328">
        <f t="shared" si="193"/>
        <v>1.5707765095430972</v>
      </c>
      <c r="K409" s="336">
        <f t="shared" si="213"/>
        <v>9.5907711672545766</v>
      </c>
      <c r="L409" s="337">
        <f t="shared" si="214"/>
        <v>1.4663395697910535</v>
      </c>
      <c r="M409" s="325">
        <f t="shared" si="194"/>
        <v>1.0042236306499466</v>
      </c>
      <c r="N409" s="337">
        <f t="shared" si="195"/>
        <v>9.1747677386096585E-2</v>
      </c>
      <c r="O409" s="343">
        <f t="shared" si="196"/>
        <v>1.0241134567662882</v>
      </c>
      <c r="P409" s="691">
        <f t="shared" si="197"/>
        <v>0.21743354534394027</v>
      </c>
      <c r="Q409" s="336">
        <f t="shared" si="212"/>
        <v>6.4918528705925418</v>
      </c>
      <c r="R409" s="692">
        <f t="shared" si="198"/>
        <v>0.24014981955980702</v>
      </c>
      <c r="S409" s="329">
        <f t="shared" si="199"/>
        <v>1.0234720337002452</v>
      </c>
      <c r="T409" s="330">
        <f t="shared" si="200"/>
        <v>0.22051343257922712</v>
      </c>
      <c r="U409" s="331">
        <f t="shared" si="201"/>
        <v>0.16935467599205137</v>
      </c>
      <c r="V409" s="332">
        <f t="shared" si="202"/>
        <v>-110.0130913765865</v>
      </c>
      <c r="W409" s="334">
        <f t="shared" si="203"/>
        <v>69.986908623413498</v>
      </c>
      <c r="Y409" s="307">
        <f t="shared" si="204"/>
        <v>1000000000</v>
      </c>
      <c r="Z409" s="307">
        <f t="shared" si="205"/>
        <v>1445444361</v>
      </c>
      <c r="AB409" s="333">
        <f t="shared" si="206"/>
        <v>23.248554798496599</v>
      </c>
      <c r="AC409" s="334">
        <f t="shared" si="207"/>
        <v>-11.240550580249558</v>
      </c>
      <c r="AE409" s="333">
        <f t="shared" si="208"/>
        <v>19.706055159365398</v>
      </c>
      <c r="AF409" s="334">
        <f t="shared" si="209"/>
        <v>-97.470994156018705</v>
      </c>
      <c r="AH409">
        <f t="shared" si="210"/>
        <v>0</v>
      </c>
      <c r="AI409">
        <f t="shared" si="185"/>
        <v>0</v>
      </c>
    </row>
    <row r="410" spans="1:35" x14ac:dyDescent="0.2">
      <c r="A410" s="335">
        <v>38240.5</v>
      </c>
      <c r="B410" s="352">
        <f t="shared" si="211"/>
        <v>38.240499999999997</v>
      </c>
      <c r="C410" s="325">
        <f t="shared" si="186"/>
        <v>23.740252535147562</v>
      </c>
      <c r="D410" s="326">
        <f t="shared" si="187"/>
        <v>1.528661309355636</v>
      </c>
      <c r="E410" s="326">
        <f t="shared" si="188"/>
        <v>1.0011539482986076</v>
      </c>
      <c r="F410" s="327">
        <f t="shared" si="189"/>
        <v>4.8017491111121871E-2</v>
      </c>
      <c r="G410" s="326">
        <f t="shared" si="190"/>
        <v>1</v>
      </c>
      <c r="H410" s="327">
        <f t="shared" si="191"/>
        <v>0</v>
      </c>
      <c r="I410" s="325">
        <f t="shared" si="192"/>
        <v>50755.07162123359</v>
      </c>
      <c r="J410" s="328">
        <f t="shared" si="193"/>
        <v>1.5707766243303325</v>
      </c>
      <c r="K410" s="336">
        <f t="shared" si="213"/>
        <v>9.6460416072577821</v>
      </c>
      <c r="L410" s="337">
        <f t="shared" si="214"/>
        <v>1.4669402596151024</v>
      </c>
      <c r="M410" s="325">
        <f t="shared" si="194"/>
        <v>1.0042728830426719</v>
      </c>
      <c r="N410" s="337">
        <f t="shared" si="195"/>
        <v>9.2279181883986316E-2</v>
      </c>
      <c r="O410" s="343">
        <f t="shared" si="196"/>
        <v>1.0243918915748116</v>
      </c>
      <c r="P410" s="691">
        <f t="shared" si="197"/>
        <v>0.21866043670206092</v>
      </c>
      <c r="Q410" s="336">
        <f t="shared" si="212"/>
        <v>6.4939722521094447</v>
      </c>
      <c r="R410" s="692">
        <f t="shared" si="198"/>
        <v>0.24149631152542136</v>
      </c>
      <c r="S410" s="329">
        <f t="shared" si="199"/>
        <v>1.0237431568721482</v>
      </c>
      <c r="T410" s="330">
        <f t="shared" si="200"/>
        <v>0.22175985173596791</v>
      </c>
      <c r="U410" s="331">
        <f t="shared" si="201"/>
        <v>0.11535680259415962</v>
      </c>
      <c r="V410" s="332">
        <f t="shared" si="202"/>
        <v>-110.08553780915884</v>
      </c>
      <c r="W410" s="334">
        <f t="shared" si="203"/>
        <v>69.914462190841164</v>
      </c>
      <c r="Y410" s="307">
        <f t="shared" si="204"/>
        <v>1000000000</v>
      </c>
      <c r="Z410" s="307">
        <f t="shared" si="205"/>
        <v>1462335840.25</v>
      </c>
      <c r="AB410" s="333">
        <f t="shared" si="206"/>
        <v>23.247583394892814</v>
      </c>
      <c r="AC410" s="334">
        <f t="shared" si="207"/>
        <v>-11.236593129876002</v>
      </c>
      <c r="AE410" s="333">
        <f t="shared" si="208"/>
        <v>19.653502701980695</v>
      </c>
      <c r="AF410" s="334">
        <f t="shared" si="209"/>
        <v>-97.540545428920169</v>
      </c>
      <c r="AH410">
        <f t="shared" si="210"/>
        <v>0</v>
      </c>
      <c r="AI410">
        <f t="shared" ref="AI410:AI473" si="215">IF(AH410&gt;0,W410,0)</f>
        <v>0</v>
      </c>
    </row>
    <row r="411" spans="1:35" x14ac:dyDescent="0.2">
      <c r="A411" s="335">
        <v>38462</v>
      </c>
      <c r="B411" s="352">
        <f t="shared" si="211"/>
        <v>38.462000000000003</v>
      </c>
      <c r="C411" s="325">
        <f t="shared" si="186"/>
        <v>23.877519637039722</v>
      </c>
      <c r="D411" s="326">
        <f t="shared" si="187"/>
        <v>1.5289036773858358</v>
      </c>
      <c r="E411" s="326">
        <f t="shared" si="188"/>
        <v>1.0011673472006071</v>
      </c>
      <c r="F411" s="327">
        <f t="shared" si="189"/>
        <v>4.8295191225385788E-2</v>
      </c>
      <c r="G411" s="326">
        <f t="shared" si="190"/>
        <v>1</v>
      </c>
      <c r="H411" s="327">
        <f t="shared" si="191"/>
        <v>0</v>
      </c>
      <c r="I411" s="325">
        <f t="shared" si="192"/>
        <v>51049.05962766007</v>
      </c>
      <c r="J411" s="328">
        <f t="shared" si="193"/>
        <v>1.5707767377954645</v>
      </c>
      <c r="K411" s="336">
        <f t="shared" si="213"/>
        <v>9.7013154881656938</v>
      </c>
      <c r="L411" s="337">
        <f t="shared" si="214"/>
        <v>1.4675341047121027</v>
      </c>
      <c r="M411" s="325">
        <f t="shared" si="194"/>
        <v>1.0043224191116324</v>
      </c>
      <c r="N411" s="337">
        <f t="shared" si="195"/>
        <v>9.2810634101337774E-2</v>
      </c>
      <c r="O411" s="343">
        <f t="shared" si="196"/>
        <v>1.0246718675225774</v>
      </c>
      <c r="P411" s="691">
        <f t="shared" si="197"/>
        <v>0.21988665944645619</v>
      </c>
      <c r="Q411" s="336">
        <f t="shared" si="212"/>
        <v>6.4961032479700789</v>
      </c>
      <c r="R411" s="692">
        <f t="shared" si="198"/>
        <v>0.24284192824294559</v>
      </c>
      <c r="S411" s="329">
        <f t="shared" si="199"/>
        <v>1.0240157828496987</v>
      </c>
      <c r="T411" s="330">
        <f t="shared" si="200"/>
        <v>0.22300562816429972</v>
      </c>
      <c r="U411" s="331">
        <f t="shared" si="201"/>
        <v>6.1642046356384456E-2</v>
      </c>
      <c r="V411" s="332">
        <f t="shared" si="202"/>
        <v>-110.15816358466108</v>
      </c>
      <c r="W411" s="334">
        <f t="shared" si="203"/>
        <v>69.841836415338918</v>
      </c>
      <c r="Y411" s="307">
        <f t="shared" si="204"/>
        <v>1000000000</v>
      </c>
      <c r="Z411" s="307">
        <f t="shared" si="205"/>
        <v>1479325444</v>
      </c>
      <c r="AB411" s="333">
        <f t="shared" si="206"/>
        <v>23.246618887878313</v>
      </c>
      <c r="AC411" s="334">
        <f t="shared" si="207"/>
        <v>-11.233024782269561</v>
      </c>
      <c r="AE411" s="333">
        <f t="shared" si="208"/>
        <v>19.601228647311327</v>
      </c>
      <c r="AF411" s="334">
        <f t="shared" si="209"/>
        <v>-97.60989878126145</v>
      </c>
      <c r="AH411">
        <f t="shared" si="210"/>
        <v>0</v>
      </c>
      <c r="AI411">
        <f t="shared" si="215"/>
        <v>0</v>
      </c>
    </row>
    <row r="412" spans="1:35" x14ac:dyDescent="0.2">
      <c r="A412" s="335">
        <v>38683.5</v>
      </c>
      <c r="B412" s="352">
        <f t="shared" si="211"/>
        <v>38.683500000000002</v>
      </c>
      <c r="C412" s="325">
        <f t="shared" si="186"/>
        <v>24.014788125516773</v>
      </c>
      <c r="D412" s="326">
        <f t="shared" si="187"/>
        <v>1.5291432746794713</v>
      </c>
      <c r="E412" s="326">
        <f t="shared" si="188"/>
        <v>1.0011808233079125</v>
      </c>
      <c r="F412" s="327">
        <f t="shared" si="189"/>
        <v>4.8572883885258683E-2</v>
      </c>
      <c r="G412" s="326">
        <f t="shared" si="190"/>
        <v>1</v>
      </c>
      <c r="H412" s="327">
        <f t="shared" si="191"/>
        <v>0</v>
      </c>
      <c r="I412" s="325">
        <f t="shared" si="192"/>
        <v>51343.047634087197</v>
      </c>
      <c r="J412" s="328">
        <f t="shared" si="193"/>
        <v>1.5707768499612036</v>
      </c>
      <c r="K412" s="336">
        <f t="shared" si="213"/>
        <v>9.7565927514971946</v>
      </c>
      <c r="L412" s="337">
        <f t="shared" si="214"/>
        <v>1.4681212209987251</v>
      </c>
      <c r="M412" s="325">
        <f t="shared" si="194"/>
        <v>1.0043722388148553</v>
      </c>
      <c r="N412" s="337">
        <f t="shared" si="195"/>
        <v>9.3342033745700492E-2</v>
      </c>
      <c r="O412" s="343">
        <f t="shared" si="196"/>
        <v>1.0249533833466546</v>
      </c>
      <c r="P412" s="691">
        <f t="shared" si="197"/>
        <v>0.22111221043900653</v>
      </c>
      <c r="Q412" s="336">
        <f t="shared" si="212"/>
        <v>6.4982458467501827</v>
      </c>
      <c r="R412" s="692">
        <f t="shared" si="198"/>
        <v>0.24418666579719775</v>
      </c>
      <c r="S412" s="329">
        <f t="shared" si="199"/>
        <v>1.0242899104369489</v>
      </c>
      <c r="T412" s="330">
        <f t="shared" si="200"/>
        <v>0.22425075882893683</v>
      </c>
      <c r="U412" s="331">
        <f t="shared" si="201"/>
        <v>8.2069140353326544E-3</v>
      </c>
      <c r="V412" s="332">
        <f t="shared" si="202"/>
        <v>-110.23096459819941</v>
      </c>
      <c r="W412" s="334">
        <f t="shared" si="203"/>
        <v>69.769035401800593</v>
      </c>
      <c r="Y412" s="307">
        <f t="shared" si="204"/>
        <v>1000000000</v>
      </c>
      <c r="Z412" s="307">
        <f t="shared" si="205"/>
        <v>1496413172.25</v>
      </c>
      <c r="AB412" s="333">
        <f t="shared" si="206"/>
        <v>23.245661066991655</v>
      </c>
      <c r="AC412" s="334">
        <f t="shared" si="207"/>
        <v>-11.229838880439262</v>
      </c>
      <c r="AE412" s="333">
        <f t="shared" si="208"/>
        <v>19.549229703690202</v>
      </c>
      <c r="AF412" s="334">
        <f t="shared" si="209"/>
        <v>-97.6790568096621</v>
      </c>
      <c r="AH412">
        <f t="shared" si="210"/>
        <v>38683.5</v>
      </c>
      <c r="AI412">
        <f t="shared" si="215"/>
        <v>69.769035401800593</v>
      </c>
    </row>
    <row r="413" spans="1:35" x14ac:dyDescent="0.2">
      <c r="A413" s="335">
        <v>38905</v>
      </c>
      <c r="B413" s="352">
        <f t="shared" si="211"/>
        <v>38.905000000000001</v>
      </c>
      <c r="C413" s="325">
        <f t="shared" si="186"/>
        <v>24.152057976936703</v>
      </c>
      <c r="D413" s="326">
        <f t="shared" si="187"/>
        <v>1.5293801484518013</v>
      </c>
      <c r="E413" s="326">
        <f t="shared" si="188"/>
        <v>1.0011943766174067</v>
      </c>
      <c r="F413" s="327">
        <f t="shared" si="189"/>
        <v>4.8850569048214873E-2</v>
      </c>
      <c r="G413" s="326">
        <f t="shared" si="190"/>
        <v>1</v>
      </c>
      <c r="H413" s="327">
        <f t="shared" si="191"/>
        <v>0</v>
      </c>
      <c r="I413" s="325">
        <f t="shared" si="192"/>
        <v>51637.035640514965</v>
      </c>
      <c r="J413" s="328">
        <f t="shared" si="193"/>
        <v>1.5707769608497439</v>
      </c>
      <c r="K413" s="336">
        <f t="shared" si="213"/>
        <v>9.8118733400854872</v>
      </c>
      <c r="L413" s="337">
        <f t="shared" si="214"/>
        <v>1.4687017217981149</v>
      </c>
      <c r="M413" s="325">
        <f t="shared" si="194"/>
        <v>1.0044223421101355</v>
      </c>
      <c r="N413" s="337">
        <f t="shared" si="195"/>
        <v>9.3873380524800612E-2</v>
      </c>
      <c r="O413" s="343">
        <f t="shared" si="196"/>
        <v>1.0252364377785566</v>
      </c>
      <c r="P413" s="691">
        <f t="shared" si="197"/>
        <v>0.2223370865531013</v>
      </c>
      <c r="Q413" s="336">
        <f t="shared" si="212"/>
        <v>6.5004000369783981</v>
      </c>
      <c r="R413" s="692">
        <f t="shared" si="198"/>
        <v>0.24553052029069708</v>
      </c>
      <c r="S413" s="329">
        <f t="shared" si="199"/>
        <v>1.0245655384326489</v>
      </c>
      <c r="T413" s="330">
        <f t="shared" si="200"/>
        <v>0.22549524070539478</v>
      </c>
      <c r="U413" s="331">
        <f t="shared" si="201"/>
        <v>-4.4952025244939145E-2</v>
      </c>
      <c r="V413" s="332">
        <f t="shared" si="202"/>
        <v>-110.30393683157524</v>
      </c>
      <c r="W413" s="334">
        <f t="shared" si="203"/>
        <v>69.696063168424757</v>
      </c>
      <c r="Y413" s="307">
        <f t="shared" si="204"/>
        <v>38905</v>
      </c>
      <c r="Z413" s="307">
        <f t="shared" si="205"/>
        <v>1513599025</v>
      </c>
      <c r="AB413" s="333">
        <f t="shared" si="206"/>
        <v>23.24470972770731</v>
      </c>
      <c r="AC413" s="334">
        <f t="shared" si="207"/>
        <v>-11.227028915972713</v>
      </c>
      <c r="AE413" s="333">
        <f t="shared" si="208"/>
        <v>19.497502635858076</v>
      </c>
      <c r="AF413" s="334">
        <f t="shared" si="209"/>
        <v>-97.748022048503515</v>
      </c>
      <c r="AH413">
        <f t="shared" si="210"/>
        <v>0</v>
      </c>
      <c r="AI413">
        <f t="shared" si="215"/>
        <v>0</v>
      </c>
    </row>
    <row r="414" spans="1:35" x14ac:dyDescent="0.2">
      <c r="A414" s="335">
        <v>39131.5</v>
      </c>
      <c r="B414" s="352">
        <f t="shared" si="211"/>
        <v>39.131500000000003</v>
      </c>
      <c r="C414" s="325">
        <f t="shared" si="186"/>
        <v>24.292427855967453</v>
      </c>
      <c r="D414" s="326">
        <f t="shared" si="187"/>
        <v>1.5296196009046126</v>
      </c>
      <c r="E414" s="326">
        <f t="shared" si="188"/>
        <v>1.0012083157033427</v>
      </c>
      <c r="F414" s="327">
        <f t="shared" si="189"/>
        <v>4.9134514702301152E-2</v>
      </c>
      <c r="G414" s="326">
        <f t="shared" si="190"/>
        <v>1</v>
      </c>
      <c r="H414" s="327">
        <f t="shared" si="191"/>
        <v>0</v>
      </c>
      <c r="I414" s="325">
        <f t="shared" si="192"/>
        <v>51937.659945056861</v>
      </c>
      <c r="J414" s="328">
        <f t="shared" si="193"/>
        <v>1.5707770729432382</v>
      </c>
      <c r="K414" s="336">
        <f t="shared" si="213"/>
        <v>9.8684051779647373</v>
      </c>
      <c r="L414" s="337">
        <f t="shared" si="214"/>
        <v>1.4692886007087451</v>
      </c>
      <c r="M414" s="325">
        <f t="shared" si="194"/>
        <v>1.004473869627843</v>
      </c>
      <c r="N414" s="337">
        <f t="shared" si="195"/>
        <v>9.4416666614768746E-2</v>
      </c>
      <c r="O414" s="343">
        <f t="shared" si="196"/>
        <v>1.0255274714707561</v>
      </c>
      <c r="P414" s="691">
        <f t="shared" si="197"/>
        <v>0.22358891109355411</v>
      </c>
      <c r="Q414" s="336">
        <f t="shared" si="212"/>
        <v>6.5026148294128374</v>
      </c>
      <c r="R414" s="692">
        <f t="shared" si="198"/>
        <v>0.24690379287168371</v>
      </c>
      <c r="S414" s="329">
        <f t="shared" si="199"/>
        <v>1.0248489386167787</v>
      </c>
      <c r="T414" s="330">
        <f t="shared" si="200"/>
        <v>0.2267671406622134</v>
      </c>
      <c r="U414" s="331">
        <f t="shared" si="201"/>
        <v>-9.9028836076645518E-2</v>
      </c>
      <c r="V414" s="332">
        <f t="shared" si="202"/>
        <v>-110.37872925649506</v>
      </c>
      <c r="W414" s="334">
        <f t="shared" si="203"/>
        <v>69.621270743504937</v>
      </c>
      <c r="Y414" s="307">
        <f t="shared" si="204"/>
        <v>39131.5</v>
      </c>
      <c r="Z414" s="307">
        <f t="shared" si="205"/>
        <v>1531274292.25</v>
      </c>
      <c r="AB414" s="333">
        <f t="shared" si="206"/>
        <v>23.243743409132858</v>
      </c>
      <c r="AC414" s="334">
        <f t="shared" si="207"/>
        <v>-11.224537653812989</v>
      </c>
      <c r="AE414" s="333">
        <f t="shared" si="208"/>
        <v>19.444885751872206</v>
      </c>
      <c r="AF414" s="334">
        <f t="shared" si="209"/>
        <v>-97.818347275422354</v>
      </c>
      <c r="AH414">
        <f t="shared" si="210"/>
        <v>0</v>
      </c>
      <c r="AI414">
        <f t="shared" si="215"/>
        <v>0</v>
      </c>
    </row>
    <row r="415" spans="1:35" x14ac:dyDescent="0.2">
      <c r="A415" s="335">
        <v>39358</v>
      </c>
      <c r="B415" s="352">
        <f t="shared" si="211"/>
        <v>39.357999999999997</v>
      </c>
      <c r="C415" s="325">
        <f t="shared" si="186"/>
        <v>24.432799111860255</v>
      </c>
      <c r="D415" s="326">
        <f t="shared" si="187"/>
        <v>1.529856301967609</v>
      </c>
      <c r="E415" s="326">
        <f t="shared" si="188"/>
        <v>1.0012223355095824</v>
      </c>
      <c r="F415" s="327">
        <f t="shared" si="189"/>
        <v>4.9418452427273343E-2</v>
      </c>
      <c r="G415" s="326">
        <f t="shared" si="190"/>
        <v>1</v>
      </c>
      <c r="H415" s="327">
        <f t="shared" si="191"/>
        <v>0</v>
      </c>
      <c r="I415" s="325">
        <f t="shared" si="192"/>
        <v>52238.284249599419</v>
      </c>
      <c r="J415" s="328">
        <f t="shared" si="193"/>
        <v>1.5707771837465667</v>
      </c>
      <c r="K415" s="336">
        <f t="shared" si="213"/>
        <v>9.9249403760667327</v>
      </c>
      <c r="L415" s="337">
        <f t="shared" si="214"/>
        <v>1.4698687937689947</v>
      </c>
      <c r="M415" s="325">
        <f t="shared" si="194"/>
        <v>1.0045256935953653</v>
      </c>
      <c r="N415" s="337">
        <f t="shared" si="195"/>
        <v>9.4959896808277294E-2</v>
      </c>
      <c r="O415" s="343">
        <f t="shared" si="196"/>
        <v>1.0258201113174887</v>
      </c>
      <c r="P415" s="691">
        <f t="shared" si="197"/>
        <v>0.22484002336756476</v>
      </c>
      <c r="Q415" s="336">
        <f t="shared" si="212"/>
        <v>6.5048417181073468</v>
      </c>
      <c r="R415" s="692">
        <f t="shared" si="198"/>
        <v>0.24827613388862554</v>
      </c>
      <c r="S415" s="329">
        <f t="shared" si="199"/>
        <v>1.0251339051550243</v>
      </c>
      <c r="T415" s="330">
        <f t="shared" si="200"/>
        <v>0.2280383558477693</v>
      </c>
      <c r="U415" s="331">
        <f t="shared" si="201"/>
        <v>-0.15282390660537035</v>
      </c>
      <c r="V415" s="332">
        <f t="shared" si="202"/>
        <v>-110.45369248782227</v>
      </c>
      <c r="W415" s="334">
        <f t="shared" si="203"/>
        <v>69.546307512177734</v>
      </c>
      <c r="Y415" s="307">
        <f t="shared" si="204"/>
        <v>39358</v>
      </c>
      <c r="Z415" s="307">
        <f t="shared" si="205"/>
        <v>1549052164</v>
      </c>
      <c r="AB415" s="333">
        <f t="shared" si="206"/>
        <v>23.242783453683803</v>
      </c>
      <c r="AC415" s="334">
        <f t="shared" si="207"/>
        <v>-11.222426186110683</v>
      </c>
      <c r="AE415" s="333">
        <f t="shared" si="208"/>
        <v>19.39254648931491</v>
      </c>
      <c r="AF415" s="334">
        <f t="shared" si="209"/>
        <v>-97.888476079118291</v>
      </c>
      <c r="AH415">
        <f t="shared" si="210"/>
        <v>0</v>
      </c>
      <c r="AI415">
        <f t="shared" si="215"/>
        <v>0</v>
      </c>
    </row>
    <row r="416" spans="1:35" x14ac:dyDescent="0.2">
      <c r="A416" s="335">
        <v>39584.5</v>
      </c>
      <c r="B416" s="352">
        <f t="shared" si="211"/>
        <v>39.584499999999998</v>
      </c>
      <c r="C416" s="325">
        <f t="shared" si="186"/>
        <v>24.573171721019637</v>
      </c>
      <c r="D416" s="326">
        <f t="shared" si="187"/>
        <v>1.530090298765431</v>
      </c>
      <c r="E416" s="326">
        <f t="shared" si="188"/>
        <v>1.0012364360327348</v>
      </c>
      <c r="F416" s="327">
        <f t="shared" si="189"/>
        <v>4.970238217768299E-2</v>
      </c>
      <c r="G416" s="326">
        <f t="shared" si="190"/>
        <v>1</v>
      </c>
      <c r="H416" s="327">
        <f t="shared" si="191"/>
        <v>0</v>
      </c>
      <c r="I416" s="325">
        <f t="shared" si="192"/>
        <v>52538.90855414261</v>
      </c>
      <c r="J416" s="328">
        <f t="shared" si="193"/>
        <v>1.570777293281876</v>
      </c>
      <c r="K416" s="336">
        <f t="shared" si="213"/>
        <v>9.9814788772944709</v>
      </c>
      <c r="L416" s="337">
        <f t="shared" si="214"/>
        <v>1.4704424141977042</v>
      </c>
      <c r="M416" s="325">
        <f t="shared" si="194"/>
        <v>1.0045778139668227</v>
      </c>
      <c r="N416" s="337">
        <f t="shared" si="195"/>
        <v>9.5503070793388489E-2</v>
      </c>
      <c r="O416" s="343">
        <f t="shared" si="196"/>
        <v>1.0261143559445667</v>
      </c>
      <c r="P416" s="691">
        <f t="shared" si="197"/>
        <v>0.22609042006952715</v>
      </c>
      <c r="Q416" s="336">
        <f t="shared" si="212"/>
        <v>6.5070806906451191</v>
      </c>
      <c r="R416" s="692">
        <f t="shared" si="198"/>
        <v>0.24964753923179431</v>
      </c>
      <c r="S416" s="329">
        <f t="shared" si="199"/>
        <v>1.0254204367458966</v>
      </c>
      <c r="T416" s="330">
        <f t="shared" si="200"/>
        <v>0.22930888306335187</v>
      </c>
      <c r="U416" s="331">
        <f t="shared" si="201"/>
        <v>-0.20634071243151311</v>
      </c>
      <c r="V416" s="332">
        <f t="shared" si="202"/>
        <v>-110.52882249529293</v>
      </c>
      <c r="W416" s="334">
        <f t="shared" si="203"/>
        <v>69.471177504707072</v>
      </c>
      <c r="Y416" s="307">
        <f t="shared" si="204"/>
        <v>39584.5</v>
      </c>
      <c r="Z416" s="307">
        <f t="shared" si="205"/>
        <v>1566932640.25</v>
      </c>
      <c r="AB416" s="333">
        <f t="shared" si="206"/>
        <v>23.241829660659032</v>
      </c>
      <c r="AC416" s="334">
        <f t="shared" si="207"/>
        <v>-11.220688009300273</v>
      </c>
      <c r="AE416" s="333">
        <f t="shared" si="208"/>
        <v>19.340481563686581</v>
      </c>
      <c r="AF416" s="334">
        <f t="shared" si="209"/>
        <v>-97.958410978965702</v>
      </c>
      <c r="AH416">
        <f t="shared" si="210"/>
        <v>0</v>
      </c>
      <c r="AI416">
        <f t="shared" si="215"/>
        <v>0</v>
      </c>
    </row>
    <row r="417" spans="1:35" x14ac:dyDescent="0.2">
      <c r="A417" s="335">
        <v>39811</v>
      </c>
      <c r="B417" s="352">
        <f t="shared" si="211"/>
        <v>39.811</v>
      </c>
      <c r="C417" s="325">
        <f t="shared" si="186"/>
        <v>24.713545660385993</v>
      </c>
      <c r="D417" s="326">
        <f t="shared" si="187"/>
        <v>1.5303216373532402</v>
      </c>
      <c r="E417" s="326">
        <f t="shared" si="188"/>
        <v>1.0012506172693898</v>
      </c>
      <c r="F417" s="327">
        <f t="shared" si="189"/>
        <v>4.9986303908089384E-2</v>
      </c>
      <c r="G417" s="326">
        <f t="shared" si="190"/>
        <v>1</v>
      </c>
      <c r="H417" s="327">
        <f t="shared" si="191"/>
        <v>0</v>
      </c>
      <c r="I417" s="325">
        <f t="shared" si="192"/>
        <v>52839.53285868642</v>
      </c>
      <c r="J417" s="328">
        <f t="shared" si="193"/>
        <v>1.5707774015708085</v>
      </c>
      <c r="K417" s="336">
        <f t="shared" si="213"/>
        <v>10.038020625834021</v>
      </c>
      <c r="L417" s="337">
        <f t="shared" si="214"/>
        <v>1.4710095726803025</v>
      </c>
      <c r="M417" s="325">
        <f t="shared" si="194"/>
        <v>1.0046302306960826</v>
      </c>
      <c r="N417" s="337">
        <f t="shared" si="195"/>
        <v>9.6046188258361809E-2</v>
      </c>
      <c r="O417" s="343">
        <f t="shared" si="196"/>
        <v>1.0264102039718452</v>
      </c>
      <c r="P417" s="691">
        <f t="shared" si="197"/>
        <v>0.22734009790656579</v>
      </c>
      <c r="Q417" s="336">
        <f t="shared" si="212"/>
        <v>6.5093317345590958</v>
      </c>
      <c r="R417" s="692">
        <f t="shared" si="198"/>
        <v>0.25101800481099545</v>
      </c>
      <c r="S417" s="329">
        <f t="shared" si="199"/>
        <v>1.0257085320822179</v>
      </c>
      <c r="T417" s="330">
        <f t="shared" si="200"/>
        <v>0.2305787191222019</v>
      </c>
      <c r="U417" s="331">
        <f t="shared" si="201"/>
        <v>-0.25958266716989309</v>
      </c>
      <c r="V417" s="332">
        <f t="shared" si="202"/>
        <v>-110.6041153335767</v>
      </c>
      <c r="W417" s="334">
        <f t="shared" si="203"/>
        <v>69.395884666423299</v>
      </c>
      <c r="Y417" s="307">
        <f t="shared" si="204"/>
        <v>39811</v>
      </c>
      <c r="Z417" s="307">
        <f t="shared" si="205"/>
        <v>1584915721</v>
      </c>
      <c r="AB417" s="333">
        <f t="shared" si="206"/>
        <v>23.240881835020129</v>
      </c>
      <c r="AC417" s="334">
        <f t="shared" si="207"/>
        <v>-11.219316764952389</v>
      </c>
      <c r="AE417" s="333">
        <f t="shared" si="208"/>
        <v>19.288687746786231</v>
      </c>
      <c r="AF417" s="334">
        <f t="shared" si="209"/>
        <v>-98.028154433746678</v>
      </c>
      <c r="AH417">
        <f t="shared" si="210"/>
        <v>0</v>
      </c>
      <c r="AI417">
        <f t="shared" si="215"/>
        <v>0</v>
      </c>
    </row>
    <row r="418" spans="1:35" x14ac:dyDescent="0.2">
      <c r="A418" s="335">
        <v>40042.75</v>
      </c>
      <c r="B418" s="352">
        <f t="shared" si="211"/>
        <v>40.042749999999998</v>
      </c>
      <c r="C418" s="325">
        <f t="shared" si="186"/>
        <v>24.857174653641184</v>
      </c>
      <c r="D418" s="326">
        <f t="shared" si="187"/>
        <v>1.530555633695351</v>
      </c>
      <c r="E418" s="326">
        <f t="shared" si="188"/>
        <v>1.0012652107480773</v>
      </c>
      <c r="F418" s="327">
        <f t="shared" si="189"/>
        <v>5.0276798257369901E-2</v>
      </c>
      <c r="G418" s="326">
        <f t="shared" si="190"/>
        <v>1</v>
      </c>
      <c r="H418" s="327">
        <f t="shared" si="191"/>
        <v>0</v>
      </c>
      <c r="I418" s="325">
        <f t="shared" si="192"/>
        <v>53147.125276250088</v>
      </c>
      <c r="J418" s="328">
        <f t="shared" si="193"/>
        <v>1.5707775111017643</v>
      </c>
      <c r="K418" s="336">
        <f t="shared" si="213"/>
        <v>10.095876248883885</v>
      </c>
      <c r="L418" s="337">
        <f t="shared" si="214"/>
        <v>1.4715833017330635</v>
      </c>
      <c r="M418" s="325">
        <f t="shared" si="194"/>
        <v>1.0046841690755046</v>
      </c>
      <c r="N418" s="337">
        <f t="shared" si="195"/>
        <v>9.6601835713375508E-2</v>
      </c>
      <c r="O418" s="343">
        <f t="shared" si="196"/>
        <v>1.0267145675362546</v>
      </c>
      <c r="P418" s="691">
        <f t="shared" si="197"/>
        <v>0.2286179943133177</v>
      </c>
      <c r="Q418" s="336">
        <f t="shared" si="212"/>
        <v>6.5116474362507848</v>
      </c>
      <c r="R418" s="692">
        <f t="shared" si="198"/>
        <v>0.25241925921265396</v>
      </c>
      <c r="S418" s="329">
        <f t="shared" si="199"/>
        <v>1.0260049222897911</v>
      </c>
      <c r="T418" s="330">
        <f t="shared" si="200"/>
        <v>0.23187726978318016</v>
      </c>
      <c r="U418" s="331">
        <f t="shared" si="201"/>
        <v>-0.31377772297218565</v>
      </c>
      <c r="V418" s="332">
        <f t="shared" si="202"/>
        <v>-110.68131787756226</v>
      </c>
      <c r="W418" s="334">
        <f t="shared" si="203"/>
        <v>69.318682122437735</v>
      </c>
      <c r="Y418" s="307">
        <f t="shared" si="204"/>
        <v>40042.75</v>
      </c>
      <c r="Z418" s="307">
        <f t="shared" si="205"/>
        <v>1603421827.5625</v>
      </c>
      <c r="AB418" s="333">
        <f t="shared" si="206"/>
        <v>23.239918018686435</v>
      </c>
      <c r="AC418" s="334">
        <f t="shared" si="207"/>
        <v>-11.218287041374936</v>
      </c>
      <c r="AE418" s="333">
        <f t="shared" si="208"/>
        <v>19.235970709077353</v>
      </c>
      <c r="AF418" s="334">
        <f t="shared" si="209"/>
        <v>-98.099318808824236</v>
      </c>
      <c r="AH418">
        <f t="shared" si="210"/>
        <v>0</v>
      </c>
      <c r="AI418">
        <f t="shared" si="215"/>
        <v>0</v>
      </c>
    </row>
    <row r="419" spans="1:35" x14ac:dyDescent="0.2">
      <c r="A419" s="335">
        <v>40274.5</v>
      </c>
      <c r="B419" s="352">
        <f t="shared" si="211"/>
        <v>40.274500000000003</v>
      </c>
      <c r="C419" s="325">
        <f t="shared" si="186"/>
        <v>25.000804992294992</v>
      </c>
      <c r="D419" s="326">
        <f t="shared" si="187"/>
        <v>1.5307869414186699</v>
      </c>
      <c r="E419" s="326">
        <f t="shared" si="188"/>
        <v>1.0012798887180319</v>
      </c>
      <c r="F419" s="327">
        <f t="shared" si="189"/>
        <v>5.0567284114328981E-2</v>
      </c>
      <c r="G419" s="326">
        <f t="shared" si="190"/>
        <v>1</v>
      </c>
      <c r="H419" s="327">
        <f t="shared" si="191"/>
        <v>0</v>
      </c>
      <c r="I419" s="325">
        <f t="shared" si="192"/>
        <v>53454.717693814389</v>
      </c>
      <c r="J419" s="328">
        <f t="shared" si="193"/>
        <v>1.5707776193721807</v>
      </c>
      <c r="K419" s="336">
        <f t="shared" si="213"/>
        <v>10.153735157271427</v>
      </c>
      <c r="L419" s="337">
        <f t="shared" si="214"/>
        <v>1.4721504924238675</v>
      </c>
      <c r="M419" s="325">
        <f t="shared" si="194"/>
        <v>1.0047384176118699</v>
      </c>
      <c r="N419" s="337">
        <f t="shared" si="195"/>
        <v>9.7157423338099513E-2</v>
      </c>
      <c r="O419" s="343">
        <f t="shared" si="196"/>
        <v>1.0270206067499292</v>
      </c>
      <c r="P419" s="691">
        <f t="shared" si="197"/>
        <v>0.22989513121053698</v>
      </c>
      <c r="Q419" s="336">
        <f t="shared" si="212"/>
        <v>6.5139757488387104</v>
      </c>
      <c r="R419" s="692">
        <f t="shared" si="198"/>
        <v>0.25381952117977918</v>
      </c>
      <c r="S419" s="329">
        <f t="shared" si="199"/>
        <v>1.0263029467876681</v>
      </c>
      <c r="T419" s="330">
        <f t="shared" si="200"/>
        <v>0.23317509016444654</v>
      </c>
      <c r="U419" s="331">
        <f t="shared" si="201"/>
        <v>-0.36769207631686962</v>
      </c>
      <c r="V419" s="332">
        <f t="shared" si="202"/>
        <v>-110.75868279434626</v>
      </c>
      <c r="W419" s="334">
        <f t="shared" si="203"/>
        <v>69.241317205653743</v>
      </c>
      <c r="Y419" s="307">
        <f t="shared" si="204"/>
        <v>40274.5</v>
      </c>
      <c r="Z419" s="307">
        <f t="shared" si="205"/>
        <v>1622035350.25</v>
      </c>
      <c r="AB419" s="333">
        <f t="shared" si="206"/>
        <v>23.238960053822211</v>
      </c>
      <c r="AC419" s="334">
        <f t="shared" si="207"/>
        <v>-11.217628438096284</v>
      </c>
      <c r="AE419" s="333">
        <f t="shared" si="208"/>
        <v>19.183530831263724</v>
      </c>
      <c r="AF419" s="334">
        <f t="shared" si="209"/>
        <v>-98.170287782020907</v>
      </c>
      <c r="AH419">
        <f t="shared" si="210"/>
        <v>0</v>
      </c>
      <c r="AI419">
        <f t="shared" si="215"/>
        <v>0</v>
      </c>
    </row>
    <row r="420" spans="1:35" x14ac:dyDescent="0.2">
      <c r="A420" s="335">
        <v>40506.25</v>
      </c>
      <c r="B420" s="352">
        <f t="shared" si="211"/>
        <v>40.506250000000001</v>
      </c>
      <c r="C420" s="325">
        <f t="shared" si="186"/>
        <v>25.144436653291809</v>
      </c>
      <c r="D420" s="326">
        <f t="shared" si="187"/>
        <v>1.5310156065725327</v>
      </c>
      <c r="E420" s="326">
        <f t="shared" si="188"/>
        <v>1.0012946511755381</v>
      </c>
      <c r="F420" s="327">
        <f t="shared" si="189"/>
        <v>5.0857761430317595E-2</v>
      </c>
      <c r="G420" s="326">
        <f t="shared" si="190"/>
        <v>1</v>
      </c>
      <c r="H420" s="327">
        <f t="shared" si="191"/>
        <v>0</v>
      </c>
      <c r="I420" s="325">
        <f t="shared" si="192"/>
        <v>53762.310111379316</v>
      </c>
      <c r="J420" s="328">
        <f t="shared" si="193"/>
        <v>1.5707777264036935</v>
      </c>
      <c r="K420" s="336">
        <f t="shared" si="213"/>
        <v>10.211597295152476</v>
      </c>
      <c r="L420" s="337">
        <f t="shared" si="214"/>
        <v>1.4727112555299173</v>
      </c>
      <c r="M420" s="325">
        <f t="shared" si="194"/>
        <v>1.0047929762549426</v>
      </c>
      <c r="N420" s="337">
        <f t="shared" si="195"/>
        <v>9.7712950799257445E-2</v>
      </c>
      <c r="O420" s="343">
        <f t="shared" si="196"/>
        <v>1.0273283201153505</v>
      </c>
      <c r="P420" s="691">
        <f t="shared" si="197"/>
        <v>0.23117150511264073</v>
      </c>
      <c r="Q420" s="336">
        <f t="shared" si="212"/>
        <v>6.5163166588073995</v>
      </c>
      <c r="R420" s="692">
        <f t="shared" si="198"/>
        <v>0.2552187863948937</v>
      </c>
      <c r="S420" s="329">
        <f t="shared" si="199"/>
        <v>1.0266026041573444</v>
      </c>
      <c r="T420" s="330">
        <f t="shared" si="200"/>
        <v>0.23447217689154501</v>
      </c>
      <c r="U420" s="331">
        <f t="shared" si="201"/>
        <v>-0.42132919160094295</v>
      </c>
      <c r="V420" s="332">
        <f t="shared" si="202"/>
        <v>-110.83620611922059</v>
      </c>
      <c r="W420" s="334">
        <f t="shared" si="203"/>
        <v>69.163793880779409</v>
      </c>
      <c r="Y420" s="307">
        <f t="shared" si="204"/>
        <v>40506.25</v>
      </c>
      <c r="Z420" s="307">
        <f t="shared" si="205"/>
        <v>1640756289.0625</v>
      </c>
      <c r="AB420" s="333">
        <f t="shared" si="206"/>
        <v>23.238007748707545</v>
      </c>
      <c r="AC420" s="334">
        <f t="shared" si="207"/>
        <v>-11.217334590194572</v>
      </c>
      <c r="AE420" s="333">
        <f t="shared" si="208"/>
        <v>19.131364830282752</v>
      </c>
      <c r="AF420" s="334">
        <f t="shared" si="209"/>
        <v>-98.24106380121458</v>
      </c>
      <c r="AH420">
        <f t="shared" si="210"/>
        <v>0</v>
      </c>
      <c r="AI420">
        <f t="shared" si="215"/>
        <v>0</v>
      </c>
    </row>
    <row r="421" spans="1:35" x14ac:dyDescent="0.2">
      <c r="A421" s="335">
        <v>40738</v>
      </c>
      <c r="B421" s="352">
        <f t="shared" si="211"/>
        <v>40.738</v>
      </c>
      <c r="C421" s="325">
        <f t="shared" si="186"/>
        <v>25.28806961409963</v>
      </c>
      <c r="D421" s="326">
        <f t="shared" si="187"/>
        <v>1.5312416741611767</v>
      </c>
      <c r="E421" s="326">
        <f t="shared" si="188"/>
        <v>1.0013094981168587</v>
      </c>
      <c r="F421" s="327">
        <f t="shared" si="189"/>
        <v>5.1148230156695361E-2</v>
      </c>
      <c r="G421" s="326">
        <f t="shared" si="190"/>
        <v>1</v>
      </c>
      <c r="H421" s="327">
        <f t="shared" si="191"/>
        <v>0</v>
      </c>
      <c r="I421" s="325">
        <f t="shared" si="192"/>
        <v>54069.902528944847</v>
      </c>
      <c r="J421" s="328">
        <f t="shared" si="193"/>
        <v>1.5707778322174462</v>
      </c>
      <c r="K421" s="336">
        <f t="shared" si="213"/>
        <v>10.269462607938372</v>
      </c>
      <c r="L421" s="337">
        <f t="shared" si="214"/>
        <v>1.4732656993480102</v>
      </c>
      <c r="M421" s="325">
        <f t="shared" si="194"/>
        <v>1.0048478449542106</v>
      </c>
      <c r="N421" s="337">
        <f t="shared" si="195"/>
        <v>9.8268417763793692E-2</v>
      </c>
      <c r="O421" s="343">
        <f t="shared" si="196"/>
        <v>1.0276377061286068</v>
      </c>
      <c r="P421" s="691">
        <f t="shared" si="197"/>
        <v>0.23244711254815356</v>
      </c>
      <c r="Q421" s="336">
        <f t="shared" si="212"/>
        <v>6.518670152587724</v>
      </c>
      <c r="R421" s="692">
        <f t="shared" si="198"/>
        <v>0.25661705056211465</v>
      </c>
      <c r="S421" s="329">
        <f t="shared" si="199"/>
        <v>1.0269038929742043</v>
      </c>
      <c r="T421" s="330">
        <f t="shared" si="200"/>
        <v>0.23576852660326802</v>
      </c>
      <c r="U421" s="331">
        <f t="shared" si="201"/>
        <v>-0.47469247145881244</v>
      </c>
      <c r="V421" s="332">
        <f t="shared" si="202"/>
        <v>-110.91388397088629</v>
      </c>
      <c r="W421" s="334">
        <f t="shared" si="203"/>
        <v>69.086116029113711</v>
      </c>
      <c r="Y421" s="307">
        <f t="shared" si="204"/>
        <v>40738</v>
      </c>
      <c r="Z421" s="307">
        <f t="shared" si="205"/>
        <v>1659584644</v>
      </c>
      <c r="AB421" s="333">
        <f t="shared" si="206"/>
        <v>23.237060917037354</v>
      </c>
      <c r="AC421" s="334">
        <f t="shared" si="207"/>
        <v>-11.217399274849127</v>
      </c>
      <c r="AE421" s="333">
        <f t="shared" si="208"/>
        <v>19.079469479394906</v>
      </c>
      <c r="AF421" s="334">
        <f t="shared" si="209"/>
        <v>-98.311649255161981</v>
      </c>
      <c r="AH421">
        <f t="shared" si="210"/>
        <v>0</v>
      </c>
      <c r="AI421">
        <f t="shared" si="215"/>
        <v>0</v>
      </c>
    </row>
    <row r="422" spans="1:35" x14ac:dyDescent="0.2">
      <c r="A422" s="335">
        <v>40975.25</v>
      </c>
      <c r="B422" s="352">
        <f t="shared" si="211"/>
        <v>40.975250000000003</v>
      </c>
      <c r="C422" s="325">
        <f t="shared" si="186"/>
        <v>25.435112663346729</v>
      </c>
      <c r="D422" s="326">
        <f t="shared" si="187"/>
        <v>1.5314704620467263</v>
      </c>
      <c r="E422" s="326">
        <f t="shared" si="188"/>
        <v>1.001324784923971</v>
      </c>
      <c r="F422" s="327">
        <f t="shared" si="189"/>
        <v>5.1445583474920981E-2</v>
      </c>
      <c r="G422" s="326">
        <f t="shared" si="190"/>
        <v>1</v>
      </c>
      <c r="H422" s="327">
        <f t="shared" si="191"/>
        <v>0</v>
      </c>
      <c r="I422" s="325">
        <f t="shared" si="192"/>
        <v>54384.79487443596</v>
      </c>
      <c r="J422" s="328">
        <f t="shared" si="193"/>
        <v>1.5707779393025403</v>
      </c>
      <c r="K422" s="336">
        <f t="shared" si="213"/>
        <v>10.328704440651842</v>
      </c>
      <c r="L422" s="337">
        <f t="shared" si="214"/>
        <v>1.4738268659990248</v>
      </c>
      <c r="M422" s="325">
        <f t="shared" si="194"/>
        <v>1.0049043369513395</v>
      </c>
      <c r="N422" s="337">
        <f t="shared" si="195"/>
        <v>9.8837004316825655E-2</v>
      </c>
      <c r="O422" s="343">
        <f t="shared" si="196"/>
        <v>1.0279561657223442</v>
      </c>
      <c r="P422" s="691">
        <f t="shared" si="197"/>
        <v>0.23375219572200626</v>
      </c>
      <c r="Q422" s="336">
        <f t="shared" si="212"/>
        <v>6.5210925216890363</v>
      </c>
      <c r="R422" s="692">
        <f t="shared" si="198"/>
        <v>0.25804745756389269</v>
      </c>
      <c r="S422" s="329">
        <f t="shared" si="199"/>
        <v>1.0272140206092144</v>
      </c>
      <c r="T422" s="330">
        <f t="shared" si="200"/>
        <v>0.23709487494094442</v>
      </c>
      <c r="U422" s="331">
        <f t="shared" si="201"/>
        <v>-0.52904202230983366</v>
      </c>
      <c r="V422" s="332">
        <f t="shared" si="202"/>
        <v>-110.99356141398403</v>
      </c>
      <c r="W422" s="334">
        <f t="shared" si="203"/>
        <v>69.006438586015975</v>
      </c>
      <c r="Y422" s="307">
        <f t="shared" si="204"/>
        <v>40975.25</v>
      </c>
      <c r="Z422" s="307">
        <f t="shared" si="205"/>
        <v>1678971112.5625</v>
      </c>
      <c r="AB422" s="333">
        <f t="shared" si="206"/>
        <v>23.236097095525565</v>
      </c>
      <c r="AC422" s="334">
        <f t="shared" si="207"/>
        <v>-11.217830539443552</v>
      </c>
      <c r="AE422" s="333">
        <f t="shared" si="208"/>
        <v>19.026619573596811</v>
      </c>
      <c r="AF422" s="334">
        <f t="shared" si="209"/>
        <v>-98.383714907244553</v>
      </c>
      <c r="AH422">
        <f t="shared" si="210"/>
        <v>0</v>
      </c>
      <c r="AI422">
        <f t="shared" si="215"/>
        <v>0</v>
      </c>
    </row>
    <row r="423" spans="1:35" x14ac:dyDescent="0.2">
      <c r="A423" s="335">
        <v>41212.5</v>
      </c>
      <c r="B423" s="352">
        <f t="shared" si="211"/>
        <v>41.212499999999999</v>
      </c>
      <c r="C423" s="325">
        <f t="shared" si="186"/>
        <v>25.582157028661566</v>
      </c>
      <c r="D423" s="326">
        <f t="shared" si="187"/>
        <v>1.5316966198319748</v>
      </c>
      <c r="E423" s="326">
        <f t="shared" si="188"/>
        <v>1.0013401602645076</v>
      </c>
      <c r="F423" s="327">
        <f t="shared" si="189"/>
        <v>5.1742927687857536E-2</v>
      </c>
      <c r="G423" s="326">
        <f t="shared" si="190"/>
        <v>1</v>
      </c>
      <c r="H423" s="327">
        <f t="shared" si="191"/>
        <v>0</v>
      </c>
      <c r="I423" s="325">
        <f t="shared" si="192"/>
        <v>54699.687219927691</v>
      </c>
      <c r="J423" s="328">
        <f t="shared" si="193"/>
        <v>1.5707780451547104</v>
      </c>
      <c r="K423" s="336">
        <f t="shared" si="213"/>
        <v>10.387949488857821</v>
      </c>
      <c r="L423" s="337">
        <f t="shared" si="214"/>
        <v>1.4743816318783483</v>
      </c>
      <c r="M423" s="325">
        <f t="shared" si="194"/>
        <v>1.0049611537880767</v>
      </c>
      <c r="N423" s="337">
        <f t="shared" si="195"/>
        <v>9.9405526762020247E-2</v>
      </c>
      <c r="O423" s="343">
        <f t="shared" si="196"/>
        <v>1.0282763750880617</v>
      </c>
      <c r="P423" s="691">
        <f t="shared" si="197"/>
        <v>0.23505646829998642</v>
      </c>
      <c r="Q423" s="336">
        <f t="shared" si="212"/>
        <v>6.5235280500295438</v>
      </c>
      <c r="R423" s="692">
        <f t="shared" si="198"/>
        <v>0.25947680639753817</v>
      </c>
      <c r="S423" s="329">
        <f t="shared" si="199"/>
        <v>1.0275258550058426</v>
      </c>
      <c r="T423" s="330">
        <f t="shared" si="200"/>
        <v>0.23842044377955815</v>
      </c>
      <c r="U423" s="331">
        <f t="shared" si="201"/>
        <v>-0.58311161055952476</v>
      </c>
      <c r="V423" s="332">
        <f t="shared" si="202"/>
        <v>-111.07339283173127</v>
      </c>
      <c r="W423" s="334">
        <f t="shared" si="203"/>
        <v>68.926607168268731</v>
      </c>
      <c r="Y423" s="307">
        <f t="shared" si="204"/>
        <v>41212.5</v>
      </c>
      <c r="Z423" s="307">
        <f t="shared" si="205"/>
        <v>1698470156.25</v>
      </c>
      <c r="AB423" s="333">
        <f t="shared" si="206"/>
        <v>23.235138631810447</v>
      </c>
      <c r="AC423" s="334">
        <f t="shared" si="207"/>
        <v>-11.218624797492069</v>
      </c>
      <c r="AE423" s="333">
        <f t="shared" si="208"/>
        <v>18.974046648452045</v>
      </c>
      <c r="AF423" s="334">
        <f t="shared" si="209"/>
        <v>-98.455585725368152</v>
      </c>
      <c r="AH423">
        <f t="shared" si="210"/>
        <v>0</v>
      </c>
      <c r="AI423">
        <f t="shared" si="215"/>
        <v>0</v>
      </c>
    </row>
    <row r="424" spans="1:35" x14ac:dyDescent="0.2">
      <c r="A424" s="335">
        <v>41449.75</v>
      </c>
      <c r="B424" s="352">
        <f t="shared" si="211"/>
        <v>41.449750000000002</v>
      </c>
      <c r="C424" s="325">
        <f t="shared" si="186"/>
        <v>25.729202687479852</v>
      </c>
      <c r="D424" s="326">
        <f t="shared" si="187"/>
        <v>1.5319201925876582</v>
      </c>
      <c r="E424" s="326">
        <f t="shared" si="188"/>
        <v>1.0013556241343899</v>
      </c>
      <c r="F424" s="327">
        <f t="shared" si="189"/>
        <v>5.2040262743347131E-2</v>
      </c>
      <c r="G424" s="326">
        <f t="shared" si="190"/>
        <v>1</v>
      </c>
      <c r="H424" s="327">
        <f t="shared" si="191"/>
        <v>0</v>
      </c>
      <c r="I424" s="325">
        <f t="shared" si="192"/>
        <v>55014.579565420026</v>
      </c>
      <c r="J424" s="328">
        <f t="shared" si="193"/>
        <v>1.5707781497951276</v>
      </c>
      <c r="K424" s="336">
        <f t="shared" si="213"/>
        <v>10.447197697852072</v>
      </c>
      <c r="L424" s="337">
        <f t="shared" si="214"/>
        <v>1.4749301055418493</v>
      </c>
      <c r="M424" s="325">
        <f t="shared" si="194"/>
        <v>1.0050182954093303</v>
      </c>
      <c r="N424" s="337">
        <f t="shared" si="195"/>
        <v>9.9973984742768307E-2</v>
      </c>
      <c r="O424" s="343">
        <f t="shared" si="196"/>
        <v>1.028598332591613</v>
      </c>
      <c r="P424" s="691">
        <f t="shared" si="197"/>
        <v>0.2363599266037392</v>
      </c>
      <c r="Q424" s="336">
        <f t="shared" si="212"/>
        <v>6.5259767228785241</v>
      </c>
      <c r="R424" s="692">
        <f t="shared" si="198"/>
        <v>0.26090509252461069</v>
      </c>
      <c r="S424" s="329">
        <f t="shared" si="199"/>
        <v>1.027839394615925</v>
      </c>
      <c r="T424" s="330">
        <f t="shared" si="200"/>
        <v>0.23974522955625496</v>
      </c>
      <c r="U424" s="331">
        <f t="shared" si="201"/>
        <v>-0.63690469507963698</v>
      </c>
      <c r="V424" s="332">
        <f t="shared" si="202"/>
        <v>-111.15337431705127</v>
      </c>
      <c r="W424" s="334">
        <f t="shared" si="203"/>
        <v>68.846625682948726</v>
      </c>
      <c r="Y424" s="307">
        <f t="shared" si="204"/>
        <v>41449.75</v>
      </c>
      <c r="Z424" s="307">
        <f t="shared" si="205"/>
        <v>1718081775.0625</v>
      </c>
      <c r="AB424" s="333">
        <f t="shared" si="206"/>
        <v>23.234185342480625</v>
      </c>
      <c r="AC424" s="334">
        <f t="shared" si="207"/>
        <v>-11.219775809982362</v>
      </c>
      <c r="AE424" s="333">
        <f t="shared" si="208"/>
        <v>18.921747417253794</v>
      </c>
      <c r="AF424" s="334">
        <f t="shared" si="209"/>
        <v>-98.527264090747678</v>
      </c>
      <c r="AH424">
        <f t="shared" si="210"/>
        <v>0</v>
      </c>
      <c r="AI424">
        <f t="shared" si="215"/>
        <v>0</v>
      </c>
    </row>
    <row r="425" spans="1:35" x14ac:dyDescent="0.2">
      <c r="A425" s="335">
        <v>41687</v>
      </c>
      <c r="B425" s="352">
        <f t="shared" si="211"/>
        <v>41.686999999999998</v>
      </c>
      <c r="C425" s="325">
        <f t="shared" si="186"/>
        <v>25.876249617750009</v>
      </c>
      <c r="D425" s="326">
        <f t="shared" si="187"/>
        <v>1.5321412243610655</v>
      </c>
      <c r="E425" s="326">
        <f t="shared" si="188"/>
        <v>1.0013711765295172</v>
      </c>
      <c r="F425" s="327">
        <f t="shared" si="189"/>
        <v>5.2337588589241556E-2</v>
      </c>
      <c r="G425" s="326">
        <f t="shared" si="190"/>
        <v>1</v>
      </c>
      <c r="H425" s="327">
        <f t="shared" si="191"/>
        <v>0</v>
      </c>
      <c r="I425" s="325">
        <f t="shared" si="192"/>
        <v>55329.471910912966</v>
      </c>
      <c r="J425" s="328">
        <f t="shared" si="193"/>
        <v>1.5707782532444809</v>
      </c>
      <c r="K425" s="336">
        <f t="shared" si="213"/>
        <v>10.50644901416142</v>
      </c>
      <c r="L425" s="337">
        <f t="shared" si="214"/>
        <v>1.4754723931119249</v>
      </c>
      <c r="M425" s="325">
        <f t="shared" si="194"/>
        <v>1.005075761759705</v>
      </c>
      <c r="N425" s="337">
        <f t="shared" si="195"/>
        <v>0.1005423779027082</v>
      </c>
      <c r="O425" s="343">
        <f t="shared" si="196"/>
        <v>1.0289220365919816</v>
      </c>
      <c r="P425" s="691">
        <f t="shared" si="197"/>
        <v>0.23766256697056873</v>
      </c>
      <c r="Q425" s="336">
        <f t="shared" si="212"/>
        <v>6.5284385254479096</v>
      </c>
      <c r="R425" s="692">
        <f t="shared" si="198"/>
        <v>0.262332311430577</v>
      </c>
      <c r="S425" s="329">
        <f t="shared" si="199"/>
        <v>1.0281546378847282</v>
      </c>
      <c r="T425" s="330">
        <f t="shared" si="200"/>
        <v>0.24106922872289072</v>
      </c>
      <c r="U425" s="331">
        <f t="shared" si="201"/>
        <v>-0.69042467306133437</v>
      </c>
      <c r="V425" s="332">
        <f t="shared" si="202"/>
        <v>-111.23350204495723</v>
      </c>
      <c r="W425" s="334">
        <f t="shared" si="203"/>
        <v>68.766497955042766</v>
      </c>
      <c r="Y425" s="307">
        <f t="shared" si="204"/>
        <v>41687</v>
      </c>
      <c r="Z425" s="307">
        <f t="shared" si="205"/>
        <v>1737805969</v>
      </c>
      <c r="AB425" s="333">
        <f t="shared" si="206"/>
        <v>23.23323704931337</v>
      </c>
      <c r="AC425" s="334">
        <f t="shared" si="207"/>
        <v>-11.221277477316338</v>
      </c>
      <c r="AE425" s="333">
        <f t="shared" si="208"/>
        <v>18.869718649762188</v>
      </c>
      <c r="AF425" s="334">
        <f t="shared" si="209"/>
        <v>-98.598752326801062</v>
      </c>
      <c r="AH425">
        <f t="shared" si="210"/>
        <v>0</v>
      </c>
      <c r="AI425">
        <f t="shared" si="215"/>
        <v>0</v>
      </c>
    </row>
    <row r="426" spans="1:35" x14ac:dyDescent="0.2">
      <c r="A426" s="335">
        <v>41929.75</v>
      </c>
      <c r="B426" s="352">
        <f t="shared" si="211"/>
        <v>41.929749999999999</v>
      </c>
      <c r="C426" s="325">
        <f t="shared" si="186"/>
        <v>26.026706727181612</v>
      </c>
      <c r="D426" s="326">
        <f t="shared" si="187"/>
        <v>1.5323647950347974</v>
      </c>
      <c r="E426" s="326">
        <f t="shared" si="188"/>
        <v>1.0013871810879476</v>
      </c>
      <c r="F426" s="327">
        <f t="shared" si="189"/>
        <v>5.2641797544545635E-2</v>
      </c>
      <c r="G426" s="326">
        <f t="shared" si="190"/>
        <v>1</v>
      </c>
      <c r="H426" s="327">
        <f t="shared" si="191"/>
        <v>0</v>
      </c>
      <c r="I426" s="325">
        <f t="shared" si="192"/>
        <v>55651.664184331523</v>
      </c>
      <c r="J426" s="328">
        <f t="shared" si="193"/>
        <v>1.5707783578803149</v>
      </c>
      <c r="K426" s="336">
        <f t="shared" si="213"/>
        <v>10.567077073775009</v>
      </c>
      <c r="L426" s="337">
        <f t="shared" si="214"/>
        <v>1.4760209574943832</v>
      </c>
      <c r="M426" s="325">
        <f t="shared" si="194"/>
        <v>1.0051348963623241</v>
      </c>
      <c r="N426" s="337">
        <f t="shared" si="195"/>
        <v>0.10112388025807509</v>
      </c>
      <c r="O426" s="343">
        <f t="shared" si="196"/>
        <v>1.0292550507736928</v>
      </c>
      <c r="P426" s="691">
        <f t="shared" si="197"/>
        <v>0.2389945551304021</v>
      </c>
      <c r="Q426" s="336">
        <f t="shared" si="212"/>
        <v>6.5309709725858216</v>
      </c>
      <c r="R426" s="692">
        <f t="shared" si="198"/>
        <v>0.26379150724678008</v>
      </c>
      <c r="S426" s="329">
        <f t="shared" si="199"/>
        <v>1.0284789509467531</v>
      </c>
      <c r="T426" s="330">
        <f t="shared" si="200"/>
        <v>0.24242310337168294</v>
      </c>
      <c r="U426" s="331">
        <f t="shared" si="201"/>
        <v>-0.74490617051826247</v>
      </c>
      <c r="V426" s="332">
        <f t="shared" si="202"/>
        <v>-111.31563477907216</v>
      </c>
      <c r="W426" s="334">
        <f t="shared" si="203"/>
        <v>68.684365220927845</v>
      </c>
      <c r="Y426" s="307">
        <f t="shared" si="204"/>
        <v>41929.75</v>
      </c>
      <c r="Z426" s="307">
        <f t="shared" si="205"/>
        <v>1758103935.0625</v>
      </c>
      <c r="AB426" s="333">
        <f t="shared" si="206"/>
        <v>23.232271763137838</v>
      </c>
      <c r="AC426" s="334">
        <f t="shared" si="207"/>
        <v>-11.223170679343561</v>
      </c>
      <c r="AE426" s="333">
        <f t="shared" si="208"/>
        <v>18.81676036588868</v>
      </c>
      <c r="AF426" s="334">
        <f t="shared" si="209"/>
        <v>-98.671703397048688</v>
      </c>
      <c r="AH426">
        <f t="shared" si="210"/>
        <v>0</v>
      </c>
      <c r="AI426">
        <f t="shared" si="215"/>
        <v>0</v>
      </c>
    </row>
    <row r="427" spans="1:35" x14ac:dyDescent="0.2">
      <c r="A427" s="335">
        <v>42172.5</v>
      </c>
      <c r="B427" s="352">
        <f t="shared" si="211"/>
        <v>42.172499999999999</v>
      </c>
      <c r="C427" s="325">
        <f t="shared" si="186"/>
        <v>26.177165122573687</v>
      </c>
      <c r="D427" s="326">
        <f t="shared" si="187"/>
        <v>1.5325857956867972</v>
      </c>
      <c r="E427" s="326">
        <f t="shared" si="188"/>
        <v>1.001403278314873</v>
      </c>
      <c r="F427" s="327">
        <f t="shared" si="189"/>
        <v>5.2945996747883563E-2</v>
      </c>
      <c r="G427" s="326">
        <f t="shared" si="190"/>
        <v>1</v>
      </c>
      <c r="H427" s="327">
        <f t="shared" si="191"/>
        <v>0</v>
      </c>
      <c r="I427" s="325">
        <f t="shared" si="192"/>
        <v>55973.856457750684</v>
      </c>
      <c r="J427" s="328">
        <f t="shared" si="193"/>
        <v>1.5707784613115561</v>
      </c>
      <c r="K427" s="336">
        <f t="shared" si="213"/>
        <v>10.627708276982755</v>
      </c>
      <c r="L427" s="337">
        <f t="shared" si="214"/>
        <v>1.4765632629057208</v>
      </c>
      <c r="M427" s="325">
        <f t="shared" si="194"/>
        <v>1.005194370806215</v>
      </c>
      <c r="N427" s="337">
        <f t="shared" si="195"/>
        <v>0.10170531399840622</v>
      </c>
      <c r="O427" s="343">
        <f t="shared" si="196"/>
        <v>1.029589889868785</v>
      </c>
      <c r="P427" s="691">
        <f t="shared" si="197"/>
        <v>0.24032567928293358</v>
      </c>
      <c r="Q427" s="336">
        <f t="shared" si="212"/>
        <v>6.5335171337501725</v>
      </c>
      <c r="R427" s="692">
        <f t="shared" si="198"/>
        <v>0.26524957630177665</v>
      </c>
      <c r="S427" s="329">
        <f t="shared" si="199"/>
        <v>1.0288050442585717</v>
      </c>
      <c r="T427" s="330">
        <f t="shared" si="200"/>
        <v>0.24377614704891151</v>
      </c>
      <c r="U427" s="331">
        <f t="shared" si="201"/>
        <v>-0.79910875613357413</v>
      </c>
      <c r="V427" s="332">
        <f t="shared" si="202"/>
        <v>-111.39791276694125</v>
      </c>
      <c r="W427" s="334">
        <f t="shared" si="203"/>
        <v>68.602087233058754</v>
      </c>
      <c r="Y427" s="307">
        <f t="shared" si="204"/>
        <v>42172.5</v>
      </c>
      <c r="Z427" s="307">
        <f t="shared" si="205"/>
        <v>1778519756.25</v>
      </c>
      <c r="AB427" s="333">
        <f t="shared" si="206"/>
        <v>23.231311345859311</v>
      </c>
      <c r="AC427" s="334">
        <f t="shared" si="207"/>
        <v>-11.225418493630446</v>
      </c>
      <c r="AE427" s="333">
        <f t="shared" si="208"/>
        <v>18.764078564714882</v>
      </c>
      <c r="AF427" s="334">
        <f t="shared" si="209"/>
        <v>-98.744460163480611</v>
      </c>
      <c r="AH427">
        <f t="shared" si="210"/>
        <v>0</v>
      </c>
      <c r="AI427">
        <f t="shared" si="215"/>
        <v>0</v>
      </c>
    </row>
    <row r="428" spans="1:35" x14ac:dyDescent="0.2">
      <c r="A428" s="335">
        <v>42415.25</v>
      </c>
      <c r="B428" s="352">
        <f t="shared" si="211"/>
        <v>42.41525</v>
      </c>
      <c r="C428" s="325">
        <f t="shared" si="186"/>
        <v>26.327624781879024</v>
      </c>
      <c r="D428" s="326">
        <f t="shared" si="187"/>
        <v>1.5328042703575167</v>
      </c>
      <c r="E428" s="326">
        <f t="shared" si="188"/>
        <v>1.0014194682058251</v>
      </c>
      <c r="F428" s="327">
        <f t="shared" si="189"/>
        <v>5.3250186143427497E-2</v>
      </c>
      <c r="G428" s="326">
        <f t="shared" si="190"/>
        <v>1</v>
      </c>
      <c r="H428" s="327">
        <f t="shared" si="191"/>
        <v>0</v>
      </c>
      <c r="I428" s="325">
        <f t="shared" si="192"/>
        <v>56296.048731170442</v>
      </c>
      <c r="J428" s="328">
        <f t="shared" si="193"/>
        <v>1.5707785635588865</v>
      </c>
      <c r="K428" s="336">
        <f t="shared" si="213"/>
        <v>10.68834257028715</v>
      </c>
      <c r="L428" s="337">
        <f t="shared" si="214"/>
        <v>1.4770994155444583</v>
      </c>
      <c r="M428" s="325">
        <f t="shared" si="194"/>
        <v>1.0052541850310592</v>
      </c>
      <c r="N428" s="337">
        <f t="shared" si="195"/>
        <v>0.10228667874279017</v>
      </c>
      <c r="O428" s="343">
        <f t="shared" si="196"/>
        <v>1.0299265520973668</v>
      </c>
      <c r="P428" s="691">
        <f t="shared" si="197"/>
        <v>0.24165593555594878</v>
      </c>
      <c r="Q428" s="336">
        <f t="shared" si="212"/>
        <v>6.5360769929166658</v>
      </c>
      <c r="R428" s="692">
        <f t="shared" si="198"/>
        <v>0.26670651383773208</v>
      </c>
      <c r="S428" s="329">
        <f t="shared" si="199"/>
        <v>1.0291329161336733</v>
      </c>
      <c r="T428" s="330">
        <f t="shared" si="200"/>
        <v>0.24512835600197558</v>
      </c>
      <c r="U428" s="331">
        <f t="shared" si="201"/>
        <v>-0.8530358776711443</v>
      </c>
      <c r="V428" s="332">
        <f t="shared" si="202"/>
        <v>-111.48033216397799</v>
      </c>
      <c r="W428" s="334">
        <f t="shared" si="203"/>
        <v>68.519667836022009</v>
      </c>
      <c r="Y428" s="307">
        <f t="shared" si="204"/>
        <v>42415.25</v>
      </c>
      <c r="Z428" s="307">
        <f t="shared" si="205"/>
        <v>1799053432.5625</v>
      </c>
      <c r="AB428" s="333">
        <f t="shared" si="206"/>
        <v>23.230355622327515</v>
      </c>
      <c r="AC428" s="334">
        <f t="shared" si="207"/>
        <v>-11.228014814810338</v>
      </c>
      <c r="AE428" s="333">
        <f t="shared" si="208"/>
        <v>18.711669961475724</v>
      </c>
      <c r="AF428" s="334">
        <f t="shared" si="209"/>
        <v>-98.817024937619323</v>
      </c>
      <c r="AH428">
        <f t="shared" si="210"/>
        <v>0</v>
      </c>
      <c r="AI428">
        <f t="shared" si="215"/>
        <v>0</v>
      </c>
    </row>
    <row r="429" spans="1:35" x14ac:dyDescent="0.2">
      <c r="A429" s="335">
        <v>42658</v>
      </c>
      <c r="B429" s="352">
        <f t="shared" si="211"/>
        <v>42.658000000000001</v>
      </c>
      <c r="C429" s="325">
        <f t="shared" si="186"/>
        <v>26.478085683551345</v>
      </c>
      <c r="D429" s="326">
        <f t="shared" si="187"/>
        <v>1.5330202620873512</v>
      </c>
      <c r="E429" s="326">
        <f t="shared" si="188"/>
        <v>1.0014357507563096</v>
      </c>
      <c r="F429" s="327">
        <f t="shared" si="189"/>
        <v>5.3554365675360482E-2</v>
      </c>
      <c r="G429" s="326">
        <f t="shared" si="190"/>
        <v>1</v>
      </c>
      <c r="H429" s="327">
        <f t="shared" si="191"/>
        <v>0</v>
      </c>
      <c r="I429" s="325">
        <f t="shared" si="192"/>
        <v>56618.241004590775</v>
      </c>
      <c r="J429" s="328">
        <f t="shared" si="193"/>
        <v>1.5707786646425177</v>
      </c>
      <c r="K429" s="336">
        <f t="shared" si="213"/>
        <v>10.748979901395096</v>
      </c>
      <c r="L429" s="337">
        <f t="shared" si="214"/>
        <v>1.4776295192270947</v>
      </c>
      <c r="M429" s="325">
        <f t="shared" si="194"/>
        <v>1.0053143389762078</v>
      </c>
      <c r="N429" s="337">
        <f t="shared" si="195"/>
        <v>0.10286797411059247</v>
      </c>
      <c r="O429" s="343">
        <f t="shared" si="196"/>
        <v>1.0302650356721896</v>
      </c>
      <c r="P429" s="691">
        <f t="shared" si="197"/>
        <v>0.24298532009456719</v>
      </c>
      <c r="Q429" s="336">
        <f t="shared" si="212"/>
        <v>6.5386505339999594</v>
      </c>
      <c r="R429" s="692">
        <f t="shared" si="198"/>
        <v>0.26816231512320504</v>
      </c>
      <c r="S429" s="329">
        <f t="shared" si="199"/>
        <v>1.0294625648785043</v>
      </c>
      <c r="T429" s="330">
        <f t="shared" si="200"/>
        <v>0.24647972649456371</v>
      </c>
      <c r="U429" s="331">
        <f t="shared" si="201"/>
        <v>-0.90669092142182772</v>
      </c>
      <c r="V429" s="332">
        <f t="shared" si="202"/>
        <v>-111.56288920621753</v>
      </c>
      <c r="W429" s="334">
        <f t="shared" si="203"/>
        <v>68.437110793782466</v>
      </c>
      <c r="Y429" s="307">
        <f t="shared" si="204"/>
        <v>42658</v>
      </c>
      <c r="Z429" s="307">
        <f t="shared" si="205"/>
        <v>1819704964</v>
      </c>
      <c r="AB429" s="333">
        <f t="shared" si="206"/>
        <v>23.229404422353028</v>
      </c>
      <c r="AC429" s="334">
        <f t="shared" si="207"/>
        <v>-11.230953673985317</v>
      </c>
      <c r="AE429" s="333">
        <f t="shared" si="208"/>
        <v>18.659531327893212</v>
      </c>
      <c r="AF429" s="334">
        <f t="shared" si="209"/>
        <v>-98.889399974621071</v>
      </c>
      <c r="AH429">
        <f t="shared" si="210"/>
        <v>0</v>
      </c>
      <c r="AI429">
        <f t="shared" si="215"/>
        <v>0</v>
      </c>
    </row>
    <row r="430" spans="1:35" x14ac:dyDescent="0.2">
      <c r="A430" s="335">
        <v>42906.5</v>
      </c>
      <c r="B430" s="352">
        <f t="shared" si="211"/>
        <v>42.906500000000001</v>
      </c>
      <c r="C430" s="325">
        <f t="shared" si="186"/>
        <v>26.632111805544458</v>
      </c>
      <c r="D430" s="326">
        <f t="shared" si="187"/>
        <v>1.533238842052135</v>
      </c>
      <c r="E430" s="326">
        <f t="shared" si="188"/>
        <v>1.0014525149633127</v>
      </c>
      <c r="F430" s="327">
        <f t="shared" si="189"/>
        <v>5.3865740008648279E-2</v>
      </c>
      <c r="G430" s="326">
        <f t="shared" si="190"/>
        <v>1</v>
      </c>
      <c r="H430" s="327">
        <f t="shared" si="191"/>
        <v>0</v>
      </c>
      <c r="I430" s="325">
        <f t="shared" si="192"/>
        <v>56948.065020842456</v>
      </c>
      <c r="J430" s="328">
        <f t="shared" si="193"/>
        <v>1.5707787669357567</v>
      </c>
      <c r="K430" s="336">
        <f t="shared" si="213"/>
        <v>10.811056637382467</v>
      </c>
      <c r="L430" s="337">
        <f t="shared" si="214"/>
        <v>1.4781660198105062</v>
      </c>
      <c r="M430" s="325">
        <f t="shared" si="194"/>
        <v>1.0053762696054214</v>
      </c>
      <c r="N430" s="337">
        <f t="shared" si="195"/>
        <v>0.10346296631756877</v>
      </c>
      <c r="O430" s="343">
        <f t="shared" si="196"/>
        <v>1.0306134215773746</v>
      </c>
      <c r="P430" s="691">
        <f t="shared" si="197"/>
        <v>0.24434528670112102</v>
      </c>
      <c r="Q430" s="336">
        <f t="shared" si="212"/>
        <v>6.5412991893690355</v>
      </c>
      <c r="R430" s="692">
        <f t="shared" si="198"/>
        <v>0.26965141800581921</v>
      </c>
      <c r="S430" s="329">
        <f t="shared" si="199"/>
        <v>1.0298018607126711</v>
      </c>
      <c r="T430" s="330">
        <f t="shared" si="200"/>
        <v>0.2478622344228128</v>
      </c>
      <c r="U430" s="331">
        <f t="shared" si="201"/>
        <v>-0.96133853900889599</v>
      </c>
      <c r="V430" s="332">
        <f t="shared" si="202"/>
        <v>-111.64754049780676</v>
      </c>
      <c r="W430" s="334">
        <f t="shared" si="203"/>
        <v>68.352459502193241</v>
      </c>
      <c r="Y430" s="307">
        <f t="shared" si="204"/>
        <v>42906.5</v>
      </c>
      <c r="Z430" s="307">
        <f t="shared" si="205"/>
        <v>1840967742.25</v>
      </c>
      <c r="AB430" s="333">
        <f t="shared" si="206"/>
        <v>23.228435204288811</v>
      </c>
      <c r="AC430" s="334">
        <f t="shared" si="207"/>
        <v>-11.234310858127156</v>
      </c>
      <c r="AE430" s="333">
        <f t="shared" si="208"/>
        <v>18.606434015840929</v>
      </c>
      <c r="AF430" s="334">
        <f t="shared" si="209"/>
        <v>-98.963295118459698</v>
      </c>
      <c r="AH430">
        <f t="shared" si="210"/>
        <v>0</v>
      </c>
      <c r="AI430">
        <f t="shared" si="215"/>
        <v>0</v>
      </c>
    </row>
    <row r="431" spans="1:35" x14ac:dyDescent="0.2">
      <c r="A431" s="335">
        <v>43155</v>
      </c>
      <c r="B431" s="352">
        <f t="shared" si="211"/>
        <v>43.155000000000001</v>
      </c>
      <c r="C431" s="325">
        <f t="shared" si="186"/>
        <v>26.786139185312056</v>
      </c>
      <c r="D431" s="326">
        <f t="shared" si="187"/>
        <v>1.5334549082420088</v>
      </c>
      <c r="E431" s="326">
        <f t="shared" si="188"/>
        <v>1.0014693762618621</v>
      </c>
      <c r="F431" s="327">
        <f t="shared" si="189"/>
        <v>5.4177103887178342E-2</v>
      </c>
      <c r="G431" s="326">
        <f t="shared" si="190"/>
        <v>1</v>
      </c>
      <c r="H431" s="327">
        <f t="shared" si="191"/>
        <v>0</v>
      </c>
      <c r="I431" s="325">
        <f t="shared" si="192"/>
        <v>57277.889037094734</v>
      </c>
      <c r="J431" s="328">
        <f t="shared" si="193"/>
        <v>1.5707788680509229</v>
      </c>
      <c r="K431" s="336">
        <f t="shared" si="213"/>
        <v>10.873136449615426</v>
      </c>
      <c r="L431" s="337">
        <f t="shared" si="214"/>
        <v>1.4786963942805238</v>
      </c>
      <c r="M431" s="325">
        <f t="shared" si="194"/>
        <v>1.0054385561097257</v>
      </c>
      <c r="N431" s="337">
        <f t="shared" si="195"/>
        <v>0.10405788501608979</v>
      </c>
      <c r="O431" s="343">
        <f t="shared" si="196"/>
        <v>1.030963712321231</v>
      </c>
      <c r="P431" s="691">
        <f t="shared" si="197"/>
        <v>0.24570433166757699</v>
      </c>
      <c r="Q431" s="336">
        <f t="shared" si="212"/>
        <v>6.5439621481903156</v>
      </c>
      <c r="R431" s="692">
        <f t="shared" si="198"/>
        <v>0.27113932022287618</v>
      </c>
      <c r="S431" s="329">
        <f t="shared" si="199"/>
        <v>1.0301430149767217</v>
      </c>
      <c r="T431" s="330">
        <f t="shared" si="200"/>
        <v>0.24924385582795869</v>
      </c>
      <c r="U431" s="331">
        <f t="shared" si="201"/>
        <v>-1.0157080268715701</v>
      </c>
      <c r="V431" s="332">
        <f t="shared" si="202"/>
        <v>-111.73232829992261</v>
      </c>
      <c r="W431" s="334">
        <f t="shared" si="203"/>
        <v>68.267671700077386</v>
      </c>
      <c r="Y431" s="307">
        <f t="shared" si="204"/>
        <v>43155</v>
      </c>
      <c r="Z431" s="307">
        <f t="shared" si="205"/>
        <v>1862354025</v>
      </c>
      <c r="AB431" s="333">
        <f t="shared" si="206"/>
        <v>23.227470380915779</v>
      </c>
      <c r="AC431" s="334">
        <f t="shared" si="207"/>
        <v>-11.238014763488833</v>
      </c>
      <c r="AE431" s="333">
        <f t="shared" si="208"/>
        <v>18.553612944131565</v>
      </c>
      <c r="AF431" s="334">
        <f t="shared" si="209"/>
        <v>-99.036996038586352</v>
      </c>
      <c r="AH431">
        <f t="shared" si="210"/>
        <v>0</v>
      </c>
      <c r="AI431">
        <f t="shared" si="215"/>
        <v>0</v>
      </c>
    </row>
    <row r="432" spans="1:35" x14ac:dyDescent="0.2">
      <c r="A432" s="335">
        <v>43403.5</v>
      </c>
      <c r="B432" s="352">
        <f t="shared" si="211"/>
        <v>43.403500000000001</v>
      </c>
      <c r="C432" s="325">
        <f t="shared" si="186"/>
        <v>26.94016780128058</v>
      </c>
      <c r="D432" s="326">
        <f t="shared" si="187"/>
        <v>1.5336685037536457</v>
      </c>
      <c r="E432" s="326">
        <f t="shared" si="188"/>
        <v>1.0014863346470542</v>
      </c>
      <c r="F432" s="327">
        <f t="shared" si="189"/>
        <v>5.4488457251108374E-2</v>
      </c>
      <c r="G432" s="326">
        <f t="shared" si="190"/>
        <v>1</v>
      </c>
      <c r="H432" s="327">
        <f t="shared" si="191"/>
        <v>0</v>
      </c>
      <c r="I432" s="325">
        <f t="shared" si="192"/>
        <v>57607.713053347594</v>
      </c>
      <c r="J432" s="328">
        <f t="shared" si="193"/>
        <v>1.5707789680082507</v>
      </c>
      <c r="K432" s="336">
        <f t="shared" si="213"/>
        <v>10.935219285701947</v>
      </c>
      <c r="L432" s="337">
        <f t="shared" si="214"/>
        <v>1.479220746676073</v>
      </c>
      <c r="M432" s="325">
        <f t="shared" si="194"/>
        <v>1.005501198422986</v>
      </c>
      <c r="N432" s="337">
        <f t="shared" si="195"/>
        <v>0.10465272979873835</v>
      </c>
      <c r="O432" s="343">
        <f t="shared" si="196"/>
        <v>1.0313159059627992</v>
      </c>
      <c r="P432" s="691">
        <f t="shared" si="197"/>
        <v>0.24706245091529866</v>
      </c>
      <c r="Q432" s="336">
        <f t="shared" si="212"/>
        <v>6.5466393930123443</v>
      </c>
      <c r="R432" s="692">
        <f t="shared" si="198"/>
        <v>0.27262601678492276</v>
      </c>
      <c r="S432" s="329">
        <f t="shared" si="199"/>
        <v>1.0304860258312185</v>
      </c>
      <c r="T432" s="330">
        <f t="shared" si="200"/>
        <v>0.25062458675515314</v>
      </c>
      <c r="U432" s="331">
        <f t="shared" si="201"/>
        <v>-1.0698028267706934</v>
      </c>
      <c r="V432" s="332">
        <f t="shared" si="202"/>
        <v>-111.81724882329398</v>
      </c>
      <c r="W432" s="334">
        <f t="shared" si="203"/>
        <v>68.18275117670602</v>
      </c>
      <c r="Y432" s="307">
        <f t="shared" si="204"/>
        <v>43403.5</v>
      </c>
      <c r="Z432" s="307">
        <f t="shared" si="205"/>
        <v>1883863812.25</v>
      </c>
      <c r="AB432" s="333">
        <f t="shared" si="206"/>
        <v>23.226509784752707</v>
      </c>
      <c r="AC432" s="334">
        <f t="shared" si="207"/>
        <v>-11.242059406895059</v>
      </c>
      <c r="AE432" s="333">
        <f t="shared" si="208"/>
        <v>18.501064825345303</v>
      </c>
      <c r="AF432" s="334">
        <f t="shared" si="209"/>
        <v>-99.110504981091111</v>
      </c>
      <c r="AH432">
        <f t="shared" si="210"/>
        <v>0</v>
      </c>
      <c r="AI432">
        <f t="shared" si="215"/>
        <v>0</v>
      </c>
    </row>
    <row r="433" spans="1:35" x14ac:dyDescent="0.2">
      <c r="A433" s="335">
        <v>43652</v>
      </c>
      <c r="B433" s="352">
        <f t="shared" si="211"/>
        <v>43.652000000000001</v>
      </c>
      <c r="C433" s="325">
        <f t="shared" si="186"/>
        <v>27.094197632366885</v>
      </c>
      <c r="D433" s="326">
        <f t="shared" si="187"/>
        <v>1.5338796707046185</v>
      </c>
      <c r="E433" s="326">
        <f t="shared" si="188"/>
        <v>1.0015033901139565</v>
      </c>
      <c r="F433" s="327">
        <f t="shared" si="189"/>
        <v>5.479980004060829E-2</v>
      </c>
      <c r="G433" s="326">
        <f t="shared" si="190"/>
        <v>1</v>
      </c>
      <c r="H433" s="327">
        <f t="shared" si="191"/>
        <v>0</v>
      </c>
      <c r="I433" s="325">
        <f t="shared" si="192"/>
        <v>57937.537069601014</v>
      </c>
      <c r="J433" s="328">
        <f t="shared" si="193"/>
        <v>1.5707790668275141</v>
      </c>
      <c r="K433" s="336">
        <f t="shared" si="213"/>
        <v>10.997305094430558</v>
      </c>
      <c r="L433" s="337">
        <f t="shared" si="214"/>
        <v>1.4797391787000704</v>
      </c>
      <c r="M433" s="325">
        <f t="shared" si="194"/>
        <v>1.0055641964787059</v>
      </c>
      <c r="N433" s="337">
        <f t="shared" si="195"/>
        <v>0.10524750025840779</v>
      </c>
      <c r="O433" s="343">
        <f t="shared" si="196"/>
        <v>1.0316700005532342</v>
      </c>
      <c r="P433" s="691">
        <f t="shared" si="197"/>
        <v>0.2484196403848635</v>
      </c>
      <c r="Q433" s="336">
        <f t="shared" si="212"/>
        <v>6.549330906318656</v>
      </c>
      <c r="R433" s="692">
        <f t="shared" si="198"/>
        <v>0.27411150273168011</v>
      </c>
      <c r="S433" s="329">
        <f t="shared" si="199"/>
        <v>1.0308308914291706</v>
      </c>
      <c r="T433" s="330">
        <f t="shared" si="200"/>
        <v>0.25200442326761108</v>
      </c>
      <c r="U433" s="331">
        <f t="shared" si="201"/>
        <v>-1.1236263190736575</v>
      </c>
      <c r="V433" s="332">
        <f t="shared" si="202"/>
        <v>-111.90229835799117</v>
      </c>
      <c r="W433" s="334">
        <f t="shared" si="203"/>
        <v>68.097701642008829</v>
      </c>
      <c r="Y433" s="307">
        <f t="shared" si="204"/>
        <v>43652</v>
      </c>
      <c r="Z433" s="307">
        <f t="shared" si="205"/>
        <v>1905497104</v>
      </c>
      <c r="AB433" s="333">
        <f t="shared" si="206"/>
        <v>23.225553253070487</v>
      </c>
      <c r="AC433" s="334">
        <f t="shared" si="207"/>
        <v>-11.246438939005436</v>
      </c>
      <c r="AE433" s="333">
        <f t="shared" si="208"/>
        <v>18.448786428678709</v>
      </c>
      <c r="AF433" s="334">
        <f t="shared" si="209"/>
        <v>-99.183824137000002</v>
      </c>
      <c r="AH433">
        <f t="shared" si="210"/>
        <v>0</v>
      </c>
      <c r="AI433">
        <f t="shared" si="215"/>
        <v>0</v>
      </c>
    </row>
    <row r="434" spans="1:35" x14ac:dyDescent="0.2">
      <c r="A434" s="335">
        <v>43906</v>
      </c>
      <c r="B434" s="352">
        <f t="shared" si="211"/>
        <v>43.905999999999999</v>
      </c>
      <c r="C434" s="325">
        <f t="shared" si="186"/>
        <v>27.251637808708928</v>
      </c>
      <c r="D434" s="326">
        <f t="shared" si="187"/>
        <v>1.5340930444404322</v>
      </c>
      <c r="E434" s="326">
        <f t="shared" si="188"/>
        <v>1.0015209233894016</v>
      </c>
      <c r="F434" s="327">
        <f t="shared" si="189"/>
        <v>5.5118022726440272E-2</v>
      </c>
      <c r="G434" s="326">
        <f t="shared" si="190"/>
        <v>1</v>
      </c>
      <c r="H434" s="327">
        <f t="shared" si="191"/>
        <v>0</v>
      </c>
      <c r="I434" s="325">
        <f t="shared" si="192"/>
        <v>58274.66101378014</v>
      </c>
      <c r="J434" s="328">
        <f t="shared" si="193"/>
        <v>1.5707791666779152</v>
      </c>
      <c r="K434" s="336">
        <f t="shared" si="213"/>
        <v>11.060768055692714</v>
      </c>
      <c r="L434" s="337">
        <f t="shared" si="214"/>
        <v>1.4802630702041484</v>
      </c>
      <c r="M434" s="325">
        <f t="shared" si="194"/>
        <v>1.0056289564279413</v>
      </c>
      <c r="N434" s="337">
        <f t="shared" si="195"/>
        <v>0.10585535741964681</v>
      </c>
      <c r="O434" s="343">
        <f t="shared" si="196"/>
        <v>1.0320338947346341</v>
      </c>
      <c r="P434" s="691">
        <f t="shared" si="197"/>
        <v>0.2498059031733996</v>
      </c>
      <c r="Q434" s="336">
        <f t="shared" si="212"/>
        <v>6.5520967177199214</v>
      </c>
      <c r="R434" s="692">
        <f t="shared" si="198"/>
        <v>0.27562861040035574</v>
      </c>
      <c r="S434" s="329">
        <f t="shared" si="199"/>
        <v>1.0311853047103441</v>
      </c>
      <c r="T434" s="330">
        <f t="shared" si="200"/>
        <v>0.25341387101402513</v>
      </c>
      <c r="U434" s="331">
        <f t="shared" si="201"/>
        <v>-1.1783641509866543</v>
      </c>
      <c r="V434" s="332">
        <f t="shared" si="202"/>
        <v>-111.98935982127075</v>
      </c>
      <c r="W434" s="334">
        <f t="shared" si="203"/>
        <v>68.010640178729247</v>
      </c>
      <c r="Y434" s="307">
        <f t="shared" si="204"/>
        <v>43906</v>
      </c>
      <c r="Z434" s="307">
        <f t="shared" si="205"/>
        <v>1927736836</v>
      </c>
      <c r="AB434" s="333">
        <f t="shared" si="206"/>
        <v>23.224579586475933</v>
      </c>
      <c r="AC434" s="334">
        <f t="shared" si="207"/>
        <v>-11.251255537796869</v>
      </c>
      <c r="AE434" s="333">
        <f t="shared" si="208"/>
        <v>18.395626402062135</v>
      </c>
      <c r="AF434" s="334">
        <f t="shared" si="209"/>
        <v>-99.25857214207673</v>
      </c>
      <c r="AH434">
        <f t="shared" si="210"/>
        <v>0</v>
      </c>
      <c r="AI434">
        <f t="shared" si="215"/>
        <v>0</v>
      </c>
    </row>
    <row r="435" spans="1:35" x14ac:dyDescent="0.2">
      <c r="A435" s="335">
        <v>44160</v>
      </c>
      <c r="B435" s="352">
        <f t="shared" si="211"/>
        <v>44.16</v>
      </c>
      <c r="C435" s="325">
        <f t="shared" si="186"/>
        <v>27.409079211519433</v>
      </c>
      <c r="D435" s="326">
        <f t="shared" si="187"/>
        <v>1.5343039668914227</v>
      </c>
      <c r="E435" s="326">
        <f t="shared" si="188"/>
        <v>1.0015385580809848</v>
      </c>
      <c r="F435" s="327">
        <f t="shared" si="189"/>
        <v>5.5436234238218883E-2</v>
      </c>
      <c r="G435" s="326">
        <f t="shared" si="190"/>
        <v>1</v>
      </c>
      <c r="H435" s="327">
        <f t="shared" si="191"/>
        <v>0</v>
      </c>
      <c r="I435" s="325">
        <f t="shared" si="192"/>
        <v>58611.784957959848</v>
      </c>
      <c r="J435" s="328">
        <f t="shared" si="193"/>
        <v>1.570779265379675</v>
      </c>
      <c r="K435" s="336">
        <f t="shared" si="213"/>
        <v>11.124234018080685</v>
      </c>
      <c r="L435" s="337">
        <f t="shared" si="214"/>
        <v>1.4807809840390591</v>
      </c>
      <c r="M435" s="325">
        <f t="shared" si="194"/>
        <v>1.0056940878994169</v>
      </c>
      <c r="N435" s="337">
        <f t="shared" si="195"/>
        <v>0.10646313607247962</v>
      </c>
      <c r="O435" s="343">
        <f t="shared" si="196"/>
        <v>1.0323997708005386</v>
      </c>
      <c r="P435" s="691">
        <f t="shared" si="197"/>
        <v>0.2511911860566568</v>
      </c>
      <c r="Q435" s="336">
        <f t="shared" si="212"/>
        <v>6.5548773989865099</v>
      </c>
      <c r="R435" s="692">
        <f t="shared" si="198"/>
        <v>0.27714444288628542</v>
      </c>
      <c r="S435" s="329">
        <f t="shared" si="199"/>
        <v>1.0315416518188967</v>
      </c>
      <c r="T435" s="330">
        <f t="shared" si="200"/>
        <v>0.25482237605669145</v>
      </c>
      <c r="U435" s="331">
        <f t="shared" si="201"/>
        <v>-1.2328254841745032</v>
      </c>
      <c r="V435" s="332">
        <f t="shared" si="202"/>
        <v>-112.07654847660515</v>
      </c>
      <c r="W435" s="334">
        <f t="shared" si="203"/>
        <v>67.923451523394846</v>
      </c>
      <c r="Y435" s="307">
        <f t="shared" si="204"/>
        <v>44160</v>
      </c>
      <c r="Z435" s="307">
        <f t="shared" si="205"/>
        <v>1950105600</v>
      </c>
      <c r="AB435" s="333">
        <f t="shared" si="206"/>
        <v>23.223609836995291</v>
      </c>
      <c r="AC435" s="334">
        <f t="shared" si="207"/>
        <v>-11.256410067790682</v>
      </c>
      <c r="AE435" s="333">
        <f t="shared" si="208"/>
        <v>18.342741519120288</v>
      </c>
      <c r="AF435" s="334">
        <f t="shared" si="209"/>
        <v>-99.333126326158521</v>
      </c>
      <c r="AH435">
        <f t="shared" si="210"/>
        <v>0</v>
      </c>
      <c r="AI435">
        <f t="shared" si="215"/>
        <v>0</v>
      </c>
    </row>
    <row r="436" spans="1:35" x14ac:dyDescent="0.2">
      <c r="A436" s="335">
        <v>44414</v>
      </c>
      <c r="B436" s="352">
        <f t="shared" si="211"/>
        <v>44.414000000000001</v>
      </c>
      <c r="C436" s="325">
        <f t="shared" si="186"/>
        <v>27.566521819784128</v>
      </c>
      <c r="D436" s="326">
        <f t="shared" si="187"/>
        <v>1.5345124800392449</v>
      </c>
      <c r="E436" s="326">
        <f t="shared" si="188"/>
        <v>1.0015562941833491</v>
      </c>
      <c r="F436" s="327">
        <f t="shared" si="189"/>
        <v>5.5754434512092783E-2</v>
      </c>
      <c r="G436" s="326">
        <f t="shared" si="190"/>
        <v>1</v>
      </c>
      <c r="H436" s="327">
        <f t="shared" si="191"/>
        <v>0</v>
      </c>
      <c r="I436" s="325">
        <f t="shared" si="192"/>
        <v>58948.908902140116</v>
      </c>
      <c r="J436" s="328">
        <f t="shared" si="193"/>
        <v>1.5707793629525004</v>
      </c>
      <c r="K436" s="336">
        <f t="shared" si="213"/>
        <v>11.187702930519819</v>
      </c>
      <c r="L436" s="337">
        <f t="shared" si="214"/>
        <v>1.4812930216602382</v>
      </c>
      <c r="M436" s="325">
        <f t="shared" si="194"/>
        <v>1.0057595908209549</v>
      </c>
      <c r="N436" s="337">
        <f t="shared" si="195"/>
        <v>0.10707083578318163</v>
      </c>
      <c r="O436" s="343">
        <f t="shared" si="196"/>
        <v>1.0327676266445951</v>
      </c>
      <c r="P436" s="691">
        <f t="shared" si="197"/>
        <v>0.25257548476217734</v>
      </c>
      <c r="Q436" s="336">
        <f t="shared" si="212"/>
        <v>6.5576729312057536</v>
      </c>
      <c r="R436" s="692">
        <f t="shared" si="198"/>
        <v>0.27865899498727287</v>
      </c>
      <c r="S436" s="329">
        <f t="shared" si="199"/>
        <v>1.0318999307583003</v>
      </c>
      <c r="T436" s="330">
        <f t="shared" si="200"/>
        <v>0.25622993425038021</v>
      </c>
      <c r="U436" s="331">
        <f t="shared" si="201"/>
        <v>-1.2870137387996203</v>
      </c>
      <c r="V436" s="332">
        <f t="shared" si="202"/>
        <v>-112.16386060556033</v>
      </c>
      <c r="W436" s="334">
        <f t="shared" si="203"/>
        <v>67.83613939443967</v>
      </c>
      <c r="Y436" s="307">
        <f t="shared" si="204"/>
        <v>44414</v>
      </c>
      <c r="Z436" s="307">
        <f t="shared" si="205"/>
        <v>1972603396</v>
      </c>
      <c r="AB436" s="333">
        <f t="shared" si="206"/>
        <v>23.222643845232515</v>
      </c>
      <c r="AC436" s="334">
        <f t="shared" si="207"/>
        <v>-11.261896692297096</v>
      </c>
      <c r="AE436" s="333">
        <f t="shared" si="208"/>
        <v>18.290128504951657</v>
      </c>
      <c r="AF436" s="334">
        <f t="shared" si="209"/>
        <v>-99.407488860771224</v>
      </c>
      <c r="AH436">
        <f t="shared" si="210"/>
        <v>0</v>
      </c>
      <c r="AI436">
        <f t="shared" si="215"/>
        <v>0</v>
      </c>
    </row>
    <row r="437" spans="1:35" x14ac:dyDescent="0.2">
      <c r="A437" s="335">
        <v>44668</v>
      </c>
      <c r="B437" s="352">
        <f t="shared" si="211"/>
        <v>44.667999999999999</v>
      </c>
      <c r="C437" s="325">
        <f t="shared" si="186"/>
        <v>27.723965612965916</v>
      </c>
      <c r="D437" s="326">
        <f t="shared" si="187"/>
        <v>1.5347186249127507</v>
      </c>
      <c r="E437" s="326">
        <f t="shared" si="188"/>
        <v>1.0015741316911073</v>
      </c>
      <c r="F437" s="327">
        <f t="shared" si="189"/>
        <v>5.6072623484224246E-2</v>
      </c>
      <c r="G437" s="326">
        <f t="shared" si="190"/>
        <v>1</v>
      </c>
      <c r="H437" s="327">
        <f t="shared" si="191"/>
        <v>0</v>
      </c>
      <c r="I437" s="325">
        <f t="shared" si="192"/>
        <v>59286.03284632093</v>
      </c>
      <c r="J437" s="328">
        <f t="shared" si="193"/>
        <v>1.5707794594156499</v>
      </c>
      <c r="K437" s="336">
        <f t="shared" si="213"/>
        <v>11.251174743085585</v>
      </c>
      <c r="L437" s="337">
        <f t="shared" si="214"/>
        <v>1.4817992822462249</v>
      </c>
      <c r="M437" s="325">
        <f t="shared" si="194"/>
        <v>1.0058254651199847</v>
      </c>
      <c r="N437" s="337">
        <f t="shared" si="195"/>
        <v>0.10767845611837414</v>
      </c>
      <c r="O437" s="343">
        <f t="shared" si="196"/>
        <v>1.033137460152062</v>
      </c>
      <c r="P437" s="691">
        <f t="shared" si="197"/>
        <v>0.2539587950386597</v>
      </c>
      <c r="Q437" s="336">
        <f t="shared" si="212"/>
        <v>6.5604832953963044</v>
      </c>
      <c r="R437" s="692">
        <f t="shared" si="198"/>
        <v>0.28017226153315095</v>
      </c>
      <c r="S437" s="329">
        <f t="shared" si="199"/>
        <v>1.0322601395239839</v>
      </c>
      <c r="T437" s="330">
        <f t="shared" si="200"/>
        <v>0.25763654146975823</v>
      </c>
      <c r="U437" s="331">
        <f t="shared" si="201"/>
        <v>-1.3409322740729461</v>
      </c>
      <c r="V437" s="332">
        <f t="shared" si="202"/>
        <v>-112.2512925673236</v>
      </c>
      <c r="W437" s="334">
        <f t="shared" si="203"/>
        <v>67.748707432676397</v>
      </c>
      <c r="Y437" s="307">
        <f t="shared" si="204"/>
        <v>44668</v>
      </c>
      <c r="Z437" s="307">
        <f t="shared" si="205"/>
        <v>1995230224</v>
      </c>
      <c r="AB437" s="333">
        <f t="shared" si="206"/>
        <v>23.221681456316222</v>
      </c>
      <c r="AC437" s="334">
        <f t="shared" si="207"/>
        <v>-11.267709705077083</v>
      </c>
      <c r="AE437" s="333">
        <f t="shared" si="208"/>
        <v>18.237784141057332</v>
      </c>
      <c r="AF437" s="334">
        <f t="shared" si="209"/>
        <v>-99.481661863988379</v>
      </c>
      <c r="AH437">
        <f t="shared" si="210"/>
        <v>0</v>
      </c>
      <c r="AI437">
        <f t="shared" si="215"/>
        <v>0</v>
      </c>
    </row>
    <row r="438" spans="1:35" x14ac:dyDescent="0.2">
      <c r="A438" s="335">
        <v>44928.25</v>
      </c>
      <c r="B438" s="352">
        <f t="shared" si="211"/>
        <v>44.928249999999998</v>
      </c>
      <c r="C438" s="325">
        <f t="shared" si="186"/>
        <v>27.885284723254156</v>
      </c>
      <c r="D438" s="326">
        <f t="shared" si="187"/>
        <v>1.5349274277762999</v>
      </c>
      <c r="E438" s="326">
        <f t="shared" si="188"/>
        <v>1.001592513287163</v>
      </c>
      <c r="F438" s="327">
        <f t="shared" si="189"/>
        <v>5.6398630120363231E-2</v>
      </c>
      <c r="G438" s="326">
        <f t="shared" si="190"/>
        <v>1</v>
      </c>
      <c r="H438" s="327">
        <f t="shared" si="191"/>
        <v>0</v>
      </c>
      <c r="I438" s="325">
        <f t="shared" si="192"/>
        <v>59631.45216314456</v>
      </c>
      <c r="J438" s="328">
        <f t="shared" si="193"/>
        <v>1.5707795571211125</v>
      </c>
      <c r="K438" s="336">
        <f t="shared" si="213"/>
        <v>11.31621131907867</v>
      </c>
      <c r="L438" s="337">
        <f t="shared" si="214"/>
        <v>1.4823121094046419</v>
      </c>
      <c r="M438" s="325">
        <f t="shared" si="194"/>
        <v>1.0058933454626853</v>
      </c>
      <c r="N438" s="337">
        <f t="shared" si="195"/>
        <v>0.10830094495926976</v>
      </c>
      <c r="O438" s="343">
        <f t="shared" si="196"/>
        <v>1.0335184429298623</v>
      </c>
      <c r="P438" s="691">
        <f t="shared" si="197"/>
        <v>0.255375113827705</v>
      </c>
      <c r="Q438" s="336">
        <f t="shared" si="212"/>
        <v>6.5633781762295476</v>
      </c>
      <c r="R438" s="692">
        <f t="shared" si="198"/>
        <v>0.28172142520222226</v>
      </c>
      <c r="S438" s="329">
        <f t="shared" si="199"/>
        <v>1.0326312112290401</v>
      </c>
      <c r="T438" s="330">
        <f t="shared" si="200"/>
        <v>0.25907676943214747</v>
      </c>
      <c r="U438" s="331">
        <f t="shared" si="201"/>
        <v>-1.3959012389255243</v>
      </c>
      <c r="V438" s="332">
        <f t="shared" si="202"/>
        <v>-112.34099647034174</v>
      </c>
      <c r="W438" s="334">
        <f t="shared" si="203"/>
        <v>67.659003529658264</v>
      </c>
      <c r="Y438" s="307">
        <f t="shared" si="204"/>
        <v>44928.25</v>
      </c>
      <c r="Z438" s="307">
        <f t="shared" si="205"/>
        <v>2018547648.0625</v>
      </c>
      <c r="AB438" s="333">
        <f t="shared" si="206"/>
        <v>23.220698966135021</v>
      </c>
      <c r="AC438" s="334">
        <f t="shared" si="207"/>
        <v>-11.273998454775246</v>
      </c>
      <c r="AE438" s="333">
        <f t="shared" si="208"/>
        <v>18.184427115775527</v>
      </c>
      <c r="AF438" s="334">
        <f t="shared" si="209"/>
        <v>-99.55746556634422</v>
      </c>
      <c r="AH438">
        <f t="shared" si="210"/>
        <v>0</v>
      </c>
      <c r="AI438">
        <f t="shared" si="215"/>
        <v>0</v>
      </c>
    </row>
    <row r="439" spans="1:35" x14ac:dyDescent="0.2">
      <c r="A439" s="335">
        <v>45188.5</v>
      </c>
      <c r="B439" s="352">
        <f t="shared" si="211"/>
        <v>45.188499999999998</v>
      </c>
      <c r="C439" s="325">
        <f t="shared" si="186"/>
        <v>28.046605035317064</v>
      </c>
      <c r="D439" s="326">
        <f t="shared" si="187"/>
        <v>1.5351338286366063</v>
      </c>
      <c r="E439" s="326">
        <f t="shared" si="188"/>
        <v>1.0016110013288841</v>
      </c>
      <c r="F439" s="327">
        <f t="shared" si="189"/>
        <v>5.6724624756087874E-2</v>
      </c>
      <c r="G439" s="326">
        <f t="shared" si="190"/>
        <v>1</v>
      </c>
      <c r="H439" s="327">
        <f t="shared" si="191"/>
        <v>0</v>
      </c>
      <c r="I439" s="325">
        <f t="shared" si="192"/>
        <v>59976.871479968759</v>
      </c>
      <c r="J439" s="328">
        <f t="shared" si="193"/>
        <v>1.5707796537011629</v>
      </c>
      <c r="K439" s="336">
        <f t="shared" si="213"/>
        <v>11.381250837128217</v>
      </c>
      <c r="L439" s="337">
        <f t="shared" si="214"/>
        <v>1.4828190754709532</v>
      </c>
      <c r="M439" s="325">
        <f t="shared" si="194"/>
        <v>1.0059616155286786</v>
      </c>
      <c r="N439" s="337">
        <f t="shared" si="195"/>
        <v>0.10892334955030956</v>
      </c>
      <c r="O439" s="343">
        <f t="shared" si="196"/>
        <v>1.033901497372864</v>
      </c>
      <c r="P439" s="691">
        <f t="shared" si="197"/>
        <v>0.25679038597836473</v>
      </c>
      <c r="Q439" s="336">
        <f t="shared" si="212"/>
        <v>6.5662885873714139</v>
      </c>
      <c r="R439" s="692">
        <f t="shared" si="198"/>
        <v>0.28326922838655899</v>
      </c>
      <c r="S439" s="329">
        <f t="shared" si="199"/>
        <v>1.0330043046142814</v>
      </c>
      <c r="T439" s="330">
        <f t="shared" si="200"/>
        <v>0.26051599034048417</v>
      </c>
      <c r="U439" s="331">
        <f t="shared" si="201"/>
        <v>-1.4505939973431126</v>
      </c>
      <c r="V439" s="332">
        <f t="shared" si="202"/>
        <v>-112.43081867846516</v>
      </c>
      <c r="W439" s="334">
        <f t="shared" si="203"/>
        <v>67.569181321534842</v>
      </c>
      <c r="Y439" s="307">
        <f t="shared" si="204"/>
        <v>45188.5</v>
      </c>
      <c r="Z439" s="307">
        <f t="shared" si="205"/>
        <v>2042000532.25</v>
      </c>
      <c r="AB439" s="333">
        <f t="shared" si="206"/>
        <v>23.219719943027943</v>
      </c>
      <c r="AC439" s="334">
        <f t="shared" si="207"/>
        <v>-11.280618128672238</v>
      </c>
      <c r="AE439" s="333">
        <f t="shared" si="208"/>
        <v>18.13134545968073</v>
      </c>
      <c r="AF439" s="334">
        <f t="shared" si="209"/>
        <v>-99.633074631677786</v>
      </c>
      <c r="AH439">
        <f t="shared" si="210"/>
        <v>0</v>
      </c>
      <c r="AI439">
        <f t="shared" si="215"/>
        <v>0</v>
      </c>
    </row>
    <row r="440" spans="1:35" x14ac:dyDescent="0.2">
      <c r="A440" s="335">
        <v>45448.75</v>
      </c>
      <c r="B440" s="352">
        <f t="shared" si="211"/>
        <v>45.448749999999997</v>
      </c>
      <c r="C440" s="325">
        <f t="shared" si="186"/>
        <v>28.207926528535893</v>
      </c>
      <c r="D440" s="326">
        <f t="shared" si="187"/>
        <v>1.5353378686871935</v>
      </c>
      <c r="E440" s="326">
        <f t="shared" si="188"/>
        <v>1.0016295958103771</v>
      </c>
      <c r="F440" s="327">
        <f t="shared" si="189"/>
        <v>5.7050607322776101E-2</v>
      </c>
      <c r="G440" s="326">
        <f t="shared" si="190"/>
        <v>1</v>
      </c>
      <c r="H440" s="327">
        <f t="shared" si="191"/>
        <v>0</v>
      </c>
      <c r="I440" s="325">
        <f t="shared" si="192"/>
        <v>60322.290796793503</v>
      </c>
      <c r="J440" s="328">
        <f t="shared" si="193"/>
        <v>1.5707797491751339</v>
      </c>
      <c r="K440" s="336">
        <f t="shared" si="213"/>
        <v>11.446293247082638</v>
      </c>
      <c r="L440" s="337">
        <f t="shared" si="214"/>
        <v>1.4833202800975156</v>
      </c>
      <c r="M440" s="325">
        <f t="shared" si="194"/>
        <v>1.0060302752386237</v>
      </c>
      <c r="N440" s="337">
        <f t="shared" si="195"/>
        <v>0.10954566942647122</v>
      </c>
      <c r="O440" s="343">
        <f t="shared" si="196"/>
        <v>1.0342866211793047</v>
      </c>
      <c r="P440" s="691">
        <f t="shared" si="197"/>
        <v>0.25820460698712044</v>
      </c>
      <c r="Q440" s="336">
        <f t="shared" si="212"/>
        <v>6.5692145081840438</v>
      </c>
      <c r="R440" s="692">
        <f t="shared" si="198"/>
        <v>0.28481566562976923</v>
      </c>
      <c r="S440" s="329">
        <f t="shared" si="199"/>
        <v>1.0333794174975612</v>
      </c>
      <c r="T440" s="330">
        <f t="shared" si="200"/>
        <v>0.26195419982262858</v>
      </c>
      <c r="U440" s="331">
        <f t="shared" si="201"/>
        <v>-1.5050139727531473</v>
      </c>
      <c r="V440" s="332">
        <f t="shared" si="202"/>
        <v>-112.52075551554435</v>
      </c>
      <c r="W440" s="334">
        <f t="shared" si="203"/>
        <v>67.479244484455648</v>
      </c>
      <c r="Y440" s="307">
        <f t="shared" si="204"/>
        <v>45448.75</v>
      </c>
      <c r="Z440" s="307">
        <f t="shared" si="205"/>
        <v>2065588876.5625</v>
      </c>
      <c r="AB440" s="333">
        <f t="shared" si="206"/>
        <v>23.21874423421454</v>
      </c>
      <c r="AC440" s="334">
        <f t="shared" si="207"/>
        <v>-11.287562991572472</v>
      </c>
      <c r="AE440" s="333">
        <f t="shared" si="208"/>
        <v>18.078535886820926</v>
      </c>
      <c r="AF440" s="334">
        <f t="shared" si="209"/>
        <v>-99.708491173630733</v>
      </c>
      <c r="AH440">
        <f t="shared" si="210"/>
        <v>0</v>
      </c>
      <c r="AI440">
        <f t="shared" si="215"/>
        <v>0</v>
      </c>
    </row>
    <row r="441" spans="1:35" x14ac:dyDescent="0.2">
      <c r="A441" s="335">
        <v>45709</v>
      </c>
      <c r="B441" s="352">
        <f t="shared" si="211"/>
        <v>45.709000000000003</v>
      </c>
      <c r="C441" s="325">
        <f t="shared" si="186"/>
        <v>28.369249182760743</v>
      </c>
      <c r="D441" s="326">
        <f t="shared" si="187"/>
        <v>1.5355395881853882</v>
      </c>
      <c r="E441" s="326">
        <f t="shared" si="188"/>
        <v>1.0016482967257139</v>
      </c>
      <c r="F441" s="327">
        <f t="shared" si="189"/>
        <v>5.7376577751821145E-2</v>
      </c>
      <c r="G441" s="326">
        <f t="shared" si="190"/>
        <v>1</v>
      </c>
      <c r="H441" s="327">
        <f t="shared" si="191"/>
        <v>0</v>
      </c>
      <c r="I441" s="325">
        <f t="shared" si="192"/>
        <v>60667.710113618799</v>
      </c>
      <c r="J441" s="328">
        <f t="shared" si="193"/>
        <v>1.5707798435619187</v>
      </c>
      <c r="K441" s="336">
        <f t="shared" si="213"/>
        <v>11.511338499921623</v>
      </c>
      <c r="L441" s="337">
        <f t="shared" si="214"/>
        <v>1.4838158206960572</v>
      </c>
      <c r="M441" s="325">
        <f t="shared" si="194"/>
        <v>1.0060993245127483</v>
      </c>
      <c r="N441" s="337">
        <f t="shared" si="195"/>
        <v>0.11016790412312137</v>
      </c>
      <c r="O441" s="343">
        <f t="shared" si="196"/>
        <v>1.0346738120384245</v>
      </c>
      <c r="P441" s="691">
        <f t="shared" si="197"/>
        <v>0.25961777237395928</v>
      </c>
      <c r="Q441" s="336">
        <f t="shared" si="212"/>
        <v>6.5721559179564446</v>
      </c>
      <c r="R441" s="692">
        <f t="shared" si="198"/>
        <v>0.28636073151093833</v>
      </c>
      <c r="S441" s="329">
        <f t="shared" si="199"/>
        <v>1.0337565476880994</v>
      </c>
      <c r="T441" s="330">
        <f t="shared" si="200"/>
        <v>0.26339139352855534</v>
      </c>
      <c r="U441" s="331">
        <f t="shared" si="201"/>
        <v>-1.5591645274764987</v>
      </c>
      <c r="V441" s="332">
        <f t="shared" si="202"/>
        <v>-112.6108033821174</v>
      </c>
      <c r="W441" s="334">
        <f t="shared" si="203"/>
        <v>67.389196617882604</v>
      </c>
      <c r="Y441" s="307">
        <f t="shared" si="204"/>
        <v>45709</v>
      </c>
      <c r="Z441" s="307">
        <f t="shared" si="205"/>
        <v>2089312681</v>
      </c>
      <c r="AB441" s="333">
        <f t="shared" si="206"/>
        <v>23.21777169126408</v>
      </c>
      <c r="AC441" s="334">
        <f t="shared" si="207"/>
        <v>-11.294827436656025</v>
      </c>
      <c r="AE441" s="333">
        <f t="shared" si="208"/>
        <v>18.025995167977413</v>
      </c>
      <c r="AF441" s="334">
        <f t="shared" si="209"/>
        <v>-99.783717253470769</v>
      </c>
      <c r="AH441">
        <f t="shared" si="210"/>
        <v>0</v>
      </c>
      <c r="AI441">
        <f t="shared" si="215"/>
        <v>0</v>
      </c>
    </row>
    <row r="442" spans="1:35" x14ac:dyDescent="0.2">
      <c r="A442" s="335">
        <v>45975.25</v>
      </c>
      <c r="B442" s="352">
        <f t="shared" si="211"/>
        <v>45.975250000000003</v>
      </c>
      <c r="C442" s="325">
        <f t="shared" si="186"/>
        <v>28.534292272191763</v>
      </c>
      <c r="D442" s="326">
        <f t="shared" si="187"/>
        <v>1.5357435978847676</v>
      </c>
      <c r="E442" s="326">
        <f t="shared" si="188"/>
        <v>1.0016675389226952</v>
      </c>
      <c r="F442" s="327">
        <f t="shared" si="189"/>
        <v>5.7710050717117704E-2</v>
      </c>
      <c r="G442" s="326">
        <f t="shared" si="190"/>
        <v>1</v>
      </c>
      <c r="H442" s="327">
        <f t="shared" si="191"/>
        <v>0</v>
      </c>
      <c r="I442" s="325">
        <f t="shared" si="192"/>
        <v>61021.092988181248</v>
      </c>
      <c r="J442" s="328">
        <f t="shared" si="193"/>
        <v>1.5707799390189479</v>
      </c>
      <c r="K442" s="336">
        <f t="shared" si="213"/>
        <v>11.577886247119373</v>
      </c>
      <c r="L442" s="337">
        <f t="shared" si="214"/>
        <v>1.4843170237510661</v>
      </c>
      <c r="M442" s="325">
        <f t="shared" si="194"/>
        <v>1.0061703687570067</v>
      </c>
      <c r="N442" s="337">
        <f t="shared" si="195"/>
        <v>0.11080439565633438</v>
      </c>
      <c r="O442" s="343">
        <f t="shared" si="196"/>
        <v>1.0350720661540325</v>
      </c>
      <c r="P442" s="691">
        <f t="shared" si="197"/>
        <v>0.26106242088745041</v>
      </c>
      <c r="Q442" s="336">
        <f t="shared" si="212"/>
        <v>6.5751811482545772</v>
      </c>
      <c r="R442" s="692">
        <f t="shared" si="198"/>
        <v>0.28793999374072171</v>
      </c>
      <c r="S442" s="329">
        <f t="shared" si="199"/>
        <v>1.0341444578354277</v>
      </c>
      <c r="T442" s="330">
        <f t="shared" si="200"/>
        <v>0.26486066569647493</v>
      </c>
      <c r="U442" s="331">
        <f t="shared" si="201"/>
        <v>-1.6142881441872521</v>
      </c>
      <c r="V442" s="332">
        <f t="shared" si="202"/>
        <v>-112.70303850357243</v>
      </c>
      <c r="W442" s="334">
        <f t="shared" si="203"/>
        <v>67.296961496427571</v>
      </c>
      <c r="Y442" s="307">
        <f t="shared" si="204"/>
        <v>45975.25</v>
      </c>
      <c r="Z442" s="307">
        <f t="shared" si="205"/>
        <v>2113723612.5625</v>
      </c>
      <c r="AB442" s="333">
        <f t="shared" si="206"/>
        <v>23.216779852385478</v>
      </c>
      <c r="AC442" s="334">
        <f t="shared" si="207"/>
        <v>-11.302584364767622</v>
      </c>
      <c r="AE442" s="333">
        <f t="shared" si="208"/>
        <v>17.972518049467542</v>
      </c>
      <c r="AF442" s="334">
        <f t="shared" si="209"/>
        <v>-99.860482648997291</v>
      </c>
      <c r="AH442">
        <f t="shared" si="210"/>
        <v>0</v>
      </c>
      <c r="AI442">
        <f t="shared" si="215"/>
        <v>0</v>
      </c>
    </row>
    <row r="443" spans="1:35" x14ac:dyDescent="0.2">
      <c r="A443" s="335">
        <v>46241.5</v>
      </c>
      <c r="B443" s="352">
        <f t="shared" si="211"/>
        <v>46.241500000000002</v>
      </c>
      <c r="C443" s="325">
        <f t="shared" si="186"/>
        <v>28.69933653555961</v>
      </c>
      <c r="D443" s="326">
        <f t="shared" si="187"/>
        <v>1.5359452611528119</v>
      </c>
      <c r="E443" s="326">
        <f t="shared" si="188"/>
        <v>1.0016868925050457</v>
      </c>
      <c r="F443" s="327">
        <f t="shared" si="189"/>
        <v>5.804351083343965E-2</v>
      </c>
      <c r="G443" s="326">
        <f t="shared" si="190"/>
        <v>1</v>
      </c>
      <c r="H443" s="327">
        <f t="shared" si="191"/>
        <v>0</v>
      </c>
      <c r="I443" s="325">
        <f t="shared" si="192"/>
        <v>61374.47586274425</v>
      </c>
      <c r="J443" s="328">
        <f t="shared" si="193"/>
        <v>1.570780033376729</v>
      </c>
      <c r="K443" s="336">
        <f t="shared" si="213"/>
        <v>11.644436869490749</v>
      </c>
      <c r="L443" s="337">
        <f t="shared" si="214"/>
        <v>1.4848124979489665</v>
      </c>
      <c r="M443" s="325">
        <f t="shared" si="194"/>
        <v>1.0062418205648307</v>
      </c>
      <c r="N443" s="337">
        <f t="shared" si="195"/>
        <v>0.11144079705461056</v>
      </c>
      <c r="O443" s="343">
        <f t="shared" si="196"/>
        <v>1.0354724788103911</v>
      </c>
      <c r="P443" s="691">
        <f t="shared" si="197"/>
        <v>0.26250595513321323</v>
      </c>
      <c r="Q443" s="336">
        <f t="shared" si="212"/>
        <v>6.5782225458483001</v>
      </c>
      <c r="R443" s="692">
        <f t="shared" si="198"/>
        <v>0.28951780928227239</v>
      </c>
      <c r="S443" s="329">
        <f t="shared" si="199"/>
        <v>1.0345344747131093</v>
      </c>
      <c r="T443" s="330">
        <f t="shared" si="200"/>
        <v>0.26632886557158891</v>
      </c>
      <c r="U443" s="331">
        <f t="shared" si="201"/>
        <v>-1.6691367038394493</v>
      </c>
      <c r="V443" s="332">
        <f t="shared" si="202"/>
        <v>-112.79538244846314</v>
      </c>
      <c r="W443" s="334">
        <f t="shared" si="203"/>
        <v>67.204617551536856</v>
      </c>
      <c r="Y443" s="307">
        <f t="shared" si="204"/>
        <v>46241.5</v>
      </c>
      <c r="Z443" s="307">
        <f t="shared" si="205"/>
        <v>2138276322.25</v>
      </c>
      <c r="AB443" s="333">
        <f t="shared" si="206"/>
        <v>23.215791026057655</v>
      </c>
      <c r="AC443" s="334">
        <f t="shared" si="207"/>
        <v>-11.310664304879607</v>
      </c>
      <c r="AE443" s="333">
        <f t="shared" si="208"/>
        <v>17.91931566335834</v>
      </c>
      <c r="AF443" s="334">
        <f t="shared" si="209"/>
        <v>-99.937052902251025</v>
      </c>
      <c r="AH443">
        <f t="shared" si="210"/>
        <v>0</v>
      </c>
      <c r="AI443">
        <f t="shared" si="215"/>
        <v>0</v>
      </c>
    </row>
    <row r="444" spans="1:35" x14ac:dyDescent="0.2">
      <c r="A444" s="335">
        <v>46507.75</v>
      </c>
      <c r="B444" s="352">
        <f t="shared" si="211"/>
        <v>46.507750000000001</v>
      </c>
      <c r="C444" s="325">
        <f t="shared" si="186"/>
        <v>28.864381952726855</v>
      </c>
      <c r="D444" s="326">
        <f t="shared" si="187"/>
        <v>1.5361446182233873</v>
      </c>
      <c r="E444" s="326">
        <f t="shared" si="188"/>
        <v>1.0017063574663094</v>
      </c>
      <c r="F444" s="327">
        <f t="shared" si="189"/>
        <v>5.8376958027375241E-2</v>
      </c>
      <c r="G444" s="326">
        <f t="shared" si="190"/>
        <v>1</v>
      </c>
      <c r="H444" s="327">
        <f t="shared" si="191"/>
        <v>0</v>
      </c>
      <c r="I444" s="325">
        <f t="shared" si="192"/>
        <v>61727.85873730779</v>
      </c>
      <c r="J444" s="328">
        <f t="shared" si="193"/>
        <v>1.5707801266541417</v>
      </c>
      <c r="K444" s="336">
        <f t="shared" si="213"/>
        <v>11.710990318019077</v>
      </c>
      <c r="L444" s="337">
        <f t="shared" si="214"/>
        <v>1.4853023407155124</v>
      </c>
      <c r="M444" s="325">
        <f t="shared" si="194"/>
        <v>1.0063136798494046</v>
      </c>
      <c r="N444" s="337">
        <f t="shared" si="195"/>
        <v>0.11207710782171107</v>
      </c>
      <c r="O444" s="343">
        <f t="shared" si="196"/>
        <v>1.035875047504379</v>
      </c>
      <c r="P444" s="691">
        <f t="shared" si="197"/>
        <v>0.26394837039084623</v>
      </c>
      <c r="Q444" s="336">
        <f t="shared" si="212"/>
        <v>6.5812800883275369</v>
      </c>
      <c r="R444" s="692">
        <f t="shared" si="198"/>
        <v>0.29109417244656194</v>
      </c>
      <c r="S444" s="329">
        <f t="shared" si="199"/>
        <v>1.0349265959476526</v>
      </c>
      <c r="T444" s="330">
        <f t="shared" si="200"/>
        <v>0.26779598856816111</v>
      </c>
      <c r="U444" s="331">
        <f t="shared" si="201"/>
        <v>-1.7237136173223457</v>
      </c>
      <c r="V444" s="332">
        <f t="shared" si="202"/>
        <v>-112.8878315985496</v>
      </c>
      <c r="W444" s="334">
        <f t="shared" si="203"/>
        <v>67.112168401450404</v>
      </c>
      <c r="Y444" s="307">
        <f t="shared" si="204"/>
        <v>46507.75</v>
      </c>
      <c r="Z444" s="307">
        <f t="shared" si="205"/>
        <v>2162970810.0625</v>
      </c>
      <c r="AB444" s="333">
        <f t="shared" si="206"/>
        <v>23.214805066547363</v>
      </c>
      <c r="AC444" s="334">
        <f t="shared" si="207"/>
        <v>-11.319061647556779</v>
      </c>
      <c r="AE444" s="333">
        <f t="shared" si="208"/>
        <v>17.866384728009379</v>
      </c>
      <c r="AF444" s="334">
        <f t="shared" si="209"/>
        <v>-100.01343005992554</v>
      </c>
      <c r="AH444">
        <f t="shared" si="210"/>
        <v>0</v>
      </c>
      <c r="AI444">
        <f t="shared" si="215"/>
        <v>0</v>
      </c>
    </row>
    <row r="445" spans="1:35" x14ac:dyDescent="0.2">
      <c r="A445" s="335">
        <v>46774</v>
      </c>
      <c r="B445" s="352">
        <f t="shared" si="211"/>
        <v>46.774000000000001</v>
      </c>
      <c r="C445" s="325">
        <f t="shared" si="186"/>
        <v>29.02942850401389</v>
      </c>
      <c r="D445" s="326">
        <f t="shared" si="187"/>
        <v>1.5363417084161046</v>
      </c>
      <c r="E445" s="326">
        <f t="shared" si="188"/>
        <v>1.0017259337999933</v>
      </c>
      <c r="F445" s="327">
        <f t="shared" si="189"/>
        <v>5.871039222552997E-2</v>
      </c>
      <c r="G445" s="326">
        <f t="shared" si="190"/>
        <v>1</v>
      </c>
      <c r="H445" s="327">
        <f t="shared" si="191"/>
        <v>0</v>
      </c>
      <c r="I445" s="325">
        <f t="shared" si="192"/>
        <v>62081.241611871861</v>
      </c>
      <c r="J445" s="328">
        <f t="shared" si="193"/>
        <v>1.5707802188696349</v>
      </c>
      <c r="K445" s="336">
        <f t="shared" si="213"/>
        <v>11.777546544793577</v>
      </c>
      <c r="L445" s="337">
        <f t="shared" si="214"/>
        <v>1.4857866472851529</v>
      </c>
      <c r="M445" s="325">
        <f t="shared" si="194"/>
        <v>1.006385946523443</v>
      </c>
      <c r="N445" s="337">
        <f t="shared" si="195"/>
        <v>0.11271332746183194</v>
      </c>
      <c r="O445" s="343">
        <f t="shared" si="196"/>
        <v>1.0362797697232966</v>
      </c>
      <c r="P445" s="691">
        <f t="shared" si="197"/>
        <v>0.2653896619658882</v>
      </c>
      <c r="Q445" s="336">
        <f t="shared" si="212"/>
        <v>6.5843537532049874</v>
      </c>
      <c r="R445" s="692">
        <f t="shared" si="198"/>
        <v>0.29266907758358901</v>
      </c>
      <c r="S445" s="329">
        <f t="shared" si="199"/>
        <v>1.0353208191563685</v>
      </c>
      <c r="T445" s="330">
        <f t="shared" si="200"/>
        <v>0.26926203012487143</v>
      </c>
      <c r="U445" s="331">
        <f t="shared" si="201"/>
        <v>-1.7780222346302363</v>
      </c>
      <c r="V445" s="332">
        <f t="shared" si="202"/>
        <v>-112.98038241090963</v>
      </c>
      <c r="W445" s="334">
        <f t="shared" si="203"/>
        <v>67.019617589090373</v>
      </c>
      <c r="Y445" s="307">
        <f t="shared" si="204"/>
        <v>46774</v>
      </c>
      <c r="Z445" s="307">
        <f t="shared" si="205"/>
        <v>2187807076</v>
      </c>
      <c r="AB445" s="333">
        <f t="shared" si="206"/>
        <v>23.213821832277194</v>
      </c>
      <c r="AC445" s="334">
        <f t="shared" si="207"/>
        <v>-11.327770908916698</v>
      </c>
      <c r="AE445" s="333">
        <f t="shared" si="208"/>
        <v>17.813722018497188</v>
      </c>
      <c r="AF445" s="334">
        <f t="shared" si="209"/>
        <v>-100.08961611772942</v>
      </c>
      <c r="AH445">
        <f t="shared" si="210"/>
        <v>0</v>
      </c>
      <c r="AI445">
        <f t="shared" si="215"/>
        <v>0</v>
      </c>
    </row>
    <row r="446" spans="1:35" x14ac:dyDescent="0.2">
      <c r="A446" s="335">
        <v>47046.25</v>
      </c>
      <c r="B446" s="352">
        <f t="shared" si="211"/>
        <v>47.046250000000001</v>
      </c>
      <c r="C446" s="325">
        <f t="shared" si="186"/>
        <v>29.198195566910719</v>
      </c>
      <c r="D446" s="326">
        <f t="shared" si="187"/>
        <v>1.5365409360310667</v>
      </c>
      <c r="E446" s="326">
        <f t="shared" si="188"/>
        <v>1.0017460664490911</v>
      </c>
      <c r="F446" s="327">
        <f t="shared" si="189"/>
        <v>5.9051326918963122E-2</v>
      </c>
      <c r="G446" s="326">
        <f t="shared" si="190"/>
        <v>1</v>
      </c>
      <c r="H446" s="327">
        <f t="shared" si="191"/>
        <v>0</v>
      </c>
      <c r="I446" s="325">
        <f t="shared" si="192"/>
        <v>62442.588044173128</v>
      </c>
      <c r="J446" s="328">
        <f t="shared" si="193"/>
        <v>1.5707803120839219</v>
      </c>
      <c r="K446" s="336">
        <f t="shared" si="213"/>
        <v>11.845605454275219</v>
      </c>
      <c r="L446" s="337">
        <f t="shared" si="214"/>
        <v>1.4862762400500216</v>
      </c>
      <c r="M446" s="325">
        <f t="shared" si="194"/>
        <v>1.0064602629146397</v>
      </c>
      <c r="N446" s="337">
        <f t="shared" si="195"/>
        <v>0.11336378969940583</v>
      </c>
      <c r="O446" s="343">
        <f t="shared" si="196"/>
        <v>1.0366958366821273</v>
      </c>
      <c r="P446" s="691">
        <f t="shared" si="197"/>
        <v>0.26686226653594181</v>
      </c>
      <c r="Q446" s="336">
        <f t="shared" si="212"/>
        <v>6.587513331736317</v>
      </c>
      <c r="R446" s="692">
        <f t="shared" si="198"/>
        <v>0.29427796001231282</v>
      </c>
      <c r="S446" s="329">
        <f t="shared" si="199"/>
        <v>1.0357260973370177</v>
      </c>
      <c r="T446" s="330">
        <f t="shared" si="200"/>
        <v>0.27075998624114989</v>
      </c>
      <c r="U446" s="331">
        <f t="shared" si="201"/>
        <v>-1.8332807024352882</v>
      </c>
      <c r="V446" s="332">
        <f t="shared" si="202"/>
        <v>-113.07512038561956</v>
      </c>
      <c r="W446" s="334">
        <f t="shared" si="203"/>
        <v>66.924879614380444</v>
      </c>
      <c r="Y446" s="307">
        <f t="shared" si="204"/>
        <v>47046.25</v>
      </c>
      <c r="Z446" s="307">
        <f t="shared" si="205"/>
        <v>2213349639.0625</v>
      </c>
      <c r="AB446" s="333">
        <f t="shared" si="206"/>
        <v>23.212819115376657</v>
      </c>
      <c r="AC446" s="334">
        <f t="shared" si="207"/>
        <v>-11.336993391550966</v>
      </c>
      <c r="AE446" s="333">
        <f t="shared" si="208"/>
        <v>17.760146602706069</v>
      </c>
      <c r="AF446" s="334">
        <f t="shared" si="209"/>
        <v>-100.16732346365323</v>
      </c>
      <c r="AH446">
        <f t="shared" si="210"/>
        <v>0</v>
      </c>
      <c r="AI446">
        <f t="shared" si="215"/>
        <v>0</v>
      </c>
    </row>
    <row r="447" spans="1:35" x14ac:dyDescent="0.2">
      <c r="A447" s="335">
        <v>47318.5</v>
      </c>
      <c r="B447" s="352">
        <f t="shared" si="211"/>
        <v>47.3185</v>
      </c>
      <c r="C447" s="325">
        <f t="shared" si="186"/>
        <v>29.36696377541157</v>
      </c>
      <c r="D447" s="326">
        <f t="shared" si="187"/>
        <v>1.5367378737822053</v>
      </c>
      <c r="E447" s="326">
        <f t="shared" si="188"/>
        <v>1.0017663155329228</v>
      </c>
      <c r="F447" s="327">
        <f t="shared" si="189"/>
        <v>5.9392247869136931E-2</v>
      </c>
      <c r="G447" s="326">
        <f t="shared" si="190"/>
        <v>1</v>
      </c>
      <c r="H447" s="327">
        <f t="shared" si="191"/>
        <v>0</v>
      </c>
      <c r="I447" s="325">
        <f t="shared" si="192"/>
        <v>62803.934476474933</v>
      </c>
      <c r="J447" s="328">
        <f t="shared" si="193"/>
        <v>1.5707804042255802</v>
      </c>
      <c r="K447" s="336">
        <f t="shared" si="213"/>
        <v>11.913667170719643</v>
      </c>
      <c r="L447" s="337">
        <f t="shared" si="214"/>
        <v>1.4867602389303305</v>
      </c>
      <c r="M447" s="325">
        <f t="shared" si="194"/>
        <v>1.0065350050773163</v>
      </c>
      <c r="N447" s="337">
        <f t="shared" si="195"/>
        <v>0.11401415560950612</v>
      </c>
      <c r="O447" s="343">
        <f t="shared" si="196"/>
        <v>1.0371141499758056</v>
      </c>
      <c r="P447" s="691">
        <f t="shared" si="197"/>
        <v>0.26833368636364074</v>
      </c>
      <c r="Q447" s="336">
        <f t="shared" si="212"/>
        <v>6.5906897196984033</v>
      </c>
      <c r="R447" s="692">
        <f t="shared" si="198"/>
        <v>0.2958853061363001</v>
      </c>
      <c r="S447" s="329">
        <f t="shared" si="199"/>
        <v>1.0361335682282944</v>
      </c>
      <c r="T447" s="330">
        <f t="shared" si="200"/>
        <v>0.27225680205982972</v>
      </c>
      <c r="U447" s="331">
        <f t="shared" si="201"/>
        <v>-1.8882655410838323</v>
      </c>
      <c r="V447" s="332">
        <f t="shared" si="202"/>
        <v>-113.16995739630863</v>
      </c>
      <c r="W447" s="334">
        <f t="shared" si="203"/>
        <v>66.830042603691368</v>
      </c>
      <c r="Y447" s="307">
        <f t="shared" si="204"/>
        <v>47318.5</v>
      </c>
      <c r="Z447" s="307">
        <f t="shared" si="205"/>
        <v>2239040442.25</v>
      </c>
      <c r="AB447" s="333">
        <f t="shared" si="206"/>
        <v>23.211818961237213</v>
      </c>
      <c r="AC447" s="334">
        <f t="shared" si="207"/>
        <v>-11.346530799547185</v>
      </c>
      <c r="AE447" s="333">
        <f t="shared" si="208"/>
        <v>17.706844994244278</v>
      </c>
      <c r="AF447" s="334">
        <f t="shared" si="209"/>
        <v>-100.24483506323509</v>
      </c>
      <c r="AH447">
        <f t="shared" si="210"/>
        <v>0</v>
      </c>
      <c r="AI447">
        <f t="shared" si="215"/>
        <v>0</v>
      </c>
    </row>
    <row r="448" spans="1:35" x14ac:dyDescent="0.2">
      <c r="A448" s="335">
        <v>47590.75</v>
      </c>
      <c r="B448" s="352">
        <f t="shared" si="211"/>
        <v>47.59075</v>
      </c>
      <c r="C448" s="325">
        <f t="shared" si="186"/>
        <v>29.535733109878386</v>
      </c>
      <c r="D448" s="326">
        <f t="shared" si="187"/>
        <v>1.5369325609074582</v>
      </c>
      <c r="E448" s="326">
        <f t="shared" si="188"/>
        <v>1.0017866810444276</v>
      </c>
      <c r="F448" s="327">
        <f t="shared" si="189"/>
        <v>5.9733154997638697E-2</v>
      </c>
      <c r="G448" s="326">
        <f t="shared" si="190"/>
        <v>1</v>
      </c>
      <c r="H448" s="327">
        <f t="shared" si="191"/>
        <v>0</v>
      </c>
      <c r="I448" s="325">
        <f t="shared" si="192"/>
        <v>63165.280908777262</v>
      </c>
      <c r="J448" s="328">
        <f t="shared" si="193"/>
        <v>1.5707804953130184</v>
      </c>
      <c r="K448" s="336">
        <f t="shared" si="213"/>
        <v>11.981731646292355</v>
      </c>
      <c r="L448" s="337">
        <f t="shared" si="214"/>
        <v>1.4872387390287005</v>
      </c>
      <c r="M448" s="325">
        <f t="shared" si="194"/>
        <v>1.0066101729166304</v>
      </c>
      <c r="N448" s="337">
        <f t="shared" si="195"/>
        <v>0.11466442466347357</v>
      </c>
      <c r="O448" s="343">
        <f t="shared" si="196"/>
        <v>1.0375347068872993</v>
      </c>
      <c r="P448" s="691">
        <f t="shared" si="197"/>
        <v>0.26980391651437341</v>
      </c>
      <c r="Q448" s="336">
        <f t="shared" si="212"/>
        <v>6.5938828928034647</v>
      </c>
      <c r="R448" s="692">
        <f t="shared" si="198"/>
        <v>0.29749111004171624</v>
      </c>
      <c r="S448" s="329">
        <f t="shared" si="199"/>
        <v>1.0365432292533667</v>
      </c>
      <c r="T448" s="330">
        <f t="shared" si="200"/>
        <v>0.27375247278370091</v>
      </c>
      <c r="U448" s="331">
        <f t="shared" si="201"/>
        <v>-1.9429801437826151</v>
      </c>
      <c r="V448" s="332">
        <f t="shared" si="202"/>
        <v>-113.26488988645865</v>
      </c>
      <c r="W448" s="334">
        <f t="shared" si="203"/>
        <v>66.735110113541353</v>
      </c>
      <c r="Y448" s="307">
        <f t="shared" si="204"/>
        <v>47590.75</v>
      </c>
      <c r="Z448" s="307">
        <f t="shared" si="205"/>
        <v>2264879485.5625</v>
      </c>
      <c r="AB448" s="333">
        <f t="shared" si="206"/>
        <v>23.210821231084225</v>
      </c>
      <c r="AC448" s="334">
        <f t="shared" si="207"/>
        <v>-11.356377654691315</v>
      </c>
      <c r="AE448" s="333">
        <f t="shared" si="208"/>
        <v>17.653813920965874</v>
      </c>
      <c r="AF448" s="334">
        <f t="shared" si="209"/>
        <v>-100.32215289427597</v>
      </c>
      <c r="AH448">
        <f t="shared" si="210"/>
        <v>0</v>
      </c>
      <c r="AI448">
        <f t="shared" si="215"/>
        <v>0</v>
      </c>
    </row>
    <row r="449" spans="1:35" x14ac:dyDescent="0.2">
      <c r="A449" s="335">
        <v>47863</v>
      </c>
      <c r="B449" s="352">
        <f t="shared" si="211"/>
        <v>47.863</v>
      </c>
      <c r="C449" s="325">
        <f t="shared" si="186"/>
        <v>29.704503551119267</v>
      </c>
      <c r="D449" s="326">
        <f t="shared" si="187"/>
        <v>1.5371250357537116</v>
      </c>
      <c r="E449" s="326">
        <f t="shared" si="188"/>
        <v>1.0018071629765051</v>
      </c>
      <c r="F449" s="327">
        <f t="shared" si="189"/>
        <v>6.0074048226074907E-2</v>
      </c>
      <c r="G449" s="326">
        <f t="shared" si="190"/>
        <v>1</v>
      </c>
      <c r="H449" s="327">
        <f t="shared" si="191"/>
        <v>0</v>
      </c>
      <c r="I449" s="325">
        <f t="shared" si="192"/>
        <v>63526.627341080108</v>
      </c>
      <c r="J449" s="328">
        <f t="shared" si="193"/>
        <v>1.5707805853642258</v>
      </c>
      <c r="K449" s="336">
        <f t="shared" si="213"/>
        <v>12.049798834237727</v>
      </c>
      <c r="L449" s="337">
        <f t="shared" si="214"/>
        <v>1.487711833309084</v>
      </c>
      <c r="M449" s="325">
        <f t="shared" si="194"/>
        <v>1.0066857663372277</v>
      </c>
      <c r="N449" s="337">
        <f t="shared" si="195"/>
        <v>0.11531459633313405</v>
      </c>
      <c r="O449" s="343">
        <f t="shared" si="196"/>
        <v>1.0379575046894187</v>
      </c>
      <c r="P449" s="691">
        <f t="shared" si="197"/>
        <v>0.27127295208207691</v>
      </c>
      <c r="Q449" s="336">
        <f t="shared" si="212"/>
        <v>6.5970928266825215</v>
      </c>
      <c r="R449" s="692">
        <f t="shared" si="198"/>
        <v>0.29909536585753521</v>
      </c>
      <c r="S449" s="329">
        <f t="shared" si="199"/>
        <v>1.0369550778256389</v>
      </c>
      <c r="T449" s="330">
        <f t="shared" si="200"/>
        <v>0.27524699364243554</v>
      </c>
      <c r="U449" s="331">
        <f t="shared" si="201"/>
        <v>-1.9974278431689063</v>
      </c>
      <c r="V449" s="332">
        <f t="shared" si="202"/>
        <v>-113.35991437339437</v>
      </c>
      <c r="W449" s="334">
        <f t="shared" si="203"/>
        <v>66.640085626605625</v>
      </c>
      <c r="Y449" s="307">
        <f t="shared" si="204"/>
        <v>47863</v>
      </c>
      <c r="Z449" s="307">
        <f t="shared" si="205"/>
        <v>2290866769</v>
      </c>
      <c r="AB449" s="333">
        <f t="shared" si="206"/>
        <v>23.209825790105842</v>
      </c>
      <c r="AC449" s="334">
        <f t="shared" si="207"/>
        <v>-11.366528601309808</v>
      </c>
      <c r="AE449" s="333">
        <f t="shared" si="208"/>
        <v>17.601050167311371</v>
      </c>
      <c r="AF449" s="334">
        <f t="shared" si="209"/>
        <v>-100.39927888506264</v>
      </c>
      <c r="AH449">
        <f t="shared" si="210"/>
        <v>0</v>
      </c>
      <c r="AI449">
        <f t="shared" si="215"/>
        <v>0</v>
      </c>
    </row>
    <row r="450" spans="1:35" x14ac:dyDescent="0.2">
      <c r="A450" s="335">
        <v>48141.75</v>
      </c>
      <c r="B450" s="352">
        <f t="shared" si="211"/>
        <v>48.141750000000002</v>
      </c>
      <c r="C450" s="325">
        <f t="shared" si="186"/>
        <v>29.877304533155527</v>
      </c>
      <c r="D450" s="326">
        <f t="shared" si="187"/>
        <v>1.5373198529595973</v>
      </c>
      <c r="E450" s="326">
        <f t="shared" si="188"/>
        <v>1.0018282545326902</v>
      </c>
      <c r="F450" s="327">
        <f t="shared" si="189"/>
        <v>6.0423065835794036E-2</v>
      </c>
      <c r="G450" s="326">
        <f t="shared" si="190"/>
        <v>1</v>
      </c>
      <c r="H450" s="327">
        <f t="shared" si="191"/>
        <v>0</v>
      </c>
      <c r="I450" s="325">
        <f t="shared" si="192"/>
        <v>63896.600960931573</v>
      </c>
      <c r="J450" s="328">
        <f t="shared" si="193"/>
        <v>1.5707806765101398</v>
      </c>
      <c r="K450" s="336">
        <f t="shared" si="213"/>
        <v>12.119493896664009</v>
      </c>
      <c r="L450" s="337">
        <f t="shared" si="214"/>
        <v>1.4881907167166251</v>
      </c>
      <c r="M450" s="325">
        <f t="shared" si="194"/>
        <v>1.0067636054030813</v>
      </c>
      <c r="N450" s="337">
        <f t="shared" si="195"/>
        <v>0.11598018947529944</v>
      </c>
      <c r="O450" s="343">
        <f t="shared" si="196"/>
        <v>1.0383927157604695</v>
      </c>
      <c r="P450" s="691">
        <f t="shared" si="197"/>
        <v>0.27277581824429858</v>
      </c>
      <c r="Q450" s="336">
        <f t="shared" si="212"/>
        <v>6.6003967383664675</v>
      </c>
      <c r="R450" s="692">
        <f t="shared" si="198"/>
        <v>0.30073631340669432</v>
      </c>
      <c r="S450" s="329">
        <f t="shared" si="199"/>
        <v>1.0373790231309588</v>
      </c>
      <c r="T450" s="330">
        <f t="shared" si="200"/>
        <v>0.27677600003204594</v>
      </c>
      <c r="U450" s="331">
        <f t="shared" si="201"/>
        <v>-2.0529023679958378</v>
      </c>
      <c r="V450" s="332">
        <f t="shared" si="202"/>
        <v>-113.45729933690498</v>
      </c>
      <c r="W450" s="334">
        <f t="shared" si="203"/>
        <v>66.542700663095019</v>
      </c>
      <c r="Y450" s="307">
        <f t="shared" si="204"/>
        <v>48141.75</v>
      </c>
      <c r="Z450" s="307">
        <f t="shared" si="205"/>
        <v>2317628093.0625</v>
      </c>
      <c r="AB450" s="333">
        <f t="shared" si="206"/>
        <v>23.208808817901556</v>
      </c>
      <c r="AC450" s="334">
        <f t="shared" si="207"/>
        <v>-11.3772315033862</v>
      </c>
      <c r="AE450" s="333">
        <f t="shared" si="208"/>
        <v>17.547300342179248</v>
      </c>
      <c r="AF450" s="334">
        <f t="shared" si="209"/>
        <v>-100.47804946578698</v>
      </c>
      <c r="AH450">
        <f t="shared" si="210"/>
        <v>0</v>
      </c>
      <c r="AI450">
        <f t="shared" si="215"/>
        <v>0</v>
      </c>
    </row>
    <row r="451" spans="1:35" x14ac:dyDescent="0.2">
      <c r="A451" s="335">
        <v>48420.5</v>
      </c>
      <c r="B451" s="352">
        <f t="shared" si="211"/>
        <v>48.420499999999997</v>
      </c>
      <c r="C451" s="325">
        <f t="shared" si="186"/>
        <v>30.050106636105863</v>
      </c>
      <c r="D451" s="326">
        <f t="shared" si="187"/>
        <v>1.5375124295934608</v>
      </c>
      <c r="E451" s="326">
        <f t="shared" si="188"/>
        <v>1.0018494681197256</v>
      </c>
      <c r="F451" s="327">
        <f t="shared" si="189"/>
        <v>6.0772068707530026E-2</v>
      </c>
      <c r="G451" s="326">
        <f t="shared" si="190"/>
        <v>1</v>
      </c>
      <c r="H451" s="327">
        <f t="shared" si="191"/>
        <v>0</v>
      </c>
      <c r="I451" s="325">
        <f t="shared" si="192"/>
        <v>64266.57458078357</v>
      </c>
      <c r="J451" s="328">
        <f t="shared" si="193"/>
        <v>1.5707807666066251</v>
      </c>
      <c r="K451" s="336">
        <f t="shared" si="213"/>
        <v>12.189191706661735</v>
      </c>
      <c r="L451" s="337">
        <f t="shared" si="214"/>
        <v>1.4886641237201226</v>
      </c>
      <c r="M451" s="325">
        <f t="shared" si="194"/>
        <v>1.0068418904104617</v>
      </c>
      <c r="N451" s="337">
        <f t="shared" si="195"/>
        <v>0.11664567940848156</v>
      </c>
      <c r="O451" s="343">
        <f t="shared" si="196"/>
        <v>1.0388302701840653</v>
      </c>
      <c r="P451" s="691">
        <f t="shared" si="197"/>
        <v>0.27427742178378645</v>
      </c>
      <c r="Q451" s="336">
        <f t="shared" si="212"/>
        <v>6.6037181687490145</v>
      </c>
      <c r="R451" s="692">
        <f t="shared" si="198"/>
        <v>0.30237562574343335</v>
      </c>
      <c r="S451" s="329">
        <f t="shared" si="199"/>
        <v>1.0378052561673641</v>
      </c>
      <c r="T451" s="330">
        <f t="shared" si="200"/>
        <v>0.27830379096022989</v>
      </c>
      <c r="U451" s="331">
        <f t="shared" si="201"/>
        <v>-2.1081039749113732</v>
      </c>
      <c r="V451" s="332">
        <f t="shared" si="202"/>
        <v>-113.55477358216463</v>
      </c>
      <c r="W451" s="334">
        <f t="shared" si="203"/>
        <v>66.445226417835372</v>
      </c>
      <c r="Y451" s="307">
        <f t="shared" si="204"/>
        <v>48420.5</v>
      </c>
      <c r="Z451" s="307">
        <f t="shared" si="205"/>
        <v>2344544820.25</v>
      </c>
      <c r="AB451" s="333">
        <f t="shared" si="206"/>
        <v>23.207793971620674</v>
      </c>
      <c r="AC451" s="334">
        <f t="shared" si="207"/>
        <v>-11.388242206734581</v>
      </c>
      <c r="AE451" s="333">
        <f t="shared" si="208"/>
        <v>17.493824107564276</v>
      </c>
      <c r="AF451" s="334">
        <f t="shared" si="209"/>
        <v>-100.55662287480489</v>
      </c>
      <c r="AH451">
        <f t="shared" si="210"/>
        <v>0</v>
      </c>
      <c r="AI451">
        <f t="shared" si="215"/>
        <v>0</v>
      </c>
    </row>
    <row r="452" spans="1:35" x14ac:dyDescent="0.2">
      <c r="A452" s="335">
        <v>48699.25</v>
      </c>
      <c r="B452" s="352">
        <f t="shared" si="211"/>
        <v>48.699249999999999</v>
      </c>
      <c r="C452" s="325">
        <f t="shared" si="186"/>
        <v>30.222909840743501</v>
      </c>
      <c r="D452" s="326">
        <f t="shared" si="187"/>
        <v>1.5377028040731324</v>
      </c>
      <c r="E452" s="326">
        <f t="shared" si="188"/>
        <v>1.0018708037298603</v>
      </c>
      <c r="F452" s="327">
        <f t="shared" si="189"/>
        <v>6.1121056757202585E-2</v>
      </c>
      <c r="G452" s="326">
        <f t="shared" si="190"/>
        <v>1</v>
      </c>
      <c r="H452" s="327">
        <f t="shared" si="191"/>
        <v>0</v>
      </c>
      <c r="I452" s="325">
        <f t="shared" si="192"/>
        <v>64636.548200636083</v>
      </c>
      <c r="J452" s="328">
        <f t="shared" si="193"/>
        <v>1.5707808556717027</v>
      </c>
      <c r="K452" s="336">
        <f t="shared" si="213"/>
        <v>12.25889221736703</v>
      </c>
      <c r="L452" s="337">
        <f t="shared" si="214"/>
        <v>1.4891321475172936</v>
      </c>
      <c r="M452" s="325">
        <f t="shared" si="194"/>
        <v>1.006920621255357</v>
      </c>
      <c r="N452" s="337">
        <f t="shared" si="195"/>
        <v>0.11731106556736186</v>
      </c>
      <c r="O452" s="343">
        <f t="shared" si="196"/>
        <v>1.0392701650004048</v>
      </c>
      <c r="P452" s="691">
        <f t="shared" si="197"/>
        <v>0.27577775752793304</v>
      </c>
      <c r="Q452" s="336">
        <f t="shared" si="212"/>
        <v>6.6070570914145383</v>
      </c>
      <c r="R452" s="692">
        <f t="shared" si="198"/>
        <v>0.30401329670576921</v>
      </c>
      <c r="S452" s="329">
        <f t="shared" si="199"/>
        <v>1.0382337741272056</v>
      </c>
      <c r="T452" s="330">
        <f t="shared" si="200"/>
        <v>0.27983036139464518</v>
      </c>
      <c r="U452" s="331">
        <f t="shared" si="201"/>
        <v>-2.1630360527251016</v>
      </c>
      <c r="V452" s="332">
        <f t="shared" si="202"/>
        <v>-113.65233359895745</v>
      </c>
      <c r="W452" s="334">
        <f t="shared" si="203"/>
        <v>66.347666401042545</v>
      </c>
      <c r="Y452" s="307">
        <f t="shared" si="204"/>
        <v>48699.25</v>
      </c>
      <c r="Z452" s="307">
        <f t="shared" si="205"/>
        <v>2371616950.5625</v>
      </c>
      <c r="AB452" s="333">
        <f t="shared" si="206"/>
        <v>23.206781118624814</v>
      </c>
      <c r="AC452" s="334">
        <f t="shared" si="207"/>
        <v>-11.39955534016123</v>
      </c>
      <c r="AE452" s="333">
        <f t="shared" si="208"/>
        <v>17.440618188200958</v>
      </c>
      <c r="AF452" s="334">
        <f t="shared" si="209"/>
        <v>-100.63500102978132</v>
      </c>
      <c r="AH452">
        <f t="shared" si="210"/>
        <v>0</v>
      </c>
      <c r="AI452">
        <f t="shared" si="215"/>
        <v>0</v>
      </c>
    </row>
    <row r="453" spans="1:35" x14ac:dyDescent="0.2">
      <c r="A453" s="335">
        <v>48978</v>
      </c>
      <c r="B453" s="352">
        <f t="shared" si="211"/>
        <v>48.978000000000002</v>
      </c>
      <c r="C453" s="325">
        <f t="shared" si="186"/>
        <v>30.395714128278776</v>
      </c>
      <c r="D453" s="326">
        <f t="shared" si="187"/>
        <v>1.5378910139434452</v>
      </c>
      <c r="E453" s="326">
        <f t="shared" si="188"/>
        <v>1.0018922613552983</v>
      </c>
      <c r="F453" s="327">
        <f t="shared" si="189"/>
        <v>6.1470029900752995E-2</v>
      </c>
      <c r="G453" s="326">
        <f t="shared" si="190"/>
        <v>1</v>
      </c>
      <c r="H453" s="327">
        <f t="shared" si="191"/>
        <v>0</v>
      </c>
      <c r="I453" s="325">
        <f t="shared" si="192"/>
        <v>65006.521820489092</v>
      </c>
      <c r="J453" s="328">
        <f t="shared" si="193"/>
        <v>1.5707809437229827</v>
      </c>
      <c r="K453" s="336">
        <f t="shared" si="213"/>
        <v>12.328595382974024</v>
      </c>
      <c r="L453" s="337">
        <f t="shared" si="214"/>
        <v>1.4895948792077336</v>
      </c>
      <c r="M453" s="325">
        <f t="shared" si="194"/>
        <v>1.0069997978331959</v>
      </c>
      <c r="N453" s="337">
        <f t="shared" si="195"/>
        <v>0.11797634738716561</v>
      </c>
      <c r="O453" s="343">
        <f t="shared" si="196"/>
        <v>1.0397123972388784</v>
      </c>
      <c r="P453" s="691">
        <f t="shared" si="197"/>
        <v>0.27727682033569218</v>
      </c>
      <c r="Q453" s="336">
        <f t="shared" si="212"/>
        <v>6.6104134798618102</v>
      </c>
      <c r="R453" s="692">
        <f t="shared" si="198"/>
        <v>0.30564932017888008</v>
      </c>
      <c r="S453" s="329">
        <f t="shared" si="199"/>
        <v>1.0386645741924339</v>
      </c>
      <c r="T453" s="330">
        <f t="shared" si="200"/>
        <v>0.28135570633268192</v>
      </c>
      <c r="U453" s="331">
        <f t="shared" si="201"/>
        <v>-2.2177019296787313</v>
      </c>
      <c r="V453" s="332">
        <f t="shared" si="202"/>
        <v>-113.74997594986601</v>
      </c>
      <c r="W453" s="334">
        <f t="shared" si="203"/>
        <v>66.250024050133987</v>
      </c>
      <c r="Y453" s="307">
        <f t="shared" si="204"/>
        <v>48978</v>
      </c>
      <c r="Z453" s="307">
        <f t="shared" si="205"/>
        <v>2398844484</v>
      </c>
      <c r="AB453" s="333">
        <f t="shared" si="206"/>
        <v>23.205770130074036</v>
      </c>
      <c r="AC453" s="334">
        <f t="shared" si="207"/>
        <v>-11.41116565269359</v>
      </c>
      <c r="AE453" s="333">
        <f t="shared" si="208"/>
        <v>17.387679365575327</v>
      </c>
      <c r="AF453" s="334">
        <f t="shared" si="209"/>
        <v>-100.71318580006459</v>
      </c>
      <c r="AH453">
        <f t="shared" si="210"/>
        <v>0</v>
      </c>
      <c r="AI453">
        <f t="shared" si="215"/>
        <v>0</v>
      </c>
    </row>
    <row r="454" spans="1:35" x14ac:dyDescent="0.2">
      <c r="A454" s="335">
        <v>49263.25</v>
      </c>
      <c r="B454" s="352">
        <f t="shared" si="211"/>
        <v>49.263249999999999</v>
      </c>
      <c r="C454" s="325">
        <f t="shared" si="186"/>
        <v>30.57254903474449</v>
      </c>
      <c r="D454" s="326">
        <f t="shared" si="187"/>
        <v>1.5380814099337043</v>
      </c>
      <c r="E454" s="326">
        <f t="shared" si="188"/>
        <v>1.0019143456460182</v>
      </c>
      <c r="F454" s="327">
        <f t="shared" si="189"/>
        <v>6.1827125015416137E-2</v>
      </c>
      <c r="G454" s="326">
        <f t="shared" si="190"/>
        <v>1</v>
      </c>
      <c r="H454" s="327">
        <f t="shared" si="191"/>
        <v>0</v>
      </c>
      <c r="I454" s="325">
        <f t="shared" si="192"/>
        <v>65385.122627890771</v>
      </c>
      <c r="J454" s="328">
        <f t="shared" si="193"/>
        <v>1.5707810327958973</v>
      </c>
      <c r="K454" s="336">
        <f t="shared" si="213"/>
        <v>12.399926615653104</v>
      </c>
      <c r="L454" s="337">
        <f t="shared" si="214"/>
        <v>1.4900630153074859</v>
      </c>
      <c r="M454" s="325">
        <f t="shared" si="194"/>
        <v>1.0070812820161112</v>
      </c>
      <c r="N454" s="337">
        <f t="shared" si="195"/>
        <v>0.11865703389938408</v>
      </c>
      <c r="O454" s="343">
        <f t="shared" si="196"/>
        <v>1.0401673583237452</v>
      </c>
      <c r="P454" s="691">
        <f t="shared" si="197"/>
        <v>0.27880951573094936</v>
      </c>
      <c r="Q454" s="336">
        <f t="shared" si="212"/>
        <v>6.6138661875727722</v>
      </c>
      <c r="R454" s="692">
        <f t="shared" si="198"/>
        <v>0.30732178118589543</v>
      </c>
      <c r="S454" s="329">
        <f t="shared" si="199"/>
        <v>1.0391077794171846</v>
      </c>
      <c r="T454" s="330">
        <f t="shared" si="200"/>
        <v>0.28291534596982237</v>
      </c>
      <c r="U454" s="331">
        <f t="shared" si="201"/>
        <v>-2.2733703526066047</v>
      </c>
      <c r="V454" s="332">
        <f t="shared" si="202"/>
        <v>-113.84997688721782</v>
      </c>
      <c r="W454" s="334">
        <f t="shared" si="203"/>
        <v>66.150023112782179</v>
      </c>
      <c r="Y454" s="307">
        <f t="shared" si="204"/>
        <v>49263.25</v>
      </c>
      <c r="Z454" s="307">
        <f t="shared" si="205"/>
        <v>2426867800.5625</v>
      </c>
      <c r="AB454" s="333">
        <f t="shared" si="206"/>
        <v>23.2047373665017</v>
      </c>
      <c r="AC454" s="334">
        <f t="shared" si="207"/>
        <v>-11.423348997777664</v>
      </c>
      <c r="AE454" s="333">
        <f t="shared" si="208"/>
        <v>17.333779307160253</v>
      </c>
      <c r="AF454" s="334">
        <f t="shared" si="209"/>
        <v>-100.79299541264838</v>
      </c>
      <c r="AH454">
        <f t="shared" si="210"/>
        <v>0</v>
      </c>
      <c r="AI454">
        <f t="shared" si="215"/>
        <v>0</v>
      </c>
    </row>
    <row r="455" spans="1:35" x14ac:dyDescent="0.2">
      <c r="A455" s="335">
        <v>49548.5</v>
      </c>
      <c r="B455" s="352">
        <f t="shared" si="211"/>
        <v>49.548499999999997</v>
      </c>
      <c r="C455" s="325">
        <f t="shared" si="186"/>
        <v>30.749385036737408</v>
      </c>
      <c r="D455" s="326">
        <f t="shared" si="187"/>
        <v>1.5382696160420013</v>
      </c>
      <c r="E455" s="326">
        <f t="shared" si="188"/>
        <v>1.0019365576921289</v>
      </c>
      <c r="F455" s="327">
        <f t="shared" si="189"/>
        <v>6.2184204342646397E-2</v>
      </c>
      <c r="G455" s="326">
        <f t="shared" si="190"/>
        <v>1</v>
      </c>
      <c r="H455" s="327">
        <f t="shared" si="191"/>
        <v>0</v>
      </c>
      <c r="I455" s="325">
        <f t="shared" si="192"/>
        <v>65763.723435292952</v>
      </c>
      <c r="J455" s="328">
        <f t="shared" si="193"/>
        <v>1.570781120843229</v>
      </c>
      <c r="K455" s="336">
        <f t="shared" si="213"/>
        <v>12.471260534707367</v>
      </c>
      <c r="L455" s="337">
        <f t="shared" si="214"/>
        <v>1.4905257961576777</v>
      </c>
      <c r="M455" s="325">
        <f t="shared" si="194"/>
        <v>1.0071632327385254</v>
      </c>
      <c r="N455" s="337">
        <f t="shared" si="195"/>
        <v>0.1193376099548769</v>
      </c>
      <c r="O455" s="343">
        <f t="shared" si="196"/>
        <v>1.0406247607831884</v>
      </c>
      <c r="P455" s="691">
        <f t="shared" si="197"/>
        <v>0.28034086734067554</v>
      </c>
      <c r="Q455" s="336">
        <f t="shared" si="212"/>
        <v>6.6173371286892717</v>
      </c>
      <c r="R455" s="692">
        <f t="shared" si="198"/>
        <v>0.308992504169669</v>
      </c>
      <c r="S455" s="329">
        <f t="shared" si="199"/>
        <v>1.0395533684144129</v>
      </c>
      <c r="T455" s="330">
        <f t="shared" si="200"/>
        <v>0.28447369178714221</v>
      </c>
      <c r="U455" s="331">
        <f t="shared" si="201"/>
        <v>-2.3287668787715856</v>
      </c>
      <c r="V455" s="332">
        <f t="shared" si="202"/>
        <v>-113.95005698528909</v>
      </c>
      <c r="W455" s="334">
        <f t="shared" si="203"/>
        <v>66.049943014710905</v>
      </c>
      <c r="Y455" s="307">
        <f t="shared" si="204"/>
        <v>49548.5</v>
      </c>
      <c r="Z455" s="307">
        <f t="shared" si="205"/>
        <v>2455053852.25</v>
      </c>
      <c r="AB455" s="333">
        <f t="shared" si="206"/>
        <v>23.203706293995197</v>
      </c>
      <c r="AC455" s="334">
        <f t="shared" si="207"/>
        <v>-11.435832788594366</v>
      </c>
      <c r="AE455" s="333">
        <f t="shared" si="208"/>
        <v>17.280152304451345</v>
      </c>
      <c r="AF455" s="334">
        <f t="shared" si="209"/>
        <v>-100.87260632837598</v>
      </c>
      <c r="AH455">
        <f t="shared" si="210"/>
        <v>0</v>
      </c>
      <c r="AI455">
        <f t="shared" si="215"/>
        <v>0</v>
      </c>
    </row>
    <row r="456" spans="1:35" x14ac:dyDescent="0.2">
      <c r="A456" s="335">
        <v>49833.75</v>
      </c>
      <c r="B456" s="352">
        <f t="shared" si="211"/>
        <v>49.833750000000002</v>
      </c>
      <c r="C456" s="325">
        <f t="shared" si="186"/>
        <v>30.926222115464881</v>
      </c>
      <c r="D456" s="326">
        <f t="shared" si="187"/>
        <v>1.538455669820322</v>
      </c>
      <c r="E456" s="326">
        <f t="shared" si="188"/>
        <v>1.0019588974851337</v>
      </c>
      <c r="F456" s="327">
        <f t="shared" si="189"/>
        <v>6.2541267792437516E-2</v>
      </c>
      <c r="G456" s="326">
        <f t="shared" si="190"/>
        <v>1</v>
      </c>
      <c r="H456" s="327">
        <f t="shared" si="191"/>
        <v>0</v>
      </c>
      <c r="I456" s="325">
        <f t="shared" si="192"/>
        <v>66142.324242695657</v>
      </c>
      <c r="J456" s="328">
        <f t="shared" si="193"/>
        <v>1.5707812078825891</v>
      </c>
      <c r="K456" s="336">
        <f t="shared" si="213"/>
        <v>12.542597094301883</v>
      </c>
      <c r="L456" s="337">
        <f t="shared" si="214"/>
        <v>1.4909833129330099</v>
      </c>
      <c r="M456" s="325">
        <f t="shared" si="194"/>
        <v>1.0072456498865634</v>
      </c>
      <c r="N456" s="337">
        <f t="shared" si="195"/>
        <v>0.12001807495021852</v>
      </c>
      <c r="O456" s="343">
        <f t="shared" si="196"/>
        <v>1.0410846013993411</v>
      </c>
      <c r="P456" s="691">
        <f t="shared" si="197"/>
        <v>0.28187086975865022</v>
      </c>
      <c r="Q456" s="336">
        <f t="shared" si="212"/>
        <v>6.62082627454022</v>
      </c>
      <c r="R456" s="692">
        <f t="shared" si="198"/>
        <v>0.31066148273107852</v>
      </c>
      <c r="S456" s="329">
        <f t="shared" si="199"/>
        <v>1.0400013381310198</v>
      </c>
      <c r="T456" s="330">
        <f t="shared" si="200"/>
        <v>0.28603073852082966</v>
      </c>
      <c r="U456" s="331">
        <f t="shared" si="201"/>
        <v>-2.383894886799947</v>
      </c>
      <c r="V456" s="332">
        <f t="shared" si="202"/>
        <v>-114.05021278483359</v>
      </c>
      <c r="W456" s="334">
        <f t="shared" si="203"/>
        <v>65.94978721516641</v>
      </c>
      <c r="Y456" s="307">
        <f t="shared" si="204"/>
        <v>49833.75</v>
      </c>
      <c r="Z456" s="307">
        <f t="shared" si="205"/>
        <v>2483402639.0625</v>
      </c>
      <c r="AB456" s="333">
        <f t="shared" si="206"/>
        <v>23.202676786029134</v>
      </c>
      <c r="AC456" s="334">
        <f t="shared" si="207"/>
        <v>-11.448611767653446</v>
      </c>
      <c r="AE456" s="333">
        <f t="shared" si="208"/>
        <v>17.226795084816246</v>
      </c>
      <c r="AF456" s="334">
        <f t="shared" si="209"/>
        <v>-100.95202040238046</v>
      </c>
      <c r="AH456">
        <f t="shared" si="210"/>
        <v>0</v>
      </c>
      <c r="AI456">
        <f t="shared" si="215"/>
        <v>0</v>
      </c>
    </row>
    <row r="457" spans="1:35" x14ac:dyDescent="0.2">
      <c r="A457" s="335">
        <v>50119</v>
      </c>
      <c r="B457" s="352">
        <f t="shared" si="211"/>
        <v>50.119</v>
      </c>
      <c r="C457" s="325">
        <f t="shared" si="186"/>
        <v>31.103060252561516</v>
      </c>
      <c r="D457" s="326">
        <f t="shared" si="187"/>
        <v>1.5386396079672415</v>
      </c>
      <c r="E457" s="326">
        <f t="shared" si="188"/>
        <v>1.0019813650164882</v>
      </c>
      <c r="F457" s="327">
        <f t="shared" si="189"/>
        <v>6.2898315274807451E-2</v>
      </c>
      <c r="G457" s="326">
        <f t="shared" si="190"/>
        <v>1</v>
      </c>
      <c r="H457" s="327">
        <f t="shared" si="191"/>
        <v>0</v>
      </c>
      <c r="I457" s="325">
        <f t="shared" si="192"/>
        <v>66520.925050098827</v>
      </c>
      <c r="J457" s="328">
        <f t="shared" si="193"/>
        <v>1.5707812939311883</v>
      </c>
      <c r="K457" s="336">
        <f t="shared" si="213"/>
        <v>12.613936249636906</v>
      </c>
      <c r="L457" s="337">
        <f t="shared" si="214"/>
        <v>1.4914356547545291</v>
      </c>
      <c r="M457" s="325">
        <f t="shared" si="194"/>
        <v>1.0073285333457405</v>
      </c>
      <c r="N457" s="337">
        <f t="shared" si="195"/>
        <v>0.12069842828259163</v>
      </c>
      <c r="O457" s="343">
        <f t="shared" si="196"/>
        <v>1.0415468769428811</v>
      </c>
      <c r="P457" s="691">
        <f t="shared" si="197"/>
        <v>0.28339951761344145</v>
      </c>
      <c r="Q457" s="336">
        <f t="shared" si="212"/>
        <v>6.624333596364723</v>
      </c>
      <c r="R457" s="692">
        <f t="shared" si="198"/>
        <v>0.31232871052279743</v>
      </c>
      <c r="S457" s="329">
        <f t="shared" si="199"/>
        <v>1.0404516855028703</v>
      </c>
      <c r="T457" s="330">
        <f t="shared" si="200"/>
        <v>0.28758648093986172</v>
      </c>
      <c r="U457" s="331">
        <f t="shared" si="201"/>
        <v>-2.438757694880044</v>
      </c>
      <c r="V457" s="332">
        <f t="shared" si="202"/>
        <v>-114.15044089823753</v>
      </c>
      <c r="W457" s="334">
        <f t="shared" si="203"/>
        <v>65.849559101762466</v>
      </c>
      <c r="Y457" s="307">
        <f t="shared" si="204"/>
        <v>50119</v>
      </c>
      <c r="Z457" s="307">
        <f t="shared" si="205"/>
        <v>2511914161</v>
      </c>
      <c r="AB457" s="333">
        <f t="shared" si="206"/>
        <v>23.20164871971102</v>
      </c>
      <c r="AC457" s="334">
        <f t="shared" si="207"/>
        <v>-11.461680795142275</v>
      </c>
      <c r="AE457" s="333">
        <f t="shared" si="208"/>
        <v>17.173704432412876</v>
      </c>
      <c r="AF457" s="334">
        <f t="shared" si="209"/>
        <v>-101.03123944277536</v>
      </c>
      <c r="AH457">
        <f t="shared" si="210"/>
        <v>0</v>
      </c>
      <c r="AI457">
        <f t="shared" si="215"/>
        <v>0</v>
      </c>
    </row>
    <row r="458" spans="1:35" x14ac:dyDescent="0.2">
      <c r="A458" s="335">
        <v>50410.75</v>
      </c>
      <c r="B458" s="352">
        <f t="shared" si="211"/>
        <v>50.41075</v>
      </c>
      <c r="C458" s="325">
        <f t="shared" si="186"/>
        <v>31.283929081515232</v>
      </c>
      <c r="D458" s="326">
        <f t="shared" si="187"/>
        <v>1.53882558640556</v>
      </c>
      <c r="E458" s="326">
        <f t="shared" si="188"/>
        <v>1.002004476644853</v>
      </c>
      <c r="F458" s="327">
        <f t="shared" si="189"/>
        <v>6.3263482197380219E-2</v>
      </c>
      <c r="G458" s="326">
        <f t="shared" si="190"/>
        <v>1</v>
      </c>
      <c r="H458" s="327">
        <f t="shared" si="191"/>
        <v>0</v>
      </c>
      <c r="I458" s="325">
        <f t="shared" si="192"/>
        <v>66908.153045050713</v>
      </c>
      <c r="J458" s="328">
        <f t="shared" si="193"/>
        <v>1.5707813809332261</v>
      </c>
      <c r="K458" s="336">
        <f t="shared" si="213"/>
        <v>12.686903651865959</v>
      </c>
      <c r="L458" s="337">
        <f t="shared" si="214"/>
        <v>1.4918930417204646</v>
      </c>
      <c r="M458" s="325">
        <f t="shared" si="194"/>
        <v>1.0074137877237042</v>
      </c>
      <c r="N458" s="337">
        <f t="shared" si="195"/>
        <v>0.12139416870969279</v>
      </c>
      <c r="O458" s="343">
        <f t="shared" si="196"/>
        <v>1.0420222017814806</v>
      </c>
      <c r="P458" s="691">
        <f t="shared" si="197"/>
        <v>0.28496159203442389</v>
      </c>
      <c r="Q458" s="336">
        <f t="shared" si="212"/>
        <v>6.627939611519742</v>
      </c>
      <c r="R458" s="692">
        <f t="shared" si="198"/>
        <v>0.31403211185443769</v>
      </c>
      <c r="S458" s="329">
        <f t="shared" si="199"/>
        <v>1.0409147512901877</v>
      </c>
      <c r="T458" s="330">
        <f t="shared" si="200"/>
        <v>0.28917631945305333</v>
      </c>
      <c r="U458" s="331">
        <f t="shared" si="201"/>
        <v>-2.4945997265402777</v>
      </c>
      <c r="V458" s="332">
        <f t="shared" si="202"/>
        <v>-114.25302425910189</v>
      </c>
      <c r="W458" s="334">
        <f t="shared" si="203"/>
        <v>65.746975740898108</v>
      </c>
      <c r="Y458" s="307">
        <f t="shared" si="204"/>
        <v>50410.75</v>
      </c>
      <c r="Z458" s="307">
        <f t="shared" si="205"/>
        <v>2541243715.5625</v>
      </c>
      <c r="AB458" s="333">
        <f t="shared" si="206"/>
        <v>23.200598593703919</v>
      </c>
      <c r="AC458" s="334">
        <f t="shared" si="207"/>
        <v>-11.4753424273646</v>
      </c>
      <c r="AE458" s="333">
        <f t="shared" si="208"/>
        <v>17.119676455946163</v>
      </c>
      <c r="AF458" s="334">
        <f t="shared" si="209"/>
        <v>-101.11206373589584</v>
      </c>
      <c r="AH458">
        <f t="shared" si="210"/>
        <v>0</v>
      </c>
      <c r="AI458">
        <f t="shared" si="215"/>
        <v>0</v>
      </c>
    </row>
    <row r="459" spans="1:35" x14ac:dyDescent="0.2">
      <c r="A459" s="335">
        <v>50702.5</v>
      </c>
      <c r="B459" s="352">
        <f t="shared" si="211"/>
        <v>50.702500000000001</v>
      </c>
      <c r="C459" s="325">
        <f t="shared" si="186"/>
        <v>31.464798980076974</v>
      </c>
      <c r="D459" s="326">
        <f t="shared" si="187"/>
        <v>1.5390094267210694</v>
      </c>
      <c r="E459" s="326">
        <f t="shared" si="188"/>
        <v>1.0020277218812161</v>
      </c>
      <c r="F459" s="327">
        <f t="shared" si="189"/>
        <v>6.3628632226214413E-2</v>
      </c>
      <c r="G459" s="326">
        <f t="shared" si="190"/>
        <v>1</v>
      </c>
      <c r="H459" s="327">
        <f t="shared" si="191"/>
        <v>0</v>
      </c>
      <c r="I459" s="325">
        <f t="shared" si="192"/>
        <v>67295.381040003092</v>
      </c>
      <c r="J459" s="328">
        <f t="shared" si="193"/>
        <v>1.5707814669340179</v>
      </c>
      <c r="K459" s="336">
        <f t="shared" si="213"/>
        <v>12.759873677875541</v>
      </c>
      <c r="L459" s="337">
        <f t="shared" si="214"/>
        <v>1.4923451974526292</v>
      </c>
      <c r="M459" s="325">
        <f t="shared" si="194"/>
        <v>1.0074995296624225</v>
      </c>
      <c r="N459" s="337">
        <f t="shared" si="195"/>
        <v>0.12208979105329505</v>
      </c>
      <c r="O459" s="343">
        <f t="shared" si="196"/>
        <v>1.0425000669117521</v>
      </c>
      <c r="P459" s="691">
        <f t="shared" si="197"/>
        <v>0.28652223820141831</v>
      </c>
      <c r="Q459" s="336">
        <f t="shared" si="212"/>
        <v>6.631564579297117</v>
      </c>
      <c r="R459" s="692">
        <f t="shared" si="198"/>
        <v>0.31573366845243467</v>
      </c>
      <c r="S459" s="329">
        <f t="shared" si="199"/>
        <v>1.041380297808024</v>
      </c>
      <c r="T459" s="330">
        <f t="shared" si="200"/>
        <v>0.29076478256761795</v>
      </c>
      <c r="U459" s="331">
        <f t="shared" si="201"/>
        <v>-2.5501711681379917</v>
      </c>
      <c r="V459" s="332">
        <f t="shared" si="202"/>
        <v>-114.35567631999365</v>
      </c>
      <c r="W459" s="334">
        <f t="shared" si="203"/>
        <v>65.644323680006352</v>
      </c>
      <c r="Y459" s="307">
        <f t="shared" si="204"/>
        <v>50702.5</v>
      </c>
      <c r="Z459" s="307">
        <f t="shared" si="205"/>
        <v>2570743506.25</v>
      </c>
      <c r="AB459" s="333">
        <f t="shared" si="206"/>
        <v>23.199549726866302</v>
      </c>
      <c r="AC459" s="334">
        <f t="shared" si="207"/>
        <v>-11.48929696415067</v>
      </c>
      <c r="AE459" s="333">
        <f t="shared" si="208"/>
        <v>17.065920705258602</v>
      </c>
      <c r="AF459" s="334">
        <f t="shared" si="209"/>
        <v>-101.19268768700648</v>
      </c>
      <c r="AH459">
        <f t="shared" si="210"/>
        <v>0</v>
      </c>
      <c r="AI459">
        <f t="shared" si="215"/>
        <v>0</v>
      </c>
    </row>
    <row r="460" spans="1:35" x14ac:dyDescent="0.2">
      <c r="A460" s="335">
        <v>50994.25</v>
      </c>
      <c r="B460" s="352">
        <f t="shared" si="211"/>
        <v>50.994250000000001</v>
      </c>
      <c r="C460" s="325">
        <f t="shared" si="186"/>
        <v>31.645669929906802</v>
      </c>
      <c r="D460" s="326">
        <f t="shared" si="187"/>
        <v>1.539191165562583</v>
      </c>
      <c r="E460" s="326">
        <f t="shared" si="188"/>
        <v>1.0020511007162789</v>
      </c>
      <c r="F460" s="327">
        <f t="shared" si="189"/>
        <v>6.3993765265114896E-2</v>
      </c>
      <c r="G460" s="326">
        <f t="shared" si="190"/>
        <v>1</v>
      </c>
      <c r="H460" s="327">
        <f t="shared" si="191"/>
        <v>0</v>
      </c>
      <c r="I460" s="325">
        <f t="shared" si="192"/>
        <v>67682.609034955967</v>
      </c>
      <c r="J460" s="328">
        <f t="shared" si="193"/>
        <v>1.5707815519507484</v>
      </c>
      <c r="K460" s="336">
        <f t="shared" si="213"/>
        <v>12.83284628290769</v>
      </c>
      <c r="L460" s="337">
        <f t="shared" si="214"/>
        <v>1.4927922110050966</v>
      </c>
      <c r="M460" s="325">
        <f t="shared" si="194"/>
        <v>1.0075857590374266</v>
      </c>
      <c r="N460" s="337">
        <f t="shared" si="195"/>
        <v>0.12278529467042019</v>
      </c>
      <c r="O460" s="343">
        <f t="shared" si="196"/>
        <v>1.0429804688420188</v>
      </c>
      <c r="P460" s="691">
        <f t="shared" si="197"/>
        <v>0.28808145048055755</v>
      </c>
      <c r="Q460" s="336">
        <f t="shared" si="212"/>
        <v>6.6352084686398483</v>
      </c>
      <c r="R460" s="692">
        <f t="shared" si="198"/>
        <v>0.31743337369380142</v>
      </c>
      <c r="S460" s="329">
        <f t="shared" si="199"/>
        <v>1.0418483217427565</v>
      </c>
      <c r="T460" s="330">
        <f t="shared" si="200"/>
        <v>0.29235186479343583</v>
      </c>
      <c r="U460" s="331">
        <f t="shared" si="201"/>
        <v>-2.6054753827258099</v>
      </c>
      <c r="V460" s="332">
        <f t="shared" si="202"/>
        <v>-114.45839367673577</v>
      </c>
      <c r="W460" s="334">
        <f t="shared" si="203"/>
        <v>65.541606323264233</v>
      </c>
      <c r="Y460" s="307">
        <f t="shared" si="204"/>
        <v>50994.25</v>
      </c>
      <c r="Z460" s="307">
        <f t="shared" si="205"/>
        <v>2600413533.0625</v>
      </c>
      <c r="AB460" s="333">
        <f t="shared" si="206"/>
        <v>23.198501998728144</v>
      </c>
      <c r="AC460" s="334">
        <f t="shared" si="207"/>
        <v>-11.503539267222616</v>
      </c>
      <c r="AE460" s="333">
        <f t="shared" si="208"/>
        <v>17.012433915744658</v>
      </c>
      <c r="AF460" s="334">
        <f t="shared" si="209"/>
        <v>-101.27311308688053</v>
      </c>
      <c r="AH460">
        <f t="shared" si="210"/>
        <v>0</v>
      </c>
      <c r="AI460">
        <f t="shared" si="215"/>
        <v>0</v>
      </c>
    </row>
    <row r="461" spans="1:35" x14ac:dyDescent="0.2">
      <c r="A461" s="335">
        <v>51286</v>
      </c>
      <c r="B461" s="352">
        <f t="shared" si="211"/>
        <v>51.286000000000001</v>
      </c>
      <c r="C461" s="325">
        <f t="shared" ref="C461:C524" si="216">SQRT(1+(A461/pole1)^2)</f>
        <v>31.82654191308157</v>
      </c>
      <c r="D461" s="326">
        <f t="shared" ref="D461:D524" si="217">ATAN(A461/pole1)</f>
        <v>1.5393708387463678</v>
      </c>
      <c r="E461" s="326">
        <f t="shared" ref="E461:E524" si="218">SQRT(1+(A461/Zero1)^2)</f>
        <v>1.0020746131406908</v>
      </c>
      <c r="F461" s="327">
        <f t="shared" ref="F461:F524" si="219">ATAN(A461/Zero1)</f>
        <v>6.4358881217913597E-2</v>
      </c>
      <c r="G461" s="326">
        <f t="shared" ref="G461:G524" si="220">IF(VIN_nom&gt;Vout, 1, SQRT(1+(A461/z_RHP)^2))</f>
        <v>1</v>
      </c>
      <c r="H461" s="327">
        <f t="shared" ref="H461:H524" si="221">IF(VIN_nom&gt;Vout, 0, -ATAN(A461/z_RHP))</f>
        <v>0</v>
      </c>
      <c r="I461" s="325">
        <f t="shared" ref="I461:I524" si="222">SQRT(1+(A461/Pole2)^2)</f>
        <v>68069.837029909322</v>
      </c>
      <c r="J461" s="328">
        <f t="shared" ref="J461:J524" si="223">ATAN(A461/Pole2)</f>
        <v>1.5707816360002118</v>
      </c>
      <c r="K461" s="336">
        <f t="shared" si="213"/>
        <v>12.905821423215174</v>
      </c>
      <c r="L461" s="337">
        <f t="shared" si="214"/>
        <v>1.4932341694260656</v>
      </c>
      <c r="M461" s="325">
        <f t="shared" ref="M461:M524" si="224">SQRT(1+(A461/pole4)^2)</f>
        <v>1.0076724757235827</v>
      </c>
      <c r="N461" s="337">
        <f t="shared" ref="N461:N524" si="225">ATAN(A461/pole4)</f>
        <v>0.12348067891876888</v>
      </c>
      <c r="O461" s="343">
        <f t="shared" ref="O461:O524" si="226">IF(VOUT_setting=1,1,SQRT(1+(A461*zterm1)^2))</f>
        <v>1.0434634040685153</v>
      </c>
      <c r="P461" s="691">
        <f t="shared" ref="P461:P524" si="227">IF(VOUT_setting=1,0,ATAN(((A461*zterm1))))</f>
        <v>0.28963922327620983</v>
      </c>
      <c r="Q461" s="336">
        <f t="shared" si="212"/>
        <v>6.6388712483971908</v>
      </c>
      <c r="R461" s="692">
        <f t="shared" ref="R461:R524" si="228">IF(VOUT_setting=1,0,ATAN(A461*$Q$4/(1+Afbr-$Q$5*(A461)^2)))</f>
        <v>0.31913122101226371</v>
      </c>
      <c r="S461" s="329">
        <f t="shared" ref="S461:S524" si="229">SQRT((1-(Z461/pterm2))^2+(A461/pterm1)^2)</f>
        <v>1.0423188197691025</v>
      </c>
      <c r="T461" s="330">
        <f t="shared" ref="T461:T524" si="230">IF((ATAN((A461/pterm1)/(1-A461^2/pterm2))&gt;0),ATAN((A461/pterm1)/(1-A461^2/pterm2)),PI()+ATAN((A461/pterm1)/(1-A461^2/pterm2)))</f>
        <v>0.29393756067644233</v>
      </c>
      <c r="U461" s="331">
        <f t="shared" ref="U461:U524" si="231">20*LOG10(((E461*K461*G461*O461)/(C461*I461*S461*M461*Q461))*Adc)</f>
        <v>-2.6605156731674944</v>
      </c>
      <c r="V461" s="332">
        <f t="shared" ref="V461:V524" si="232">((F461+L461+H461+P461)-(D461+J461+T461+N461+R461))*radconv</f>
        <v>-114.56117299551732</v>
      </c>
      <c r="W461" s="334">
        <f t="shared" ref="W461:W524" si="233">IF(V461&gt;0,V461,V461+180)</f>
        <v>65.438827004482675</v>
      </c>
      <c r="Y461" s="307">
        <f t="shared" ref="Y461:Y524" si="234">IF(U461&lt;0,A461,1000000000)</f>
        <v>51286</v>
      </c>
      <c r="Z461" s="307">
        <f t="shared" ref="Z461:Z524" si="235">A461^2</f>
        <v>2630253796</v>
      </c>
      <c r="AB461" s="333">
        <f t="shared" ref="AB461:AB524" si="236">20*LOG10((K461/(I461*M461))*AEA)</f>
        <v>23.197455292286886</v>
      </c>
      <c r="AC461" s="334">
        <f t="shared" ref="AC461:AC524" si="237">(L461-(J461+N461))*radconv</f>
        <v>-11.5180643132472</v>
      </c>
      <c r="AE461" s="333">
        <f t="shared" ref="AE461:AE524" si="238">20*LOG10((E461*G461/(C461*S461))*Acs*Am)</f>
        <v>16.959212879509405</v>
      </c>
      <c r="AF461" s="334">
        <f t="shared" ref="AF461:AF524" si="239">(F461+H461-(D461+T461))*radconv</f>
        <v>-101.35334168065403</v>
      </c>
      <c r="AH461">
        <f t="shared" ref="AH461:AH524" si="240">SUM((U462&lt;0)*(U461&gt;0))*A461</f>
        <v>0</v>
      </c>
      <c r="AI461">
        <f t="shared" si="215"/>
        <v>0</v>
      </c>
    </row>
    <row r="462" spans="1:35" x14ac:dyDescent="0.2">
      <c r="A462" s="335">
        <v>51584.75</v>
      </c>
      <c r="B462" s="352">
        <f t="shared" ref="B462:B525" si="241">A462/1000</f>
        <v>51.58475</v>
      </c>
      <c r="C462" s="325">
        <f t="shared" si="216"/>
        <v>32.011754636477605</v>
      </c>
      <c r="D462" s="326">
        <f t="shared" si="217"/>
        <v>1.5395527188225122</v>
      </c>
      <c r="E462" s="326">
        <f t="shared" si="218"/>
        <v>1.0020988281279277</v>
      </c>
      <c r="F462" s="327">
        <f t="shared" si="219"/>
        <v>6.4732739644273368E-2</v>
      </c>
      <c r="G462" s="326">
        <f t="shared" si="220"/>
        <v>1</v>
      </c>
      <c r="H462" s="327">
        <f t="shared" si="221"/>
        <v>0</v>
      </c>
      <c r="I462" s="325">
        <f t="shared" si="222"/>
        <v>68466.355842222794</v>
      </c>
      <c r="J462" s="328">
        <f t="shared" si="223"/>
        <v>1.5707817210810722</v>
      </c>
      <c r="K462" s="336">
        <f t="shared" si="213"/>
        <v>12.980550049216275</v>
      </c>
      <c r="L462" s="337">
        <f t="shared" si="214"/>
        <v>1.4936815821790048</v>
      </c>
      <c r="M462" s="325">
        <f t="shared" si="224"/>
        <v>1.0077617778739474</v>
      </c>
      <c r="N462" s="337">
        <f t="shared" si="225"/>
        <v>0.12419262325270053</v>
      </c>
      <c r="O462" s="343">
        <f t="shared" si="226"/>
        <v>1.0439605479553593</v>
      </c>
      <c r="P462" s="691">
        <f t="shared" si="227"/>
        <v>0.2912328744309276</v>
      </c>
      <c r="Q462" s="336">
        <f t="shared" si="212"/>
        <v>6.6426414528360098</v>
      </c>
      <c r="R462" s="692">
        <f t="shared" si="228"/>
        <v>0.32086787290420354</v>
      </c>
      <c r="S462" s="329">
        <f t="shared" si="229"/>
        <v>1.0428031668827145</v>
      </c>
      <c r="T462" s="330">
        <f t="shared" si="230"/>
        <v>0.29555986009526997</v>
      </c>
      <c r="U462" s="331">
        <f t="shared" si="231"/>
        <v>-2.7166064428837453</v>
      </c>
      <c r="V462" s="332">
        <f t="shared" si="232"/>
        <v>-114.66647911284088</v>
      </c>
      <c r="W462" s="334">
        <f t="shared" si="233"/>
        <v>65.333520887159125</v>
      </c>
      <c r="Y462" s="307">
        <f t="shared" si="234"/>
        <v>51584.75</v>
      </c>
      <c r="Z462" s="307">
        <f t="shared" si="235"/>
        <v>2660986432.5625</v>
      </c>
      <c r="AB462" s="333">
        <f t="shared" si="236"/>
        <v>23.196384412132179</v>
      </c>
      <c r="AC462" s="334">
        <f t="shared" si="237"/>
        <v>-11.53322573117754</v>
      </c>
      <c r="AE462" s="333">
        <f t="shared" si="238"/>
        <v>16.904987004788389</v>
      </c>
      <c r="AF462" s="334">
        <f t="shared" si="239"/>
        <v>-101.4352930413278</v>
      </c>
      <c r="AH462">
        <f t="shared" si="240"/>
        <v>0</v>
      </c>
      <c r="AI462">
        <f t="shared" si="215"/>
        <v>0</v>
      </c>
    </row>
    <row r="463" spans="1:35" x14ac:dyDescent="0.2">
      <c r="A463" s="335">
        <v>51883.5</v>
      </c>
      <c r="B463" s="352">
        <f t="shared" si="241"/>
        <v>51.883499999999998</v>
      </c>
      <c r="C463" s="325">
        <f t="shared" si="216"/>
        <v>32.196968406650733</v>
      </c>
      <c r="D463" s="326">
        <f t="shared" si="217"/>
        <v>1.5397325063662564</v>
      </c>
      <c r="E463" s="326">
        <f t="shared" si="218"/>
        <v>1.0021231831718609</v>
      </c>
      <c r="F463" s="327">
        <f t="shared" si="219"/>
        <v>6.510657995078864E-2</v>
      </c>
      <c r="G463" s="326">
        <f t="shared" si="220"/>
        <v>1</v>
      </c>
      <c r="H463" s="327">
        <f t="shared" si="221"/>
        <v>0</v>
      </c>
      <c r="I463" s="325">
        <f t="shared" si="222"/>
        <v>68862.874654536776</v>
      </c>
      <c r="J463" s="328">
        <f t="shared" si="223"/>
        <v>1.5707818051821256</v>
      </c>
      <c r="K463" s="336">
        <f t="shared" si="213"/>
        <v>13.055281243893026</v>
      </c>
      <c r="L463" s="337">
        <f t="shared" si="214"/>
        <v>1.494123872848937</v>
      </c>
      <c r="M463" s="325">
        <f t="shared" si="224"/>
        <v>1.0078515907325467</v>
      </c>
      <c r="N463" s="337">
        <f t="shared" si="225"/>
        <v>0.12490444106012921</v>
      </c>
      <c r="O463" s="343">
        <f t="shared" si="226"/>
        <v>1.0444603406859312</v>
      </c>
      <c r="P463" s="691">
        <f t="shared" si="227"/>
        <v>0.29282500444551907</v>
      </c>
      <c r="Q463" s="336">
        <f t="shared" ref="Q463:Q526" si="242">IF(VOUT_setting=1,1,SQRT((1+Afbr-$Q$5*(A463)^2)^2+(A463*$Q$4)^2))</f>
        <v>6.6464313986380628</v>
      </c>
      <c r="R463" s="692">
        <f t="shared" si="228"/>
        <v>0.32260256289558925</v>
      </c>
      <c r="S463" s="329">
        <f t="shared" si="229"/>
        <v>1.0432901011404765</v>
      </c>
      <c r="T463" s="330">
        <f t="shared" si="230"/>
        <v>0.29718069438871375</v>
      </c>
      <c r="U463" s="331">
        <f t="shared" si="231"/>
        <v>-2.7724272939794243</v>
      </c>
      <c r="V463" s="332">
        <f t="shared" si="232"/>
        <v>-114.77184334403202</v>
      </c>
      <c r="W463" s="334">
        <f t="shared" si="233"/>
        <v>65.228156655967979</v>
      </c>
      <c r="Y463" s="307">
        <f t="shared" si="234"/>
        <v>51883.5</v>
      </c>
      <c r="Z463" s="307">
        <f t="shared" si="235"/>
        <v>2691897572.25</v>
      </c>
      <c r="AB463" s="333">
        <f t="shared" si="236"/>
        <v>23.195314365622359</v>
      </c>
      <c r="AC463" s="334">
        <f t="shared" si="237"/>
        <v>-11.548673317273392</v>
      </c>
      <c r="AE463" s="333">
        <f t="shared" si="238"/>
        <v>16.851033157523617</v>
      </c>
      <c r="AF463" s="334">
        <f t="shared" si="239"/>
        <v>-101.51704160141595</v>
      </c>
      <c r="AH463">
        <f t="shared" si="240"/>
        <v>0</v>
      </c>
      <c r="AI463">
        <f t="shared" si="215"/>
        <v>0</v>
      </c>
    </row>
    <row r="464" spans="1:35" x14ac:dyDescent="0.2">
      <c r="A464" s="335">
        <v>52182.25</v>
      </c>
      <c r="B464" s="352">
        <f t="shared" si="241"/>
        <v>52.182250000000003</v>
      </c>
      <c r="C464" s="325">
        <f t="shared" si="216"/>
        <v>32.382183205639457</v>
      </c>
      <c r="D464" s="326">
        <f t="shared" si="217"/>
        <v>1.5399102372715441</v>
      </c>
      <c r="E464" s="326">
        <f t="shared" si="218"/>
        <v>1.0021476782622787</v>
      </c>
      <c r="F464" s="327">
        <f t="shared" si="219"/>
        <v>6.5480402034291021E-2</v>
      </c>
      <c r="G464" s="326">
        <f t="shared" si="220"/>
        <v>1</v>
      </c>
      <c r="H464" s="327">
        <f t="shared" si="221"/>
        <v>0</v>
      </c>
      <c r="I464" s="325">
        <f t="shared" si="222"/>
        <v>69259.393466851223</v>
      </c>
      <c r="J464" s="328">
        <f t="shared" si="223"/>
        <v>1.5707818883202005</v>
      </c>
      <c r="K464" s="336">
        <f t="shared" si="213"/>
        <v>13.13001496338557</v>
      </c>
      <c r="L464" s="337">
        <f t="shared" si="214"/>
        <v>1.4945611287232927</v>
      </c>
      <c r="M464" s="325">
        <f t="shared" si="224"/>
        <v>1.0079419141628609</v>
      </c>
      <c r="N464" s="337">
        <f t="shared" si="225"/>
        <v>0.12561613165364005</v>
      </c>
      <c r="O464" s="343">
        <f t="shared" si="226"/>
        <v>1.0449627784595032</v>
      </c>
      <c r="P464" s="691">
        <f t="shared" si="227"/>
        <v>0.29441560743671169</v>
      </c>
      <c r="Q464" s="336">
        <f t="shared" si="242"/>
        <v>6.6502410520580986</v>
      </c>
      <c r="R464" s="692">
        <f t="shared" si="228"/>
        <v>0.3243352841209291</v>
      </c>
      <c r="S464" s="329">
        <f t="shared" si="229"/>
        <v>1.0437796189346458</v>
      </c>
      <c r="T464" s="330">
        <f t="shared" si="230"/>
        <v>0.29880005781841529</v>
      </c>
      <c r="U464" s="331">
        <f t="shared" si="231"/>
        <v>-2.8279815856206145</v>
      </c>
      <c r="V464" s="332">
        <f t="shared" si="232"/>
        <v>-114.87726232688949</v>
      </c>
      <c r="W464" s="334">
        <f t="shared" si="233"/>
        <v>65.122737673110507</v>
      </c>
      <c r="Y464" s="307">
        <f t="shared" si="234"/>
        <v>52182.25</v>
      </c>
      <c r="Z464" s="307">
        <f t="shared" si="235"/>
        <v>2722987215.0625</v>
      </c>
      <c r="AB464" s="333">
        <f t="shared" si="236"/>
        <v>23.194245037687658</v>
      </c>
      <c r="AC464" s="334">
        <f t="shared" si="237"/>
        <v>-11.564402031911625</v>
      </c>
      <c r="AE464" s="333">
        <f t="shared" si="238"/>
        <v>16.797348069934216</v>
      </c>
      <c r="AF464" s="334">
        <f t="shared" si="239"/>
        <v>-101.59858909461744</v>
      </c>
      <c r="AH464">
        <f t="shared" si="240"/>
        <v>0</v>
      </c>
      <c r="AI464">
        <f t="shared" si="215"/>
        <v>0</v>
      </c>
    </row>
    <row r="465" spans="1:35" x14ac:dyDescent="0.2">
      <c r="A465" s="335">
        <v>52481</v>
      </c>
      <c r="B465" s="352">
        <f t="shared" si="241"/>
        <v>52.481000000000002</v>
      </c>
      <c r="C465" s="325">
        <f t="shared" si="216"/>
        <v>32.567399015890778</v>
      </c>
      <c r="D465" s="326">
        <f t="shared" si="217"/>
        <v>1.5400859466163079</v>
      </c>
      <c r="E465" s="326">
        <f t="shared" si="218"/>
        <v>1.0021723133889122</v>
      </c>
      <c r="F465" s="327">
        <f t="shared" si="219"/>
        <v>6.5854205791642598E-2</v>
      </c>
      <c r="G465" s="326">
        <f t="shared" si="220"/>
        <v>1</v>
      </c>
      <c r="H465" s="327">
        <f t="shared" si="221"/>
        <v>0</v>
      </c>
      <c r="I465" s="325">
        <f t="shared" si="222"/>
        <v>69655.91227916615</v>
      </c>
      <c r="J465" s="328">
        <f t="shared" si="223"/>
        <v>1.5707819705117425</v>
      </c>
      <c r="K465" s="336">
        <f t="shared" si="213"/>
        <v>13.204751164825499</v>
      </c>
      <c r="L465" s="337">
        <f t="shared" si="214"/>
        <v>1.4949934351211875</v>
      </c>
      <c r="M465" s="325">
        <f t="shared" si="224"/>
        <v>1.0080327480276423</v>
      </c>
      <c r="N465" s="337">
        <f t="shared" si="225"/>
        <v>0.12632769434657931</v>
      </c>
      <c r="O465" s="343">
        <f t="shared" si="226"/>
        <v>1.04546785746256</v>
      </c>
      <c r="P465" s="691">
        <f t="shared" si="227"/>
        <v>0.29600467756342014</v>
      </c>
      <c r="Q465" s="336">
        <f t="shared" si="242"/>
        <v>6.6540703792528779</v>
      </c>
      <c r="R465" s="692">
        <f t="shared" si="228"/>
        <v>0.32606602977705756</v>
      </c>
      <c r="S465" s="329">
        <f t="shared" si="229"/>
        <v>1.0442717166451254</v>
      </c>
      <c r="T465" s="330">
        <f t="shared" si="230"/>
        <v>0.30041794468581851</v>
      </c>
      <c r="U465" s="331">
        <f t="shared" si="231"/>
        <v>-2.8832726167458778</v>
      </c>
      <c r="V465" s="332">
        <f t="shared" si="232"/>
        <v>-114.98273276868849</v>
      </c>
      <c r="W465" s="334">
        <f t="shared" si="233"/>
        <v>65.017267231311507</v>
      </c>
      <c r="Y465" s="307">
        <f t="shared" si="234"/>
        <v>52481</v>
      </c>
      <c r="Z465" s="307">
        <f t="shared" si="235"/>
        <v>2754255361</v>
      </c>
      <c r="AB465" s="333">
        <f t="shared" si="236"/>
        <v>23.193176316583472</v>
      </c>
      <c r="AC465" s="334">
        <f t="shared" si="237"/>
        <v>-11.580406948266887</v>
      </c>
      <c r="AE465" s="333">
        <f t="shared" si="238"/>
        <v>16.743928531135687</v>
      </c>
      <c r="AF465" s="334">
        <f t="shared" si="239"/>
        <v>-101.67993721015581</v>
      </c>
      <c r="AH465">
        <f t="shared" si="240"/>
        <v>0</v>
      </c>
      <c r="AI465">
        <f t="shared" si="215"/>
        <v>0</v>
      </c>
    </row>
    <row r="466" spans="1:35" x14ac:dyDescent="0.2">
      <c r="A466" s="335">
        <v>52786.5</v>
      </c>
      <c r="B466" s="352">
        <f t="shared" si="241"/>
        <v>52.786499999999997</v>
      </c>
      <c r="C466" s="325">
        <f t="shared" si="216"/>
        <v>32.75680064642804</v>
      </c>
      <c r="D466" s="326">
        <f t="shared" si="217"/>
        <v>1.5402635710914951</v>
      </c>
      <c r="E466" s="326">
        <f t="shared" si="218"/>
        <v>1.0021976499322984</v>
      </c>
      <c r="F466" s="327">
        <f t="shared" si="219"/>
        <v>6.6236436264909895E-2</v>
      </c>
      <c r="G466" s="326">
        <f t="shared" si="220"/>
        <v>1</v>
      </c>
      <c r="H466" s="327">
        <f t="shared" si="221"/>
        <v>0</v>
      </c>
      <c r="I466" s="325">
        <f t="shared" si="222"/>
        <v>70061.390093935537</v>
      </c>
      <c r="J466" s="328">
        <f t="shared" si="223"/>
        <v>1.5707820535982231</v>
      </c>
      <c r="K466" s="336">
        <f t="shared" si="213"/>
        <v>13.281178489673295</v>
      </c>
      <c r="L466" s="337">
        <f t="shared" si="214"/>
        <v>1.4954304775202543</v>
      </c>
      <c r="M466" s="325">
        <f t="shared" si="224"/>
        <v>1.0081261619259212</v>
      </c>
      <c r="N466" s="337">
        <f t="shared" si="225"/>
        <v>0.12705520120565877</v>
      </c>
      <c r="O466" s="343">
        <f t="shared" si="226"/>
        <v>1.0459870757238852</v>
      </c>
      <c r="P466" s="691">
        <f t="shared" si="227"/>
        <v>0.29762806011845555</v>
      </c>
      <c r="Q466" s="336">
        <f t="shared" si="242"/>
        <v>6.6580065370117998</v>
      </c>
      <c r="R466" s="692">
        <f t="shared" si="228"/>
        <v>0.32783383009567985</v>
      </c>
      <c r="S466" s="329">
        <f t="shared" si="229"/>
        <v>1.0447775971078797</v>
      </c>
      <c r="T466" s="330">
        <f t="shared" si="230"/>
        <v>0.30207085344180507</v>
      </c>
      <c r="U466" s="331">
        <f t="shared" si="231"/>
        <v>-2.9395440270061597</v>
      </c>
      <c r="V466" s="332">
        <f t="shared" si="232"/>
        <v>-115.09063608079919</v>
      </c>
      <c r="W466" s="334">
        <f t="shared" si="233"/>
        <v>64.909363919200814</v>
      </c>
      <c r="Y466" s="307">
        <f t="shared" si="234"/>
        <v>52786.5</v>
      </c>
      <c r="Z466" s="307">
        <f t="shared" si="235"/>
        <v>2786414582.25</v>
      </c>
      <c r="AB466" s="333">
        <f t="shared" si="236"/>
        <v>23.192083963130461</v>
      </c>
      <c r="AC466" s="334">
        <f t="shared" si="237"/>
        <v>-11.597054096447849</v>
      </c>
      <c r="AE466" s="333">
        <f t="shared" si="238"/>
        <v>16.689573352752468</v>
      </c>
      <c r="AF466" s="334">
        <f t="shared" si="239"/>
        <v>-101.76291884573584</v>
      </c>
      <c r="AH466">
        <f t="shared" si="240"/>
        <v>0</v>
      </c>
      <c r="AI466">
        <f t="shared" si="215"/>
        <v>0</v>
      </c>
    </row>
    <row r="467" spans="1:35" x14ac:dyDescent="0.2">
      <c r="A467" s="335">
        <v>53092</v>
      </c>
      <c r="B467" s="352">
        <f t="shared" si="241"/>
        <v>53.091999999999999</v>
      </c>
      <c r="C467" s="325">
        <f t="shared" si="216"/>
        <v>32.946203298574503</v>
      </c>
      <c r="D467" s="326">
        <f t="shared" si="217"/>
        <v>1.5404391533006283</v>
      </c>
      <c r="E467" s="326">
        <f t="shared" si="218"/>
        <v>1.0022231328894804</v>
      </c>
      <c r="F467" s="327">
        <f t="shared" si="219"/>
        <v>6.6618647356502539E-2</v>
      </c>
      <c r="G467" s="326">
        <f t="shared" si="220"/>
        <v>1</v>
      </c>
      <c r="H467" s="327">
        <f t="shared" si="221"/>
        <v>0</v>
      </c>
      <c r="I467" s="325">
        <f t="shared" si="222"/>
        <v>70466.86790870539</v>
      </c>
      <c r="J467" s="328">
        <f t="shared" si="223"/>
        <v>1.5707821357285172</v>
      </c>
      <c r="K467" s="336">
        <f t="shared" si="213"/>
        <v>13.357608322277256</v>
      </c>
      <c r="L467" s="337">
        <f t="shared" si="214"/>
        <v>1.4958625186450374</v>
      </c>
      <c r="M467" s="325">
        <f t="shared" si="224"/>
        <v>1.0082201092922962</v>
      </c>
      <c r="N467" s="337">
        <f t="shared" si="225"/>
        <v>0.12778257286942926</v>
      </c>
      <c r="O467" s="343">
        <f t="shared" si="226"/>
        <v>1.0465090478095966</v>
      </c>
      <c r="P467" s="691">
        <f t="shared" si="227"/>
        <v>0.29924982754007962</v>
      </c>
      <c r="Q467" s="336">
        <f t="shared" si="242"/>
        <v>6.6619631957255931</v>
      </c>
      <c r="R467" s="692">
        <f t="shared" si="228"/>
        <v>0.32959955037452132</v>
      </c>
      <c r="S467" s="329">
        <f t="shared" si="229"/>
        <v>1.0452861676903549</v>
      </c>
      <c r="T467" s="330">
        <f t="shared" si="230"/>
        <v>0.30372220623334367</v>
      </c>
      <c r="U467" s="331">
        <f t="shared" si="231"/>
        <v>-2.9955469366109631</v>
      </c>
      <c r="V467" s="332">
        <f t="shared" si="232"/>
        <v>-115.19858645380637</v>
      </c>
      <c r="W467" s="334">
        <f t="shared" si="233"/>
        <v>64.801413546193629</v>
      </c>
      <c r="Y467" s="307">
        <f t="shared" si="234"/>
        <v>53092</v>
      </c>
      <c r="Z467" s="307">
        <f t="shared" si="235"/>
        <v>2818760464</v>
      </c>
      <c r="AB467" s="333">
        <f t="shared" si="236"/>
        <v>23.190992018064357</v>
      </c>
      <c r="AC467" s="334">
        <f t="shared" si="237"/>
        <v>-11.613979995631718</v>
      </c>
      <c r="AE467" s="333">
        <f t="shared" si="238"/>
        <v>16.635489243927019</v>
      </c>
      <c r="AF467" s="334">
        <f t="shared" si="239"/>
        <v>-101.84569542838231</v>
      </c>
      <c r="AH467">
        <f t="shared" si="240"/>
        <v>0</v>
      </c>
      <c r="AI467">
        <f t="shared" si="215"/>
        <v>0</v>
      </c>
    </row>
    <row r="468" spans="1:35" x14ac:dyDescent="0.2">
      <c r="A468" s="335">
        <v>53397.5</v>
      </c>
      <c r="B468" s="352">
        <f t="shared" si="241"/>
        <v>53.397500000000001</v>
      </c>
      <c r="C468" s="325">
        <f t="shared" si="216"/>
        <v>33.135606954811678</v>
      </c>
      <c r="D468" s="326">
        <f t="shared" si="217"/>
        <v>1.540612728253663</v>
      </c>
      <c r="E468" s="326">
        <f t="shared" si="218"/>
        <v>1.0022487622492906</v>
      </c>
      <c r="F468" s="327">
        <f t="shared" si="219"/>
        <v>6.7000838956232336E-2</v>
      </c>
      <c r="G468" s="326">
        <f t="shared" si="220"/>
        <v>1</v>
      </c>
      <c r="H468" s="327">
        <f t="shared" si="221"/>
        <v>0</v>
      </c>
      <c r="I468" s="325">
        <f t="shared" si="222"/>
        <v>70872.345723475737</v>
      </c>
      <c r="J468" s="328">
        <f t="shared" si="223"/>
        <v>1.5707822169190371</v>
      </c>
      <c r="K468" s="336">
        <f t="shared" si="213"/>
        <v>13.434040619835509</v>
      </c>
      <c r="L468" s="337">
        <f t="shared" si="214"/>
        <v>1.4962896436963504</v>
      </c>
      <c r="M468" s="325">
        <f t="shared" si="224"/>
        <v>1.0083145899776531</v>
      </c>
      <c r="N468" s="337">
        <f t="shared" si="225"/>
        <v>0.12850980860612798</v>
      </c>
      <c r="O468" s="343">
        <f t="shared" si="226"/>
        <v>1.0470337696011471</v>
      </c>
      <c r="P468" s="691">
        <f t="shared" si="227"/>
        <v>0.3008699737193275</v>
      </c>
      <c r="Q468" s="336">
        <f t="shared" si="242"/>
        <v>6.6659403188953066</v>
      </c>
      <c r="R468" s="692">
        <f t="shared" si="228"/>
        <v>0.33136318354085498</v>
      </c>
      <c r="S468" s="329">
        <f t="shared" si="229"/>
        <v>1.0457974244821904</v>
      </c>
      <c r="T468" s="330">
        <f t="shared" si="230"/>
        <v>0.30537199709616719</v>
      </c>
      <c r="U468" s="331">
        <f t="shared" si="231"/>
        <v>-3.051284686784308</v>
      </c>
      <c r="V468" s="332">
        <f t="shared" si="232"/>
        <v>-115.30658058036552</v>
      </c>
      <c r="W468" s="334">
        <f t="shared" si="233"/>
        <v>64.693419419634481</v>
      </c>
      <c r="Y468" s="307">
        <f t="shared" si="234"/>
        <v>53397.5</v>
      </c>
      <c r="Z468" s="307">
        <f t="shared" si="235"/>
        <v>2851293006.25</v>
      </c>
      <c r="AB468" s="333">
        <f t="shared" si="236"/>
        <v>23.189900371970339</v>
      </c>
      <c r="AC468" s="334">
        <f t="shared" si="237"/>
        <v>-11.631179723184875</v>
      </c>
      <c r="AE468" s="333">
        <f t="shared" si="238"/>
        <v>16.581672947507283</v>
      </c>
      <c r="AF468" s="334">
        <f t="shared" si="239"/>
        <v>-101.92826862860389</v>
      </c>
      <c r="AH468">
        <f t="shared" si="240"/>
        <v>0</v>
      </c>
      <c r="AI468">
        <f t="shared" si="215"/>
        <v>0</v>
      </c>
    </row>
    <row r="469" spans="1:35" x14ac:dyDescent="0.2">
      <c r="A469" s="335">
        <v>53703</v>
      </c>
      <c r="B469" s="352">
        <f t="shared" si="241"/>
        <v>53.703000000000003</v>
      </c>
      <c r="C469" s="325">
        <f t="shared" si="216"/>
        <v>33.325011598019216</v>
      </c>
      <c r="D469" s="326">
        <f t="shared" si="217"/>
        <v>1.540784330165121</v>
      </c>
      <c r="E469" s="326">
        <f t="shared" si="218"/>
        <v>1.0022745380004974</v>
      </c>
      <c r="F469" s="327">
        <f t="shared" si="219"/>
        <v>6.7383010953945083E-2</v>
      </c>
      <c r="G469" s="326">
        <f t="shared" si="220"/>
        <v>1</v>
      </c>
      <c r="H469" s="327">
        <f t="shared" si="221"/>
        <v>0</v>
      </c>
      <c r="I469" s="325">
        <f t="shared" si="222"/>
        <v>71277.823538246535</v>
      </c>
      <c r="J469" s="328">
        <f t="shared" si="223"/>
        <v>1.5707822971858205</v>
      </c>
      <c r="K469" s="336">
        <f t="shared" si="213"/>
        <v>13.510475340513374</v>
      </c>
      <c r="L469" s="337">
        <f t="shared" si="214"/>
        <v>1.4967119359542</v>
      </c>
      <c r="M469" s="325">
        <f t="shared" si="224"/>
        <v>1.0084096038320876</v>
      </c>
      <c r="N469" s="337">
        <f t="shared" si="225"/>
        <v>0.12923690768484067</v>
      </c>
      <c r="O469" s="343">
        <f t="shared" si="226"/>
        <v>1.0475612369665661</v>
      </c>
      <c r="P469" s="691">
        <f t="shared" si="227"/>
        <v>0.30248849259348654</v>
      </c>
      <c r="Q469" s="336">
        <f t="shared" si="242"/>
        <v>6.669937869920493</v>
      </c>
      <c r="R469" s="692">
        <f t="shared" si="228"/>
        <v>0.33312472259000464</v>
      </c>
      <c r="S469" s="329">
        <f t="shared" si="229"/>
        <v>1.0463113635600407</v>
      </c>
      <c r="T469" s="330">
        <f t="shared" si="230"/>
        <v>0.30702022010966962</v>
      </c>
      <c r="U469" s="331">
        <f t="shared" si="231"/>
        <v>-3.1067605588091234</v>
      </c>
      <c r="V469" s="332">
        <f t="shared" si="232"/>
        <v>-115.41461522138728</v>
      </c>
      <c r="W469" s="334">
        <f t="shared" si="233"/>
        <v>64.58538477861272</v>
      </c>
      <c r="Y469" s="307">
        <f t="shared" si="234"/>
        <v>53703</v>
      </c>
      <c r="Z469" s="307">
        <f t="shared" si="235"/>
        <v>2884012209</v>
      </c>
      <c r="AB469" s="333">
        <f t="shared" si="236"/>
        <v>23.188808918604956</v>
      </c>
      <c r="AC469" s="334">
        <f t="shared" si="237"/>
        <v>-11.648648466555018</v>
      </c>
      <c r="AE469" s="333">
        <f t="shared" si="238"/>
        <v>16.528121263110759</v>
      </c>
      <c r="AF469" s="334">
        <f t="shared" si="239"/>
        <v>-102.01064007383394</v>
      </c>
      <c r="AH469">
        <f t="shared" si="240"/>
        <v>0</v>
      </c>
      <c r="AI469">
        <f t="shared" si="215"/>
        <v>0</v>
      </c>
    </row>
    <row r="470" spans="1:35" x14ac:dyDescent="0.2">
      <c r="A470" s="335">
        <v>54015.75</v>
      </c>
      <c r="B470" s="352">
        <f t="shared" si="241"/>
        <v>54.015749999999997</v>
      </c>
      <c r="C470" s="325">
        <f t="shared" si="216"/>
        <v>33.518912119014857</v>
      </c>
      <c r="D470" s="326">
        <f t="shared" si="217"/>
        <v>1.540957995540823</v>
      </c>
      <c r="E470" s="326">
        <f t="shared" si="218"/>
        <v>1.0023010770831793</v>
      </c>
      <c r="F470" s="327">
        <f t="shared" si="219"/>
        <v>6.7774232079594598E-2</v>
      </c>
      <c r="G470" s="326">
        <f t="shared" si="220"/>
        <v>1</v>
      </c>
      <c r="H470" s="327">
        <f t="shared" si="221"/>
        <v>0</v>
      </c>
      <c r="I470" s="325">
        <f t="shared" si="222"/>
        <v>71692.923985283225</v>
      </c>
      <c r="J470" s="328">
        <f t="shared" si="223"/>
        <v>1.5707823784169475</v>
      </c>
      <c r="K470" s="336">
        <f t="shared" si="213"/>
        <v>13.588726445825124</v>
      </c>
      <c r="L470" s="337">
        <f t="shared" si="214"/>
        <v>1.4971393286783636</v>
      </c>
      <c r="M470" s="325">
        <f t="shared" si="224"/>
        <v>1.0085074246574257</v>
      </c>
      <c r="N470" s="337">
        <f t="shared" si="225"/>
        <v>0.12998111965563858</v>
      </c>
      <c r="O470" s="343">
        <f t="shared" si="226"/>
        <v>1.0481040617241724</v>
      </c>
      <c r="P470" s="691">
        <f t="shared" si="227"/>
        <v>0.30414372951758462</v>
      </c>
      <c r="Q470" s="336">
        <f t="shared" si="242"/>
        <v>6.6740514116452143</v>
      </c>
      <c r="R470" s="692">
        <f t="shared" si="228"/>
        <v>0.33492588926341577</v>
      </c>
      <c r="S470" s="329">
        <f t="shared" si="229"/>
        <v>1.0468402736420506</v>
      </c>
      <c r="T470" s="330">
        <f t="shared" si="230"/>
        <v>0.30870592783412826</v>
      </c>
      <c r="U470" s="331">
        <f t="shared" si="231"/>
        <v>-3.1632850516919979</v>
      </c>
      <c r="V470" s="332">
        <f t="shared" si="232"/>
        <v>-115.52525235197946</v>
      </c>
      <c r="W470" s="334">
        <f t="shared" si="233"/>
        <v>64.474747648020539</v>
      </c>
      <c r="Y470" s="307">
        <f t="shared" si="234"/>
        <v>54015.75</v>
      </c>
      <c r="Z470" s="307">
        <f t="shared" si="235"/>
        <v>2917701248.0625</v>
      </c>
      <c r="AB470" s="333">
        <f t="shared" si="236"/>
        <v>23.187691655254742</v>
      </c>
      <c r="AC470" s="334">
        <f t="shared" si="237"/>
        <v>-11.666805526477164</v>
      </c>
      <c r="AE470" s="333">
        <f t="shared" si="238"/>
        <v>16.473569535095475</v>
      </c>
      <c r="AF470" s="334">
        <f t="shared" si="239"/>
        <v>-102.09475898575334</v>
      </c>
      <c r="AH470">
        <f t="shared" si="240"/>
        <v>0</v>
      </c>
      <c r="AI470">
        <f t="shared" si="215"/>
        <v>0</v>
      </c>
    </row>
    <row r="471" spans="1:35" x14ac:dyDescent="0.2">
      <c r="A471" s="335">
        <v>54328.5</v>
      </c>
      <c r="B471" s="352">
        <f t="shared" si="241"/>
        <v>54.328499999999998</v>
      </c>
      <c r="C471" s="325">
        <f t="shared" si="216"/>
        <v>33.712813639300883</v>
      </c>
      <c r="D471" s="326">
        <f t="shared" si="217"/>
        <v>1.5411296632254221</v>
      </c>
      <c r="E471" s="326">
        <f t="shared" si="218"/>
        <v>1.0023277695638817</v>
      </c>
      <c r="F471" s="327">
        <f t="shared" si="219"/>
        <v>6.8165432428294884E-2</v>
      </c>
      <c r="G471" s="326">
        <f t="shared" si="220"/>
        <v>1</v>
      </c>
      <c r="H471" s="327">
        <f t="shared" si="221"/>
        <v>0</v>
      </c>
      <c r="I471" s="325">
        <f t="shared" si="222"/>
        <v>72108.024432320381</v>
      </c>
      <c r="J471" s="328">
        <f t="shared" si="223"/>
        <v>1.5707824587128363</v>
      </c>
      <c r="K471" s="336">
        <f t="shared" ref="K471:K534" si="243">SQRT(1+(A471/Zero2)^2)</f>
        <v>13.666980004891366</v>
      </c>
      <c r="L471" s="337">
        <f t="shared" ref="L471:L534" si="244">ATAN(A471/Zero2)</f>
        <v>1.497561827200675</v>
      </c>
      <c r="M471" s="325">
        <f t="shared" si="224"/>
        <v>1.0086058039375447</v>
      </c>
      <c r="N471" s="337">
        <f t="shared" si="225"/>
        <v>0.13072518685779294</v>
      </c>
      <c r="O471" s="343">
        <f t="shared" si="226"/>
        <v>1.0486497551094964</v>
      </c>
      <c r="P471" s="691">
        <f t="shared" si="227"/>
        <v>0.3057972482730979</v>
      </c>
      <c r="Q471" s="336">
        <f t="shared" si="242"/>
        <v>6.6781862843545117</v>
      </c>
      <c r="R471" s="692">
        <f t="shared" si="228"/>
        <v>0.33672484660875329</v>
      </c>
      <c r="S471" s="329">
        <f t="shared" si="229"/>
        <v>1.0473719864682827</v>
      </c>
      <c r="T471" s="330">
        <f t="shared" si="230"/>
        <v>0.31038997999431389</v>
      </c>
      <c r="U471" s="331">
        <f t="shared" si="231"/>
        <v>-3.2195418622158298</v>
      </c>
      <c r="V471" s="332">
        <f t="shared" si="232"/>
        <v>-115.63592528441553</v>
      </c>
      <c r="W471" s="334">
        <f t="shared" si="233"/>
        <v>64.364074715584465</v>
      </c>
      <c r="Y471" s="307">
        <f t="shared" si="234"/>
        <v>54328.5</v>
      </c>
      <c r="Z471" s="307">
        <f t="shared" si="235"/>
        <v>2951585912.25</v>
      </c>
      <c r="AB471" s="333">
        <f t="shared" si="236"/>
        <v>23.186574378283723</v>
      </c>
      <c r="AC471" s="334">
        <f t="shared" si="237"/>
        <v>-11.685234655292362</v>
      </c>
      <c r="AE471" s="333">
        <f t="shared" si="238"/>
        <v>16.419288516473195</v>
      </c>
      <c r="AF471" s="334">
        <f t="shared" si="239"/>
        <v>-102.17866977198949</v>
      </c>
      <c r="AH471">
        <f t="shared" si="240"/>
        <v>0</v>
      </c>
      <c r="AI471">
        <f t="shared" si="215"/>
        <v>0</v>
      </c>
    </row>
    <row r="472" spans="1:35" x14ac:dyDescent="0.2">
      <c r="A472" s="335">
        <v>54641.25</v>
      </c>
      <c r="B472" s="352">
        <f t="shared" si="241"/>
        <v>54.641249999999999</v>
      </c>
      <c r="C472" s="325">
        <f t="shared" si="216"/>
        <v>33.906716141733448</v>
      </c>
      <c r="D472" s="326">
        <f t="shared" si="217"/>
        <v>1.54129936748133</v>
      </c>
      <c r="E472" s="326">
        <f t="shared" si="218"/>
        <v>1.0023546154303502</v>
      </c>
      <c r="F472" s="327">
        <f t="shared" si="219"/>
        <v>6.8556611881973734E-2</v>
      </c>
      <c r="G472" s="326">
        <f t="shared" si="220"/>
        <v>1</v>
      </c>
      <c r="H472" s="327">
        <f t="shared" si="221"/>
        <v>0</v>
      </c>
      <c r="I472" s="325">
        <f t="shared" si="222"/>
        <v>72523.124879358002</v>
      </c>
      <c r="J472" s="328">
        <f t="shared" si="223"/>
        <v>1.5707825380895466</v>
      </c>
      <c r="K472" s="336">
        <f t="shared" si="243"/>
        <v>13.745235975803393</v>
      </c>
      <c r="L472" s="337">
        <f t="shared" si="244"/>
        <v>1.4979795149617066</v>
      </c>
      <c r="M472" s="325">
        <f t="shared" si="224"/>
        <v>1.0087047415090458</v>
      </c>
      <c r="N472" s="337">
        <f t="shared" si="225"/>
        <v>0.13146910850989807</v>
      </c>
      <c r="O472" s="343">
        <f t="shared" si="226"/>
        <v>1.0491983126465747</v>
      </c>
      <c r="P472" s="691">
        <f t="shared" si="227"/>
        <v>0.30744904250613719</v>
      </c>
      <c r="Q472" s="336">
        <f t="shared" si="242"/>
        <v>6.6823424484586402</v>
      </c>
      <c r="R472" s="692">
        <f t="shared" si="228"/>
        <v>0.33852158733208654</v>
      </c>
      <c r="S472" s="329">
        <f t="shared" si="229"/>
        <v>1.0479064977879722</v>
      </c>
      <c r="T472" s="330">
        <f t="shared" si="230"/>
        <v>0.31207237038039665</v>
      </c>
      <c r="U472" s="331">
        <f t="shared" si="231"/>
        <v>-3.2755343246019892</v>
      </c>
      <c r="V472" s="332">
        <f t="shared" si="232"/>
        <v>-115.74663075425111</v>
      </c>
      <c r="W472" s="334">
        <f t="shared" si="233"/>
        <v>64.253369245748885</v>
      </c>
      <c r="Y472" s="307">
        <f t="shared" si="234"/>
        <v>54641.25</v>
      </c>
      <c r="Z472" s="307">
        <f t="shared" si="235"/>
        <v>2985666201.5625</v>
      </c>
      <c r="AB472" s="333">
        <f t="shared" si="236"/>
        <v>23.185456983351816</v>
      </c>
      <c r="AC472" s="334">
        <f t="shared" si="237"/>
        <v>-11.703931028356857</v>
      </c>
      <c r="AE472" s="333">
        <f t="shared" si="238"/>
        <v>16.365274950182087</v>
      </c>
      <c r="AF472" s="334">
        <f t="shared" si="239"/>
        <v>-102.26237404660196</v>
      </c>
      <c r="AH472">
        <f t="shared" si="240"/>
        <v>0</v>
      </c>
      <c r="AI472">
        <f t="shared" si="215"/>
        <v>0</v>
      </c>
    </row>
    <row r="473" spans="1:35" x14ac:dyDescent="0.2">
      <c r="A473" s="335">
        <v>54954</v>
      </c>
      <c r="B473" s="352">
        <f t="shared" si="241"/>
        <v>54.954000000000001</v>
      </c>
      <c r="C473" s="325">
        <f t="shared" si="216"/>
        <v>34.100619609558535</v>
      </c>
      <c r="D473" s="326">
        <f t="shared" si="217"/>
        <v>1.5414671417921226</v>
      </c>
      <c r="E473" s="326">
        <f t="shared" si="218"/>
        <v>1.0023816146702607</v>
      </c>
      <c r="F473" s="327">
        <f t="shared" si="219"/>
        <v>6.8947770322597232E-2</v>
      </c>
      <c r="G473" s="326">
        <f t="shared" si="220"/>
        <v>1</v>
      </c>
      <c r="H473" s="327">
        <f t="shared" si="221"/>
        <v>0</v>
      </c>
      <c r="I473" s="325">
        <f t="shared" si="222"/>
        <v>72938.225326396074</v>
      </c>
      <c r="J473" s="328">
        <f t="shared" si="223"/>
        <v>1.5707826165627714</v>
      </c>
      <c r="K473" s="336">
        <f t="shared" si="243"/>
        <v>13.823494317600215</v>
      </c>
      <c r="L473" s="337">
        <f t="shared" si="244"/>
        <v>1.4983924735193197</v>
      </c>
      <c r="M473" s="325">
        <f t="shared" si="224"/>
        <v>1.0088042372076669</v>
      </c>
      <c r="N473" s="337">
        <f t="shared" si="225"/>
        <v>0.13221288383149829</v>
      </c>
      <c r="O473" s="343">
        <f t="shared" si="226"/>
        <v>1.0497497298453311</v>
      </c>
      <c r="P473" s="691">
        <f t="shared" si="227"/>
        <v>0.30909910591370121</v>
      </c>
      <c r="Q473" s="336">
        <f t="shared" si="242"/>
        <v>6.6865198642626966</v>
      </c>
      <c r="R473" s="692">
        <f t="shared" si="228"/>
        <v>0.34031610421403524</v>
      </c>
      <c r="S473" s="329">
        <f t="shared" si="229"/>
        <v>1.0484438033366796</v>
      </c>
      <c r="T473" s="330">
        <f t="shared" si="230"/>
        <v>0.31375309283061203</v>
      </c>
      <c r="U473" s="331">
        <f t="shared" si="231"/>
        <v>-3.3312657131462888</v>
      </c>
      <c r="V473" s="332">
        <f t="shared" si="232"/>
        <v>-115.85736556442978</v>
      </c>
      <c r="W473" s="334">
        <f t="shared" si="233"/>
        <v>64.142634435570216</v>
      </c>
      <c r="Y473" s="307">
        <f t="shared" si="234"/>
        <v>54954</v>
      </c>
      <c r="Z473" s="307">
        <f t="shared" si="235"/>
        <v>3019942116</v>
      </c>
      <c r="AB473" s="333">
        <f t="shared" si="236"/>
        <v>23.184339369157211</v>
      </c>
      <c r="AC473" s="334">
        <f t="shared" si="237"/>
        <v>-11.722889928931741</v>
      </c>
      <c r="AE473" s="333">
        <f t="shared" si="238"/>
        <v>16.311525636054423</v>
      </c>
      <c r="AF473" s="334">
        <f t="shared" si="239"/>
        <v>-102.34587338177809</v>
      </c>
      <c r="AH473">
        <f t="shared" si="240"/>
        <v>0</v>
      </c>
      <c r="AI473">
        <f t="shared" si="215"/>
        <v>0</v>
      </c>
    </row>
    <row r="474" spans="1:35" x14ac:dyDescent="0.2">
      <c r="A474" s="335">
        <v>55274</v>
      </c>
      <c r="B474" s="352">
        <f t="shared" si="241"/>
        <v>55.274000000000001</v>
      </c>
      <c r="C474" s="325">
        <f t="shared" si="216"/>
        <v>34.299019024008601</v>
      </c>
      <c r="D474" s="326">
        <f t="shared" si="217"/>
        <v>1.5416368419142361</v>
      </c>
      <c r="E474" s="326">
        <f t="shared" si="218"/>
        <v>1.002409398526686</v>
      </c>
      <c r="F474" s="327">
        <f t="shared" si="219"/>
        <v>6.9347974512500923E-2</v>
      </c>
      <c r="G474" s="326">
        <f t="shared" si="220"/>
        <v>1</v>
      </c>
      <c r="H474" s="327">
        <f t="shared" si="221"/>
        <v>0</v>
      </c>
      <c r="I474" s="325">
        <f t="shared" si="222"/>
        <v>73362.948405700081</v>
      </c>
      <c r="J474" s="328">
        <f t="shared" si="223"/>
        <v>1.5707826959359716</v>
      </c>
      <c r="K474" s="336">
        <f t="shared" si="243"/>
        <v>13.903569213817915</v>
      </c>
      <c r="L474" s="337">
        <f t="shared" si="244"/>
        <v>1.4988101932866917</v>
      </c>
      <c r="M474" s="325">
        <f t="shared" si="224"/>
        <v>1.0089066168734777</v>
      </c>
      <c r="N474" s="337">
        <f t="shared" si="225"/>
        <v>0.13297374867602701</v>
      </c>
      <c r="O474" s="343">
        <f t="shared" si="226"/>
        <v>1.0503168848657334</v>
      </c>
      <c r="P474" s="691">
        <f t="shared" si="227"/>
        <v>0.31078562219564104</v>
      </c>
      <c r="Q474" s="336">
        <f t="shared" si="242"/>
        <v>6.6908160735085884</v>
      </c>
      <c r="R474" s="692">
        <f t="shared" si="228"/>
        <v>0.34214991138935963</v>
      </c>
      <c r="S474" s="329">
        <f t="shared" si="229"/>
        <v>1.0489964520887747</v>
      </c>
      <c r="T474" s="330">
        <f t="shared" si="230"/>
        <v>0.31547104411408972</v>
      </c>
      <c r="U474" s="331">
        <f t="shared" si="231"/>
        <v>-3.3880221680744151</v>
      </c>
      <c r="V474" s="332">
        <f t="shared" si="232"/>
        <v>-115.97069447124949</v>
      </c>
      <c r="W474" s="334">
        <f t="shared" si="233"/>
        <v>64.029305528750513</v>
      </c>
      <c r="Y474" s="307">
        <f t="shared" si="234"/>
        <v>55274</v>
      </c>
      <c r="Z474" s="307">
        <f t="shared" si="235"/>
        <v>3055215076</v>
      </c>
      <c r="AB474" s="333">
        <f t="shared" si="236"/>
        <v>23.183195517512214</v>
      </c>
      <c r="AC474" s="334">
        <f t="shared" si="237"/>
        <v>-11.742555241385363</v>
      </c>
      <c r="AE474" s="333">
        <f t="shared" si="238"/>
        <v>16.256800566851592</v>
      </c>
      <c r="AF474" s="334">
        <f t="shared" si="239"/>
        <v>-102.43109782958285</v>
      </c>
      <c r="AH474">
        <f t="shared" si="240"/>
        <v>0</v>
      </c>
      <c r="AI474">
        <f t="shared" ref="AI474:AI537" si="245">IF(AH474&gt;0,W474,0)</f>
        <v>0</v>
      </c>
    </row>
    <row r="475" spans="1:35" x14ac:dyDescent="0.2">
      <c r="A475" s="335">
        <v>55594</v>
      </c>
      <c r="B475" s="352">
        <f t="shared" si="241"/>
        <v>55.594000000000001</v>
      </c>
      <c r="C475" s="325">
        <f t="shared" si="216"/>
        <v>34.497419414844963</v>
      </c>
      <c r="D475" s="326">
        <f t="shared" si="217"/>
        <v>1.5418045900939379</v>
      </c>
      <c r="E475" s="326">
        <f t="shared" si="218"/>
        <v>1.0024373429234879</v>
      </c>
      <c r="F475" s="327">
        <f t="shared" si="219"/>
        <v>6.9748156453950133E-2</v>
      </c>
      <c r="G475" s="326">
        <f t="shared" si="220"/>
        <v>1</v>
      </c>
      <c r="H475" s="327">
        <f t="shared" si="221"/>
        <v>0</v>
      </c>
      <c r="I475" s="325">
        <f t="shared" si="222"/>
        <v>73787.671485004539</v>
      </c>
      <c r="J475" s="328">
        <f t="shared" si="223"/>
        <v>1.5707827743954252</v>
      </c>
      <c r="K475" s="336">
        <f t="shared" si="243"/>
        <v>13.983646508281959</v>
      </c>
      <c r="L475" s="337">
        <f t="shared" si="244"/>
        <v>1.4992231289843565</v>
      </c>
      <c r="M475" s="325">
        <f t="shared" si="224"/>
        <v>1.0090095804920538</v>
      </c>
      <c r="N475" s="337">
        <f t="shared" si="225"/>
        <v>0.13373445867711384</v>
      </c>
      <c r="O475" s="343">
        <f t="shared" si="226"/>
        <v>1.0508870241119272</v>
      </c>
      <c r="P475" s="691">
        <f t="shared" si="227"/>
        <v>0.3124703132888883</v>
      </c>
      <c r="Q475" s="336">
        <f t="shared" si="242"/>
        <v>6.6951344467584208</v>
      </c>
      <c r="R475" s="692">
        <f t="shared" si="228"/>
        <v>0.34398137537206491</v>
      </c>
      <c r="S475" s="329">
        <f t="shared" si="229"/>
        <v>1.0495520170444672</v>
      </c>
      <c r="T475" s="330">
        <f t="shared" si="230"/>
        <v>0.31718723633814744</v>
      </c>
      <c r="U475" s="331">
        <f t="shared" si="231"/>
        <v>-3.4445120537373946</v>
      </c>
      <c r="V475" s="332">
        <f t="shared" si="232"/>
        <v>-116.08404753140381</v>
      </c>
      <c r="W475" s="334">
        <f t="shared" si="233"/>
        <v>63.915952468596188</v>
      </c>
      <c r="Y475" s="307">
        <f t="shared" si="234"/>
        <v>55594</v>
      </c>
      <c r="Z475" s="307">
        <f t="shared" si="235"/>
        <v>3090692836</v>
      </c>
      <c r="AB475" s="333">
        <f t="shared" si="236"/>
        <v>23.18205123106285</v>
      </c>
      <c r="AC475" s="334">
        <f t="shared" si="237"/>
        <v>-11.762485736612881</v>
      </c>
      <c r="AE475" s="333">
        <f t="shared" si="238"/>
        <v>16.20234554203147</v>
      </c>
      <c r="AF475" s="334">
        <f t="shared" si="239"/>
        <v>-102.51611092738719</v>
      </c>
      <c r="AH475">
        <f t="shared" si="240"/>
        <v>0</v>
      </c>
      <c r="AI475">
        <f t="shared" si="245"/>
        <v>0</v>
      </c>
    </row>
    <row r="476" spans="1:35" x14ac:dyDescent="0.2">
      <c r="A476" s="335">
        <v>55914</v>
      </c>
      <c r="B476" s="352">
        <f t="shared" si="241"/>
        <v>55.914000000000001</v>
      </c>
      <c r="C476" s="325">
        <f t="shared" si="216"/>
        <v>34.695820765317869</v>
      </c>
      <c r="D476" s="326">
        <f t="shared" si="217"/>
        <v>1.5419704198071227</v>
      </c>
      <c r="E476" s="326">
        <f t="shared" si="218"/>
        <v>1.0024654478472406</v>
      </c>
      <c r="F476" s="327">
        <f t="shared" si="219"/>
        <v>7.0148316020636009E-2</v>
      </c>
      <c r="G476" s="326">
        <f t="shared" si="220"/>
        <v>1</v>
      </c>
      <c r="H476" s="327">
        <f t="shared" si="221"/>
        <v>0</v>
      </c>
      <c r="I476" s="325">
        <f t="shared" si="222"/>
        <v>74212.394564309448</v>
      </c>
      <c r="J476" s="328">
        <f t="shared" si="223"/>
        <v>1.5707828519568201</v>
      </c>
      <c r="K476" s="336">
        <f t="shared" si="243"/>
        <v>14.063726160026295</v>
      </c>
      <c r="L476" s="337">
        <f t="shared" si="244"/>
        <v>1.4996313621925625</v>
      </c>
      <c r="M476" s="325">
        <f t="shared" si="224"/>
        <v>1.0091131278846461</v>
      </c>
      <c r="N476" s="337">
        <f t="shared" si="225"/>
        <v>0.13449501300187713</v>
      </c>
      <c r="O476" s="343">
        <f t="shared" si="226"/>
        <v>1.051460142729451</v>
      </c>
      <c r="P476" s="691">
        <f t="shared" si="227"/>
        <v>0.31415317260736719</v>
      </c>
      <c r="Q476" s="336">
        <f t="shared" si="242"/>
        <v>6.6994749411607817</v>
      </c>
      <c r="R476" s="692">
        <f t="shared" si="228"/>
        <v>0.34581048867089254</v>
      </c>
      <c r="S476" s="329">
        <f t="shared" si="229"/>
        <v>1.0501104935923486</v>
      </c>
      <c r="T476" s="330">
        <f t="shared" si="230"/>
        <v>0.31890166305886053</v>
      </c>
      <c r="U476" s="331">
        <f t="shared" si="231"/>
        <v>-3.5007386915963479</v>
      </c>
      <c r="V476" s="332">
        <f t="shared" si="232"/>
        <v>-116.19742152805877</v>
      </c>
      <c r="W476" s="334">
        <f t="shared" si="233"/>
        <v>63.802578471941231</v>
      </c>
      <c r="Y476" s="307">
        <f t="shared" si="234"/>
        <v>55914</v>
      </c>
      <c r="Z476" s="307">
        <f t="shared" si="235"/>
        <v>3126375396</v>
      </c>
      <c r="AB476" s="333">
        <f t="shared" si="236"/>
        <v>23.180906410523821</v>
      </c>
      <c r="AC476" s="334">
        <f t="shared" si="237"/>
        <v>-11.782676693588598</v>
      </c>
      <c r="AE476" s="333">
        <f t="shared" si="238"/>
        <v>16.148157310344221</v>
      </c>
      <c r="AF476" s="334">
        <f t="shared" si="239"/>
        <v>-102.60091423124588</v>
      </c>
      <c r="AH476">
        <f t="shared" si="240"/>
        <v>0</v>
      </c>
      <c r="AI476">
        <f t="shared" si="245"/>
        <v>0</v>
      </c>
    </row>
    <row r="477" spans="1:35" x14ac:dyDescent="0.2">
      <c r="A477" s="335">
        <v>56234</v>
      </c>
      <c r="B477" s="352">
        <f t="shared" si="241"/>
        <v>56.234000000000002</v>
      </c>
      <c r="C477" s="325">
        <f t="shared" si="216"/>
        <v>34.89422305905844</v>
      </c>
      <c r="D477" s="326">
        <f t="shared" si="217"/>
        <v>1.5421343637687608</v>
      </c>
      <c r="E477" s="326">
        <f t="shared" si="218"/>
        <v>1.0024937132844429</v>
      </c>
      <c r="F477" s="327">
        <f t="shared" si="219"/>
        <v>7.0548453086292609E-2</v>
      </c>
      <c r="G477" s="326">
        <f t="shared" si="220"/>
        <v>1</v>
      </c>
      <c r="H477" s="327">
        <f t="shared" si="221"/>
        <v>0</v>
      </c>
      <c r="I477" s="325">
        <f t="shared" si="222"/>
        <v>74637.117643614794</v>
      </c>
      <c r="J477" s="328">
        <f t="shared" si="223"/>
        <v>1.5707829286354875</v>
      </c>
      <c r="K477" s="336">
        <f t="shared" si="243"/>
        <v>14.143808129011463</v>
      </c>
      <c r="L477" s="337">
        <f t="shared" si="244"/>
        <v>1.5000349726502877</v>
      </c>
      <c r="M477" s="325">
        <f t="shared" si="224"/>
        <v>1.0092172588715664</v>
      </c>
      <c r="N477" s="337">
        <f t="shared" si="225"/>
        <v>0.13525541081849637</v>
      </c>
      <c r="O477" s="343">
        <f t="shared" si="226"/>
        <v>1.0520362358490818</v>
      </c>
      <c r="P477" s="691">
        <f t="shared" si="227"/>
        <v>0.31583419362081661</v>
      </c>
      <c r="Q477" s="336">
        <f t="shared" si="242"/>
        <v>6.7038375137560182</v>
      </c>
      <c r="R477" s="692">
        <f t="shared" si="228"/>
        <v>0.34763724387598521</v>
      </c>
      <c r="S477" s="329">
        <f t="shared" si="229"/>
        <v>1.0506718771066821</v>
      </c>
      <c r="T477" s="330">
        <f t="shared" si="230"/>
        <v>0.32061431788505396</v>
      </c>
      <c r="U477" s="331">
        <f t="shared" si="231"/>
        <v>-3.5567053433294609</v>
      </c>
      <c r="V477" s="332">
        <f t="shared" si="232"/>
        <v>-116.3108133108058</v>
      </c>
      <c r="W477" s="334">
        <f t="shared" si="233"/>
        <v>63.689186689194202</v>
      </c>
      <c r="Y477" s="307">
        <f t="shared" si="234"/>
        <v>56234</v>
      </c>
      <c r="Z477" s="307">
        <f t="shared" si="235"/>
        <v>3162262756</v>
      </c>
      <c r="AB477" s="333">
        <f t="shared" si="236"/>
        <v>23.179760959514411</v>
      </c>
      <c r="AC477" s="334">
        <f t="shared" si="237"/>
        <v>-11.803123496824236</v>
      </c>
      <c r="AE477" s="333">
        <f t="shared" si="238"/>
        <v>16.094232677433457</v>
      </c>
      <c r="AF477" s="334">
        <f t="shared" si="239"/>
        <v>-102.6855092566358</v>
      </c>
      <c r="AH477">
        <f t="shared" si="240"/>
        <v>0</v>
      </c>
      <c r="AI477">
        <f t="shared" si="245"/>
        <v>0</v>
      </c>
    </row>
    <row r="478" spans="1:35" x14ac:dyDescent="0.2">
      <c r="A478" s="335">
        <v>56561.5</v>
      </c>
      <c r="B478" s="352">
        <f t="shared" si="241"/>
        <v>56.561500000000002</v>
      </c>
      <c r="C478" s="325">
        <f t="shared" si="216"/>
        <v>35.097276366554198</v>
      </c>
      <c r="D478" s="326">
        <f t="shared" si="217"/>
        <v>1.5423002309642655</v>
      </c>
      <c r="E478" s="326">
        <f t="shared" si="218"/>
        <v>1.0025228073792487</v>
      </c>
      <c r="F478" s="327">
        <f t="shared" si="219"/>
        <v>7.0957944934448347E-2</v>
      </c>
      <c r="G478" s="326">
        <f t="shared" si="220"/>
        <v>1</v>
      </c>
      <c r="H478" s="327">
        <f t="shared" si="221"/>
        <v>0</v>
      </c>
      <c r="I478" s="325">
        <f t="shared" si="222"/>
        <v>75071.79517009182</v>
      </c>
      <c r="J478" s="328">
        <f t="shared" si="223"/>
        <v>1.5707830062129422</v>
      </c>
      <c r="K478" s="336">
        <f t="shared" si="243"/>
        <v>14.225769377650632</v>
      </c>
      <c r="L478" s="337">
        <f t="shared" si="244"/>
        <v>1.5004433375203339</v>
      </c>
      <c r="M478" s="325">
        <f t="shared" si="224"/>
        <v>1.0093244345116039</v>
      </c>
      <c r="N478" s="337">
        <f t="shared" si="225"/>
        <v>0.13603346753867054</v>
      </c>
      <c r="O478" s="343">
        <f t="shared" si="226"/>
        <v>1.0526289059461813</v>
      </c>
      <c r="P478" s="691">
        <f t="shared" si="227"/>
        <v>0.31755270337055047</v>
      </c>
      <c r="Q478" s="336">
        <f t="shared" si="242"/>
        <v>6.7083251496487399</v>
      </c>
      <c r="R478" s="692">
        <f t="shared" si="228"/>
        <v>0.3495043643660688</v>
      </c>
      <c r="S478" s="329">
        <f t="shared" si="229"/>
        <v>1.0512494231681326</v>
      </c>
      <c r="T478" s="330">
        <f t="shared" si="230"/>
        <v>0.32236527177044144</v>
      </c>
      <c r="U478" s="331">
        <f t="shared" si="231"/>
        <v>-3.6137178581294096</v>
      </c>
      <c r="V478" s="332">
        <f t="shared" si="232"/>
        <v>-116.4268779101167</v>
      </c>
      <c r="W478" s="334">
        <f t="shared" si="233"/>
        <v>63.573122089883299</v>
      </c>
      <c r="Y478" s="307">
        <f t="shared" si="234"/>
        <v>56561.5</v>
      </c>
      <c r="Z478" s="307">
        <f t="shared" si="235"/>
        <v>3199203282.25</v>
      </c>
      <c r="AB478" s="333">
        <f t="shared" si="236"/>
        <v>23.178587911559426</v>
      </c>
      <c r="AC478" s="334">
        <f t="shared" si="237"/>
        <v>-11.824309724441896</v>
      </c>
      <c r="AE478" s="333">
        <f t="shared" si="238"/>
        <v>16.039313849245531</v>
      </c>
      <c r="AF478" s="334">
        <f t="shared" si="239"/>
        <v>-102.77187286010697</v>
      </c>
      <c r="AH478">
        <f t="shared" si="240"/>
        <v>0</v>
      </c>
      <c r="AI478">
        <f t="shared" si="245"/>
        <v>0</v>
      </c>
    </row>
    <row r="479" spans="1:35" x14ac:dyDescent="0.2">
      <c r="A479" s="335">
        <v>56889</v>
      </c>
      <c r="B479" s="352">
        <f t="shared" si="241"/>
        <v>56.889000000000003</v>
      </c>
      <c r="C479" s="325">
        <f t="shared" si="216"/>
        <v>35.300330628535129</v>
      </c>
      <c r="D479" s="326">
        <f t="shared" si="217"/>
        <v>1.5424641899644917</v>
      </c>
      <c r="E479" s="326">
        <f t="shared" si="218"/>
        <v>1.0025520695708885</v>
      </c>
      <c r="F479" s="327">
        <f t="shared" si="219"/>
        <v>7.1367412947009254E-2</v>
      </c>
      <c r="G479" s="326">
        <f t="shared" si="220"/>
        <v>1</v>
      </c>
      <c r="H479" s="327">
        <f t="shared" si="221"/>
        <v>0</v>
      </c>
      <c r="I479" s="325">
        <f t="shared" si="222"/>
        <v>75506.472696569283</v>
      </c>
      <c r="J479" s="328">
        <f t="shared" si="223"/>
        <v>1.5707830828971974</v>
      </c>
      <c r="K479" s="336">
        <f t="shared" si="243"/>
        <v>14.307732971426013</v>
      </c>
      <c r="L479" s="337">
        <f t="shared" si="244"/>
        <v>1.5008470237211067</v>
      </c>
      <c r="M479" s="325">
        <f t="shared" si="224"/>
        <v>1.0094322210386908</v>
      </c>
      <c r="N479" s="337">
        <f t="shared" si="225"/>
        <v>0.13681135856887672</v>
      </c>
      <c r="O479" s="343">
        <f t="shared" si="226"/>
        <v>1.0532246812427046</v>
      </c>
      <c r="P479" s="691">
        <f t="shared" si="227"/>
        <v>0.31926927397373805</v>
      </c>
      <c r="Q479" s="336">
        <f t="shared" si="242"/>
        <v>6.7128358193893156</v>
      </c>
      <c r="R479" s="692">
        <f t="shared" si="228"/>
        <v>0.35136899948774136</v>
      </c>
      <c r="S479" s="329">
        <f t="shared" si="229"/>
        <v>1.0518300042079072</v>
      </c>
      <c r="T479" s="330">
        <f t="shared" si="230"/>
        <v>0.32411435635424257</v>
      </c>
      <c r="U479" s="331">
        <f t="shared" si="231"/>
        <v>-3.6704647840684439</v>
      </c>
      <c r="V479" s="332">
        <f t="shared" si="232"/>
        <v>-116.5429546677623</v>
      </c>
      <c r="W479" s="334">
        <f t="shared" si="233"/>
        <v>63.457045332237698</v>
      </c>
      <c r="Y479" s="307">
        <f t="shared" si="234"/>
        <v>56889</v>
      </c>
      <c r="Z479" s="307">
        <f t="shared" si="235"/>
        <v>3236358321</v>
      </c>
      <c r="AB479" s="333">
        <f t="shared" si="236"/>
        <v>23.177414007868535</v>
      </c>
      <c r="AC479" s="334">
        <f t="shared" si="237"/>
        <v>-11.84575447555053</v>
      </c>
      <c r="AE479" s="333">
        <f t="shared" si="238"/>
        <v>15.984664527731896</v>
      </c>
      <c r="AF479" s="334">
        <f t="shared" si="239"/>
        <v>-102.8580213946294</v>
      </c>
      <c r="AH479">
        <f t="shared" si="240"/>
        <v>0</v>
      </c>
      <c r="AI479">
        <f t="shared" si="245"/>
        <v>0</v>
      </c>
    </row>
    <row r="480" spans="1:35" x14ac:dyDescent="0.2">
      <c r="A480" s="335">
        <v>57216.5</v>
      </c>
      <c r="B480" s="352">
        <f t="shared" si="241"/>
        <v>57.216500000000003</v>
      </c>
      <c r="C480" s="325">
        <f t="shared" si="216"/>
        <v>35.503385828624275</v>
      </c>
      <c r="D480" s="326">
        <f t="shared" si="217"/>
        <v>1.5426262735012823</v>
      </c>
      <c r="E480" s="326">
        <f t="shared" si="218"/>
        <v>1.002581499844643</v>
      </c>
      <c r="F480" s="327">
        <f t="shared" si="219"/>
        <v>7.1776856988762308E-2</v>
      </c>
      <c r="G480" s="326">
        <f t="shared" si="220"/>
        <v>1</v>
      </c>
      <c r="H480" s="327">
        <f t="shared" si="221"/>
        <v>0</v>
      </c>
      <c r="I480" s="325">
        <f t="shared" si="222"/>
        <v>75941.150223047181</v>
      </c>
      <c r="J480" s="328">
        <f t="shared" si="223"/>
        <v>1.5707831587035905</v>
      </c>
      <c r="K480" s="336">
        <f t="shared" si="243"/>
        <v>14.389698870263977</v>
      </c>
      <c r="L480" s="337">
        <f t="shared" si="244"/>
        <v>1.5012461110711184</v>
      </c>
      <c r="M480" s="325">
        <f t="shared" si="224"/>
        <v>1.009540618257158</v>
      </c>
      <c r="N480" s="337">
        <f t="shared" si="225"/>
        <v>0.13758908302091116</v>
      </c>
      <c r="O480" s="343">
        <f t="shared" si="226"/>
        <v>1.0538235564721126</v>
      </c>
      <c r="P480" s="691">
        <f t="shared" si="227"/>
        <v>0.32098389861170962</v>
      </c>
      <c r="Q480" s="336">
        <f t="shared" si="242"/>
        <v>6.7173694765855503</v>
      </c>
      <c r="R480" s="692">
        <f t="shared" si="228"/>
        <v>0.35323114156205754</v>
      </c>
      <c r="S480" s="329">
        <f t="shared" si="229"/>
        <v>1.052413615221812</v>
      </c>
      <c r="T480" s="330">
        <f t="shared" si="230"/>
        <v>0.32586156495696211</v>
      </c>
      <c r="U480" s="331">
        <f t="shared" si="231"/>
        <v>-3.7269494319921597</v>
      </c>
      <c r="V480" s="332">
        <f t="shared" si="232"/>
        <v>-116.65904041161365</v>
      </c>
      <c r="W480" s="334">
        <f t="shared" si="233"/>
        <v>63.340959588386355</v>
      </c>
      <c r="Y480" s="307">
        <f t="shared" si="234"/>
        <v>57216.5</v>
      </c>
      <c r="Z480" s="307">
        <f t="shared" si="235"/>
        <v>3273727872.25</v>
      </c>
      <c r="AB480" s="333">
        <f t="shared" si="236"/>
        <v>23.176239153952185</v>
      </c>
      <c r="AC480" s="334">
        <f t="shared" si="237"/>
        <v>-11.867453126874677</v>
      </c>
      <c r="AE480" s="333">
        <f t="shared" si="238"/>
        <v>15.930281465447777</v>
      </c>
      <c r="AF480" s="334">
        <f t="shared" si="239"/>
        <v>-102.9439563606398</v>
      </c>
      <c r="AH480">
        <f t="shared" si="240"/>
        <v>0</v>
      </c>
      <c r="AI480">
        <f t="shared" si="245"/>
        <v>0</v>
      </c>
    </row>
    <row r="481" spans="1:35" x14ac:dyDescent="0.2">
      <c r="A481" s="335">
        <v>57544</v>
      </c>
      <c r="B481" s="352">
        <f t="shared" si="241"/>
        <v>57.543999999999997</v>
      </c>
      <c r="C481" s="325">
        <f t="shared" si="216"/>
        <v>35.706441950817172</v>
      </c>
      <c r="D481" s="326">
        <f t="shared" si="217"/>
        <v>1.5427865135623184</v>
      </c>
      <c r="E481" s="326">
        <f t="shared" si="218"/>
        <v>1.0026110981857113</v>
      </c>
      <c r="F481" s="327">
        <f t="shared" si="219"/>
        <v>7.2186276924542436E-2</v>
      </c>
      <c r="G481" s="326">
        <f t="shared" si="220"/>
        <v>1</v>
      </c>
      <c r="H481" s="327">
        <f t="shared" si="221"/>
        <v>0</v>
      </c>
      <c r="I481" s="325">
        <f t="shared" si="222"/>
        <v>76375.827749525517</v>
      </c>
      <c r="J481" s="328">
        <f t="shared" si="223"/>
        <v>1.5707832336471104</v>
      </c>
      <c r="K481" s="336">
        <f t="shared" si="243"/>
        <v>14.471667034997681</v>
      </c>
      <c r="L481" s="337">
        <f t="shared" si="244"/>
        <v>1.5016406775864353</v>
      </c>
      <c r="M481" s="325">
        <f t="shared" si="224"/>
        <v>1.0096496259703118</v>
      </c>
      <c r="N481" s="337">
        <f t="shared" si="225"/>
        <v>0.13836664000775664</v>
      </c>
      <c r="O481" s="343">
        <f t="shared" si="226"/>
        <v>1.0544255263524585</v>
      </c>
      <c r="P481" s="691">
        <f t="shared" si="227"/>
        <v>0.32269657052701428</v>
      </c>
      <c r="Q481" s="336">
        <f t="shared" si="242"/>
        <v>6.7219260747343075</v>
      </c>
      <c r="R481" s="692">
        <f t="shared" si="228"/>
        <v>0.35509078299893598</v>
      </c>
      <c r="S481" s="329">
        <f t="shared" si="229"/>
        <v>1.0530002511906711</v>
      </c>
      <c r="T481" s="330">
        <f t="shared" si="230"/>
        <v>0.32760689095699697</v>
      </c>
      <c r="U481" s="331">
        <f t="shared" si="231"/>
        <v>-3.7831750530439994</v>
      </c>
      <c r="V481" s="332">
        <f t="shared" si="232"/>
        <v>-116.77513203512322</v>
      </c>
      <c r="W481" s="334">
        <f t="shared" si="233"/>
        <v>63.224867964876779</v>
      </c>
      <c r="Y481" s="307">
        <f t="shared" si="234"/>
        <v>57544</v>
      </c>
      <c r="Z481" s="307">
        <f t="shared" si="235"/>
        <v>3311311936</v>
      </c>
      <c r="AB481" s="333">
        <f t="shared" si="236"/>
        <v>23.175063258100522</v>
      </c>
      <c r="AC481" s="334">
        <f t="shared" si="237"/>
        <v>-11.889401158459449</v>
      </c>
      <c r="AE481" s="333">
        <f t="shared" si="238"/>
        <v>15.87616147189576</v>
      </c>
      <c r="AF481" s="334">
        <f t="shared" si="239"/>
        <v>-103.02967921925176</v>
      </c>
      <c r="AH481">
        <f t="shared" si="240"/>
        <v>0</v>
      </c>
      <c r="AI481">
        <f t="shared" si="245"/>
        <v>0</v>
      </c>
    </row>
    <row r="482" spans="1:35" x14ac:dyDescent="0.2">
      <c r="A482" s="335">
        <v>57879</v>
      </c>
      <c r="B482" s="352">
        <f t="shared" si="241"/>
        <v>57.878999999999998</v>
      </c>
      <c r="C482" s="325">
        <f t="shared" si="216"/>
        <v>35.914149150928381</v>
      </c>
      <c r="D482" s="326">
        <f t="shared" si="217"/>
        <v>1.5429485485478327</v>
      </c>
      <c r="E482" s="326">
        <f t="shared" si="218"/>
        <v>1.002641548220556</v>
      </c>
      <c r="F482" s="327">
        <f t="shared" si="219"/>
        <v>7.2605047808163903E-2</v>
      </c>
      <c r="G482" s="326">
        <f t="shared" si="220"/>
        <v>1</v>
      </c>
      <c r="H482" s="327">
        <f t="shared" si="221"/>
        <v>0</v>
      </c>
      <c r="I482" s="325">
        <f t="shared" si="222"/>
        <v>76820.459723175547</v>
      </c>
      <c r="J482" s="328">
        <f t="shared" si="223"/>
        <v>1.5707833094294235</v>
      </c>
      <c r="K482" s="336">
        <f t="shared" si="243"/>
        <v>14.555514637692955</v>
      </c>
      <c r="L482" s="337">
        <f t="shared" si="244"/>
        <v>1.5020396821561304</v>
      </c>
      <c r="M482" s="325">
        <f t="shared" si="224"/>
        <v>1.0097617614631444</v>
      </c>
      <c r="N482" s="337">
        <f t="shared" si="225"/>
        <v>0.1391618294579571</v>
      </c>
      <c r="O482" s="343">
        <f t="shared" si="226"/>
        <v>1.0550444780473791</v>
      </c>
      <c r="P482" s="691">
        <f t="shared" si="227"/>
        <v>0.32444643664304218</v>
      </c>
      <c r="Q482" s="336">
        <f t="shared" si="242"/>
        <v>6.7266107088808402</v>
      </c>
      <c r="R482" s="692">
        <f t="shared" si="228"/>
        <v>0.35699041663166597</v>
      </c>
      <c r="S482" s="329">
        <f t="shared" si="229"/>
        <v>1.0536034459818013</v>
      </c>
      <c r="T482" s="330">
        <f t="shared" si="230"/>
        <v>0.32939023164643816</v>
      </c>
      <c r="U482" s="331">
        <f t="shared" si="231"/>
        <v>-3.8404236192873786</v>
      </c>
      <c r="V482" s="332">
        <f t="shared" si="232"/>
        <v>-116.89388515696854</v>
      </c>
      <c r="W482" s="334">
        <f t="shared" si="233"/>
        <v>63.106114843031463</v>
      </c>
      <c r="Y482" s="307">
        <f t="shared" si="234"/>
        <v>57879</v>
      </c>
      <c r="Z482" s="307">
        <f t="shared" si="235"/>
        <v>3349978641</v>
      </c>
      <c r="AB482" s="333">
        <f t="shared" si="236"/>
        <v>23.173859262543893</v>
      </c>
      <c r="AC482" s="334">
        <f t="shared" si="237"/>
        <v>-11.912105222051951</v>
      </c>
      <c r="AE482" s="333">
        <f t="shared" si="238"/>
        <v>15.821070995827949</v>
      </c>
      <c r="AF482" s="334">
        <f t="shared" si="239"/>
        <v>-103.1171472308796</v>
      </c>
      <c r="AH482">
        <f t="shared" si="240"/>
        <v>0</v>
      </c>
      <c r="AI482">
        <f t="shared" si="245"/>
        <v>0</v>
      </c>
    </row>
    <row r="483" spans="1:35" x14ac:dyDescent="0.2">
      <c r="A483" s="335">
        <v>58214</v>
      </c>
      <c r="B483" s="352">
        <f t="shared" si="241"/>
        <v>58.213999999999999</v>
      </c>
      <c r="C483" s="325">
        <f t="shared" si="216"/>
        <v>36.121857283133515</v>
      </c>
      <c r="D483" s="326">
        <f t="shared" si="217"/>
        <v>1.5431087200683153</v>
      </c>
      <c r="E483" s="326">
        <f t="shared" si="218"/>
        <v>1.0026721740770017</v>
      </c>
      <c r="F483" s="327">
        <f t="shared" si="219"/>
        <v>7.3023793183142463E-2</v>
      </c>
      <c r="G483" s="326">
        <f t="shared" si="220"/>
        <v>1</v>
      </c>
      <c r="H483" s="327">
        <f t="shared" si="221"/>
        <v>0</v>
      </c>
      <c r="I483" s="325">
        <f t="shared" si="222"/>
        <v>77265.091696826014</v>
      </c>
      <c r="J483" s="328">
        <f t="shared" si="223"/>
        <v>1.5707833843395385</v>
      </c>
      <c r="K483" s="336">
        <f t="shared" si="243"/>
        <v>14.63936453114864</v>
      </c>
      <c r="L483" s="337">
        <f t="shared" si="244"/>
        <v>1.5024341160307904</v>
      </c>
      <c r="M483" s="325">
        <f t="shared" si="224"/>
        <v>1.0098745353128251</v>
      </c>
      <c r="N483" s="337">
        <f t="shared" si="225"/>
        <v>0.13995684181133233</v>
      </c>
      <c r="O483" s="343">
        <f t="shared" si="226"/>
        <v>1.0556666565276136</v>
      </c>
      <c r="P483" s="691">
        <f t="shared" si="227"/>
        <v>0.32619424546774767</v>
      </c>
      <c r="Q483" s="336">
        <f t="shared" si="242"/>
        <v>6.7313192479657022</v>
      </c>
      <c r="R483" s="692">
        <f t="shared" si="228"/>
        <v>0.35888741800132667</v>
      </c>
      <c r="S483" s="329">
        <f t="shared" si="229"/>
        <v>1.0542097951910123</v>
      </c>
      <c r="T483" s="330">
        <f t="shared" si="230"/>
        <v>0.33117158868983904</v>
      </c>
      <c r="U483" s="331">
        <f t="shared" si="231"/>
        <v>-3.8974078550696016</v>
      </c>
      <c r="V483" s="332">
        <f t="shared" si="232"/>
        <v>-117.0126380583303</v>
      </c>
      <c r="W483" s="334">
        <f t="shared" si="233"/>
        <v>62.987361941669704</v>
      </c>
      <c r="Y483" s="307">
        <f t="shared" si="234"/>
        <v>58214</v>
      </c>
      <c r="Z483" s="307">
        <f t="shared" si="235"/>
        <v>3388869796</v>
      </c>
      <c r="AB483" s="333">
        <f t="shared" si="236"/>
        <v>23.17265399117646</v>
      </c>
      <c r="AC483" s="334">
        <f t="shared" si="237"/>
        <v>-11.935060970305774</v>
      </c>
      <c r="AE483" s="333">
        <f t="shared" si="238"/>
        <v>15.766249199269957</v>
      </c>
      <c r="AF483" s="334">
        <f t="shared" si="239"/>
        <v>-103.20439628081702</v>
      </c>
      <c r="AH483">
        <f t="shared" si="240"/>
        <v>0</v>
      </c>
      <c r="AI483">
        <f t="shared" si="245"/>
        <v>0</v>
      </c>
    </row>
    <row r="484" spans="1:35" x14ac:dyDescent="0.2">
      <c r="A484" s="335">
        <v>58549</v>
      </c>
      <c r="B484" s="352">
        <f t="shared" si="241"/>
        <v>58.548999999999999</v>
      </c>
      <c r="C484" s="325">
        <f t="shared" si="216"/>
        <v>36.329566331445314</v>
      </c>
      <c r="D484" s="326">
        <f t="shared" si="217"/>
        <v>1.5432670600777529</v>
      </c>
      <c r="E484" s="326">
        <f t="shared" si="218"/>
        <v>1.0027029757389383</v>
      </c>
      <c r="F484" s="327">
        <f t="shared" si="219"/>
        <v>7.3442512904970142E-2</v>
      </c>
      <c r="G484" s="326">
        <f t="shared" si="220"/>
        <v>1</v>
      </c>
      <c r="H484" s="327">
        <f t="shared" si="221"/>
        <v>0</v>
      </c>
      <c r="I484" s="325">
        <f t="shared" si="222"/>
        <v>77709.723670476917</v>
      </c>
      <c r="J484" s="328">
        <f t="shared" si="223"/>
        <v>1.5707834583924265</v>
      </c>
      <c r="K484" s="336">
        <f t="shared" si="243"/>
        <v>14.723216676226551</v>
      </c>
      <c r="L484" s="337">
        <f t="shared" si="244"/>
        <v>1.5028240571801397</v>
      </c>
      <c r="M484" s="325">
        <f t="shared" si="224"/>
        <v>1.0099879473055193</v>
      </c>
      <c r="N484" s="337">
        <f t="shared" si="225"/>
        <v>0.14075167612240794</v>
      </c>
      <c r="O484" s="343">
        <f t="shared" si="226"/>
        <v>1.0562920560912266</v>
      </c>
      <c r="P484" s="691">
        <f t="shared" si="227"/>
        <v>0.32793998996742252</v>
      </c>
      <c r="Q484" s="336">
        <f t="shared" si="242"/>
        <v>6.7360516418696976</v>
      </c>
      <c r="R484" s="692">
        <f t="shared" si="228"/>
        <v>0.36078177927208804</v>
      </c>
      <c r="S484" s="329">
        <f t="shared" si="229"/>
        <v>1.0548192933988993</v>
      </c>
      <c r="T484" s="330">
        <f t="shared" si="230"/>
        <v>0.33295095518814927</v>
      </c>
      <c r="U484" s="331">
        <f t="shared" si="231"/>
        <v>-3.9541310550513358</v>
      </c>
      <c r="V484" s="332">
        <f t="shared" si="232"/>
        <v>-117.13138761642209</v>
      </c>
      <c r="W484" s="334">
        <f t="shared" si="233"/>
        <v>62.868612383577911</v>
      </c>
      <c r="Y484" s="307">
        <f t="shared" si="234"/>
        <v>58549</v>
      </c>
      <c r="Z484" s="307">
        <f t="shared" si="235"/>
        <v>3427985401</v>
      </c>
      <c r="AB484" s="333">
        <f t="shared" si="236"/>
        <v>23.171447354275429</v>
      </c>
      <c r="AC484" s="334">
        <f t="shared" si="237"/>
        <v>-11.958263882570851</v>
      </c>
      <c r="AE484" s="333">
        <f t="shared" si="238"/>
        <v>15.711692844130983</v>
      </c>
      <c r="AF484" s="334">
        <f t="shared" si="239"/>
        <v>-103.29142781288584</v>
      </c>
      <c r="AH484">
        <f t="shared" si="240"/>
        <v>0</v>
      </c>
      <c r="AI484">
        <f t="shared" si="245"/>
        <v>0</v>
      </c>
    </row>
    <row r="485" spans="1:35" x14ac:dyDescent="0.2">
      <c r="A485" s="335">
        <v>58884</v>
      </c>
      <c r="B485" s="352">
        <f t="shared" si="241"/>
        <v>58.884</v>
      </c>
      <c r="C485" s="325">
        <f t="shared" si="216"/>
        <v>36.537276280239979</v>
      </c>
      <c r="D485" s="326">
        <f t="shared" si="217"/>
        <v>1.5434235998038863</v>
      </c>
      <c r="E485" s="326">
        <f t="shared" si="218"/>
        <v>1.0027339531901642</v>
      </c>
      <c r="F485" s="327">
        <f t="shared" si="219"/>
        <v>7.3861206829192672E-2</v>
      </c>
      <c r="G485" s="326">
        <f t="shared" si="220"/>
        <v>1</v>
      </c>
      <c r="H485" s="327">
        <f t="shared" si="221"/>
        <v>0</v>
      </c>
      <c r="I485" s="325">
        <f t="shared" si="222"/>
        <v>78154.355644128242</v>
      </c>
      <c r="J485" s="328">
        <f t="shared" si="223"/>
        <v>1.5707835316027186</v>
      </c>
      <c r="K485" s="336">
        <f t="shared" si="243"/>
        <v>14.807071034674008</v>
      </c>
      <c r="L485" s="337">
        <f t="shared" si="244"/>
        <v>1.5032095818132281</v>
      </c>
      <c r="M485" s="325">
        <f t="shared" si="224"/>
        <v>1.0101019972262792</v>
      </c>
      <c r="N485" s="337">
        <f t="shared" si="225"/>
        <v>0.14154633144703285</v>
      </c>
      <c r="O485" s="343">
        <f t="shared" si="226"/>
        <v>1.0569206710202936</v>
      </c>
      <c r="P485" s="691">
        <f t="shared" si="227"/>
        <v>0.32968366317529368</v>
      </c>
      <c r="Q485" s="336">
        <f t="shared" si="242"/>
        <v>6.740807840360822</v>
      </c>
      <c r="R485" s="692">
        <f t="shared" si="228"/>
        <v>0.36267349270480681</v>
      </c>
      <c r="S485" s="329">
        <f t="shared" si="229"/>
        <v>1.0554319351704757</v>
      </c>
      <c r="T485" s="330">
        <f t="shared" si="230"/>
        <v>0.33472832430565697</v>
      </c>
      <c r="U485" s="331">
        <f t="shared" si="231"/>
        <v>-4.0105964543948254</v>
      </c>
      <c r="V485" s="332">
        <f t="shared" si="232"/>
        <v>-117.25013077311269</v>
      </c>
      <c r="W485" s="334">
        <f t="shared" si="233"/>
        <v>62.749869226887313</v>
      </c>
      <c r="Y485" s="307">
        <f t="shared" si="234"/>
        <v>58884</v>
      </c>
      <c r="Z485" s="307">
        <f t="shared" si="235"/>
        <v>3467325456</v>
      </c>
      <c r="AB485" s="333">
        <f t="shared" si="236"/>
        <v>23.170239264772796</v>
      </c>
      <c r="AC485" s="334">
        <f t="shared" si="237"/>
        <v>-11.981709539132709</v>
      </c>
      <c r="AE485" s="333">
        <f t="shared" si="238"/>
        <v>15.657398749200128</v>
      </c>
      <c r="AF485" s="334">
        <f t="shared" si="239"/>
        <v>-103.37824323292298</v>
      </c>
      <c r="AH485">
        <f t="shared" si="240"/>
        <v>0</v>
      </c>
      <c r="AI485">
        <f t="shared" si="245"/>
        <v>0</v>
      </c>
    </row>
    <row r="486" spans="1:35" x14ac:dyDescent="0.2">
      <c r="A486" s="335">
        <v>59227</v>
      </c>
      <c r="B486" s="352">
        <f t="shared" si="241"/>
        <v>59.226999999999997</v>
      </c>
      <c r="C486" s="325">
        <f t="shared" si="216"/>
        <v>36.749947383667788</v>
      </c>
      <c r="D486" s="326">
        <f t="shared" si="217"/>
        <v>1.543582044379205</v>
      </c>
      <c r="E486" s="326">
        <f t="shared" si="218"/>
        <v>1.002765852520749</v>
      </c>
      <c r="F486" s="327">
        <f t="shared" si="219"/>
        <v>7.4289872534433088E-2</v>
      </c>
      <c r="G486" s="326">
        <f t="shared" si="220"/>
        <v>1</v>
      </c>
      <c r="H486" s="327">
        <f t="shared" si="221"/>
        <v>0</v>
      </c>
      <c r="I486" s="325">
        <f t="shared" si="222"/>
        <v>78609.605694762708</v>
      </c>
      <c r="J486" s="328">
        <f t="shared" si="223"/>
        <v>1.5707836057032287</v>
      </c>
      <c r="K486" s="336">
        <f t="shared" si="243"/>
        <v>14.892930139503784</v>
      </c>
      <c r="L486" s="337">
        <f t="shared" si="244"/>
        <v>1.503599814817095</v>
      </c>
      <c r="M486" s="325">
        <f t="shared" si="224"/>
        <v>1.0102194314627073</v>
      </c>
      <c r="N486" s="337">
        <f t="shared" si="225"/>
        <v>0.14235977718165779</v>
      </c>
      <c r="O486" s="343">
        <f t="shared" si="226"/>
        <v>1.0575676231206184</v>
      </c>
      <c r="P486" s="691">
        <f t="shared" si="227"/>
        <v>0.33146682305693681</v>
      </c>
      <c r="Q486" s="336">
        <f t="shared" si="242"/>
        <v>6.745702231211661</v>
      </c>
      <c r="R486" s="692">
        <f t="shared" si="228"/>
        <v>0.36460762996169715</v>
      </c>
      <c r="S486" s="329">
        <f t="shared" si="229"/>
        <v>1.0560624585664302</v>
      </c>
      <c r="T486" s="330">
        <f t="shared" si="230"/>
        <v>0.33654606148811855</v>
      </c>
      <c r="U486" s="331">
        <f t="shared" si="231"/>
        <v>-4.0681464899867006</v>
      </c>
      <c r="V486" s="332">
        <f t="shared" si="232"/>
        <v>-117.3716998271496</v>
      </c>
      <c r="W486" s="334">
        <f t="shared" si="233"/>
        <v>62.628300172850402</v>
      </c>
      <c r="Y486" s="307">
        <f t="shared" si="234"/>
        <v>59227</v>
      </c>
      <c r="Z486" s="307">
        <f t="shared" si="235"/>
        <v>3507837529</v>
      </c>
      <c r="AB486" s="333">
        <f t="shared" si="236"/>
        <v>23.169000732087866</v>
      </c>
      <c r="AC486" s="334">
        <f t="shared" si="237"/>
        <v>-12.005962088115551</v>
      </c>
      <c r="AE486" s="333">
        <f t="shared" si="238"/>
        <v>15.602076544343195</v>
      </c>
      <c r="AF486" s="334">
        <f t="shared" si="239"/>
        <v>-103.46690937156357</v>
      </c>
      <c r="AH486">
        <f t="shared" si="240"/>
        <v>0</v>
      </c>
      <c r="AI486">
        <f t="shared" si="245"/>
        <v>0</v>
      </c>
    </row>
    <row r="487" spans="1:35" x14ac:dyDescent="0.2">
      <c r="A487" s="335">
        <v>59570</v>
      </c>
      <c r="B487" s="352">
        <f t="shared" si="241"/>
        <v>59.57</v>
      </c>
      <c r="C487" s="325">
        <f t="shared" si="216"/>
        <v>36.96261939907474</v>
      </c>
      <c r="D487" s="326">
        <f t="shared" si="217"/>
        <v>1.5437386656716643</v>
      </c>
      <c r="E487" s="326">
        <f t="shared" si="218"/>
        <v>1.0027979361021155</v>
      </c>
      <c r="F487" s="327">
        <f t="shared" si="219"/>
        <v>7.4718510888917428E-2</v>
      </c>
      <c r="G487" s="326">
        <f t="shared" si="220"/>
        <v>1</v>
      </c>
      <c r="H487" s="327">
        <f t="shared" si="221"/>
        <v>0</v>
      </c>
      <c r="I487" s="325">
        <f t="shared" si="222"/>
        <v>79064.85574539761</v>
      </c>
      <c r="J487" s="328">
        <f t="shared" si="223"/>
        <v>1.5707836789504075</v>
      </c>
      <c r="K487" s="336">
        <f t="shared" si="243"/>
        <v>14.978791486255869</v>
      </c>
      <c r="L487" s="337">
        <f t="shared" si="244"/>
        <v>1.5039855740961592</v>
      </c>
      <c r="M487" s="325">
        <f t="shared" si="224"/>
        <v>1.0103375339995837</v>
      </c>
      <c r="N487" s="337">
        <f t="shared" si="225"/>
        <v>0.14317303328022607</v>
      </c>
      <c r="O487" s="343">
        <f t="shared" si="226"/>
        <v>1.0582179338076481</v>
      </c>
      <c r="P487" s="691">
        <f t="shared" si="227"/>
        <v>0.33324779697165224</v>
      </c>
      <c r="Q487" s="336">
        <f t="shared" si="242"/>
        <v>6.7506214702303478</v>
      </c>
      <c r="R487" s="692">
        <f t="shared" si="228"/>
        <v>0.36653897529633295</v>
      </c>
      <c r="S487" s="329">
        <f t="shared" si="229"/>
        <v>1.0566962658785923</v>
      </c>
      <c r="T487" s="330">
        <f t="shared" si="230"/>
        <v>0.33836169045345349</v>
      </c>
      <c r="U487" s="331">
        <f t="shared" si="231"/>
        <v>-4.1254329438764596</v>
      </c>
      <c r="V487" s="332">
        <f t="shared" si="232"/>
        <v>-117.4932558825422</v>
      </c>
      <c r="W487" s="334">
        <f t="shared" si="233"/>
        <v>62.506744117457799</v>
      </c>
      <c r="Y487" s="307">
        <f t="shared" si="234"/>
        <v>59570</v>
      </c>
      <c r="Z487" s="307">
        <f t="shared" si="235"/>
        <v>3548584900</v>
      </c>
      <c r="AB487" s="333">
        <f t="shared" si="236"/>
        <v>23.167760500010999</v>
      </c>
      <c r="AC487" s="334">
        <f t="shared" si="237"/>
        <v>-12.030460048410603</v>
      </c>
      <c r="AE487" s="333">
        <f t="shared" si="238"/>
        <v>15.547022702742268</v>
      </c>
      <c r="AF487" s="334">
        <f t="shared" si="239"/>
        <v>-103.55535181893045</v>
      </c>
      <c r="AH487">
        <f t="shared" si="240"/>
        <v>0</v>
      </c>
      <c r="AI487">
        <f t="shared" si="245"/>
        <v>0</v>
      </c>
    </row>
    <row r="488" spans="1:35" x14ac:dyDescent="0.2">
      <c r="A488" s="335">
        <v>59913</v>
      </c>
      <c r="B488" s="352">
        <f t="shared" si="241"/>
        <v>59.912999999999997</v>
      </c>
      <c r="C488" s="325">
        <f t="shared" si="216"/>
        <v>37.175292310809112</v>
      </c>
      <c r="D488" s="326">
        <f t="shared" si="217"/>
        <v>1.543893494965497</v>
      </c>
      <c r="E488" s="326">
        <f t="shared" si="218"/>
        <v>1.0028302039165791</v>
      </c>
      <c r="F488" s="327">
        <f t="shared" si="219"/>
        <v>7.5147121737770203E-2</v>
      </c>
      <c r="G488" s="326">
        <f t="shared" si="220"/>
        <v>1</v>
      </c>
      <c r="H488" s="327">
        <f t="shared" si="221"/>
        <v>0</v>
      </c>
      <c r="I488" s="325">
        <f t="shared" si="222"/>
        <v>79520.10579603292</v>
      </c>
      <c r="J488" s="328">
        <f t="shared" si="223"/>
        <v>1.5707837513589107</v>
      </c>
      <c r="K488" s="336">
        <f t="shared" si="243"/>
        <v>15.064655036596593</v>
      </c>
      <c r="L488" s="337">
        <f t="shared" si="244"/>
        <v>1.504366936030872</v>
      </c>
      <c r="M488" s="325">
        <f t="shared" si="224"/>
        <v>1.010456304602575</v>
      </c>
      <c r="N488" s="337">
        <f t="shared" si="225"/>
        <v>0.1439860987336698</v>
      </c>
      <c r="O488" s="343">
        <f t="shared" si="226"/>
        <v>1.0588715968933102</v>
      </c>
      <c r="P488" s="691">
        <f t="shared" si="227"/>
        <v>0.33502657765941524</v>
      </c>
      <c r="Q488" s="336">
        <f t="shared" si="242"/>
        <v>6.7555655031461974</v>
      </c>
      <c r="R488" s="692">
        <f t="shared" si="228"/>
        <v>0.36846752071569921</v>
      </c>
      <c r="S488" s="329">
        <f t="shared" si="229"/>
        <v>1.0573333512238161</v>
      </c>
      <c r="T488" s="330">
        <f t="shared" si="230"/>
        <v>0.34017520407067486</v>
      </c>
      <c r="U488" s="331">
        <f t="shared" si="231"/>
        <v>-4.1824591035905438</v>
      </c>
      <c r="V488" s="332">
        <f t="shared" si="232"/>
        <v>-117.61479585679285</v>
      </c>
      <c r="W488" s="334">
        <f t="shared" si="233"/>
        <v>62.385204143207147</v>
      </c>
      <c r="Y488" s="307">
        <f t="shared" si="234"/>
        <v>59913</v>
      </c>
      <c r="Z488" s="307">
        <f t="shared" si="235"/>
        <v>3589567569</v>
      </c>
      <c r="AB488" s="333">
        <f t="shared" si="236"/>
        <v>23.166518483167909</v>
      </c>
      <c r="AC488" s="334">
        <f t="shared" si="237"/>
        <v>-12.055198986764733</v>
      </c>
      <c r="AE488" s="333">
        <f t="shared" si="238"/>
        <v>15.492233986831556</v>
      </c>
      <c r="AF488" s="334">
        <f t="shared" si="239"/>
        <v>-103.64357196777637</v>
      </c>
      <c r="AH488">
        <f t="shared" si="240"/>
        <v>0</v>
      </c>
      <c r="AI488">
        <f t="shared" si="245"/>
        <v>0</v>
      </c>
    </row>
    <row r="489" spans="1:35" x14ac:dyDescent="0.2">
      <c r="A489" s="335">
        <v>60256</v>
      </c>
      <c r="B489" s="352">
        <f t="shared" si="241"/>
        <v>60.256</v>
      </c>
      <c r="C489" s="325">
        <f t="shared" si="216"/>
        <v>37.387966103575231</v>
      </c>
      <c r="D489" s="326">
        <f t="shared" si="217"/>
        <v>1.5440465628334681</v>
      </c>
      <c r="E489" s="326">
        <f t="shared" si="218"/>
        <v>1.0028626559463563</v>
      </c>
      <c r="F489" s="327">
        <f t="shared" si="219"/>
        <v>7.5575704926176254E-2</v>
      </c>
      <c r="G489" s="326">
        <f t="shared" si="220"/>
        <v>1</v>
      </c>
      <c r="H489" s="327">
        <f t="shared" si="221"/>
        <v>0</v>
      </c>
      <c r="I489" s="325">
        <f t="shared" si="222"/>
        <v>79975.355846668637</v>
      </c>
      <c r="J489" s="328">
        <f t="shared" si="223"/>
        <v>1.5707838229430608</v>
      </c>
      <c r="K489" s="336">
        <f t="shared" si="243"/>
        <v>15.150520753060327</v>
      </c>
      <c r="L489" s="337">
        <f t="shared" si="244"/>
        <v>1.5047439752753204</v>
      </c>
      <c r="M489" s="325">
        <f t="shared" si="224"/>
        <v>1.0105757430361322</v>
      </c>
      <c r="N489" s="337">
        <f t="shared" si="225"/>
        <v>0.14479897253440238</v>
      </c>
      <c r="O489" s="343">
        <f t="shared" si="226"/>
        <v>1.0595286061729419</v>
      </c>
      <c r="P489" s="691">
        <f t="shared" si="227"/>
        <v>0.33680315793358662</v>
      </c>
      <c r="Q489" s="336">
        <f t="shared" si="242"/>
        <v>6.7605342755741518</v>
      </c>
      <c r="R489" s="692">
        <f t="shared" si="228"/>
        <v>0.3703932583322454</v>
      </c>
      <c r="S489" s="329">
        <f t="shared" si="229"/>
        <v>1.0579737087027485</v>
      </c>
      <c r="T489" s="330">
        <f t="shared" si="230"/>
        <v>0.34198659527828479</v>
      </c>
      <c r="U489" s="331">
        <f t="shared" si="231"/>
        <v>-4.2392281971323929</v>
      </c>
      <c r="V489" s="332">
        <f t="shared" si="232"/>
        <v>-117.73631673143495</v>
      </c>
      <c r="W489" s="334">
        <f t="shared" si="233"/>
        <v>62.263683268565046</v>
      </c>
      <c r="Y489" s="307">
        <f t="shared" si="234"/>
        <v>60256</v>
      </c>
      <c r="Z489" s="307">
        <f t="shared" si="235"/>
        <v>3630785536</v>
      </c>
      <c r="AB489" s="333">
        <f t="shared" si="236"/>
        <v>23.165274598729653</v>
      </c>
      <c r="AC489" s="334">
        <f t="shared" si="237"/>
        <v>-12.080174568903988</v>
      </c>
      <c r="AE489" s="333">
        <f t="shared" si="238"/>
        <v>15.437707216072461</v>
      </c>
      <c r="AF489" s="334">
        <f t="shared" si="239"/>
        <v>-103.73157117406795</v>
      </c>
      <c r="AH489">
        <f t="shared" si="240"/>
        <v>0</v>
      </c>
      <c r="AI489">
        <f t="shared" si="245"/>
        <v>0</v>
      </c>
    </row>
    <row r="490" spans="1:35" x14ac:dyDescent="0.2">
      <c r="A490" s="335">
        <v>60607</v>
      </c>
      <c r="B490" s="352">
        <f t="shared" si="241"/>
        <v>60.606999999999999</v>
      </c>
      <c r="C490" s="325">
        <f t="shared" si="216"/>
        <v>37.605601114538167</v>
      </c>
      <c r="D490" s="326">
        <f t="shared" si="217"/>
        <v>1.5442014084396345</v>
      </c>
      <c r="E490" s="326">
        <f t="shared" si="218"/>
        <v>1.0028960555663997</v>
      </c>
      <c r="F490" s="327">
        <f t="shared" si="219"/>
        <v>7.60142554267942E-2</v>
      </c>
      <c r="G490" s="326">
        <f t="shared" si="220"/>
        <v>1</v>
      </c>
      <c r="H490" s="327">
        <f t="shared" si="221"/>
        <v>0</v>
      </c>
      <c r="I490" s="325">
        <f t="shared" si="222"/>
        <v>80441.223974287539</v>
      </c>
      <c r="J490" s="328">
        <f t="shared" si="223"/>
        <v>1.5707838953579962</v>
      </c>
      <c r="K490" s="336">
        <f t="shared" si="243"/>
        <v>15.238391372742303</v>
      </c>
      <c r="L490" s="337">
        <f t="shared" si="244"/>
        <v>1.5051254094673296</v>
      </c>
      <c r="M490" s="325">
        <f t="shared" si="224"/>
        <v>1.0106986583352744</v>
      </c>
      <c r="N490" s="337">
        <f t="shared" si="225"/>
        <v>0.14563060603128661</v>
      </c>
      <c r="O490" s="343">
        <f t="shared" si="226"/>
        <v>1.0602043969657871</v>
      </c>
      <c r="P490" s="691">
        <f t="shared" si="227"/>
        <v>0.33861888906696647</v>
      </c>
      <c r="Q490" s="336">
        <f t="shared" si="242"/>
        <v>6.7656444926437231</v>
      </c>
      <c r="R490" s="692">
        <f t="shared" si="228"/>
        <v>0.37236099619447494</v>
      </c>
      <c r="S490" s="329">
        <f t="shared" si="229"/>
        <v>1.0586323829621866</v>
      </c>
      <c r="T490" s="330">
        <f t="shared" si="230"/>
        <v>0.34383803014260422</v>
      </c>
      <c r="U490" s="331">
        <f t="shared" si="231"/>
        <v>-4.2970585282894955</v>
      </c>
      <c r="V490" s="332">
        <f t="shared" si="232"/>
        <v>-117.86064905546652</v>
      </c>
      <c r="W490" s="334">
        <f t="shared" si="233"/>
        <v>62.139350944533476</v>
      </c>
      <c r="Y490" s="307">
        <f t="shared" si="234"/>
        <v>60607</v>
      </c>
      <c r="Z490" s="307">
        <f t="shared" si="235"/>
        <v>3673208449</v>
      </c>
      <c r="AB490" s="333">
        <f t="shared" si="236"/>
        <v>23.163999685133128</v>
      </c>
      <c r="AC490" s="334">
        <f t="shared" si="237"/>
        <v>-12.105973238112705</v>
      </c>
      <c r="AE490" s="333">
        <f t="shared" si="238"/>
        <v>15.382176604764942</v>
      </c>
      <c r="AF490" s="334">
        <f t="shared" si="239"/>
        <v>-103.8213954848602</v>
      </c>
      <c r="AH490">
        <f t="shared" si="240"/>
        <v>0</v>
      </c>
      <c r="AI490">
        <f t="shared" si="245"/>
        <v>0</v>
      </c>
    </row>
    <row r="491" spans="1:35" x14ac:dyDescent="0.2">
      <c r="A491" s="335">
        <v>60958</v>
      </c>
      <c r="B491" s="352">
        <f t="shared" si="241"/>
        <v>60.957999999999998</v>
      </c>
      <c r="C491" s="325">
        <f t="shared" si="216"/>
        <v>37.823237016800178</v>
      </c>
      <c r="D491" s="326">
        <f t="shared" si="217"/>
        <v>1.5443544720780411</v>
      </c>
      <c r="E491" s="326">
        <f t="shared" si="218"/>
        <v>1.0029296480571046</v>
      </c>
      <c r="F491" s="327">
        <f t="shared" si="219"/>
        <v>7.6452776633806535E-2</v>
      </c>
      <c r="G491" s="326">
        <f t="shared" si="220"/>
        <v>1</v>
      </c>
      <c r="H491" s="327">
        <f t="shared" si="221"/>
        <v>0</v>
      </c>
      <c r="I491" s="325">
        <f t="shared" si="222"/>
        <v>80907.092101906848</v>
      </c>
      <c r="J491" s="328">
        <f t="shared" si="223"/>
        <v>1.5707839669389922</v>
      </c>
      <c r="K491" s="336">
        <f t="shared" si="243"/>
        <v>15.326264184066428</v>
      </c>
      <c r="L491" s="337">
        <f t="shared" si="244"/>
        <v>1.505502469823941</v>
      </c>
      <c r="M491" s="325">
        <f t="shared" si="224"/>
        <v>1.0108222724777534</v>
      </c>
      <c r="N491" s="337">
        <f t="shared" si="225"/>
        <v>0.1464620367010325</v>
      </c>
      <c r="O491" s="343">
        <f t="shared" si="226"/>
        <v>1.0608836786649605</v>
      </c>
      <c r="P491" s="691">
        <f t="shared" si="227"/>
        <v>0.34043230095455151</v>
      </c>
      <c r="Q491" s="336">
        <f t="shared" si="242"/>
        <v>6.7707805011253326</v>
      </c>
      <c r="R491" s="692">
        <f t="shared" si="228"/>
        <v>0.37432577737532224</v>
      </c>
      <c r="S491" s="329">
        <f t="shared" si="229"/>
        <v>1.0592944712207517</v>
      </c>
      <c r="T491" s="330">
        <f t="shared" si="230"/>
        <v>0.34568722769892979</v>
      </c>
      <c r="U491" s="331">
        <f t="shared" si="231"/>
        <v>-4.3546263165264918</v>
      </c>
      <c r="V491" s="332">
        <f t="shared" si="232"/>
        <v>-117.98495518138016</v>
      </c>
      <c r="W491" s="334">
        <f t="shared" si="233"/>
        <v>62.015044818619842</v>
      </c>
      <c r="Y491" s="307">
        <f t="shared" si="234"/>
        <v>60958</v>
      </c>
      <c r="Z491" s="307">
        <f t="shared" si="235"/>
        <v>3715877764</v>
      </c>
      <c r="AB491" s="333">
        <f t="shared" si="236"/>
        <v>23.162722648108858</v>
      </c>
      <c r="AC491" s="334">
        <f t="shared" si="237"/>
        <v>-12.13201084071007</v>
      </c>
      <c r="AE491" s="333">
        <f t="shared" si="238"/>
        <v>15.326913738540014</v>
      </c>
      <c r="AF491" s="334">
        <f t="shared" si="239"/>
        <v>-103.91099118651476</v>
      </c>
      <c r="AH491">
        <f t="shared" si="240"/>
        <v>0</v>
      </c>
      <c r="AI491">
        <f t="shared" si="245"/>
        <v>0</v>
      </c>
    </row>
    <row r="492" spans="1:35" x14ac:dyDescent="0.2">
      <c r="A492" s="335">
        <v>61309</v>
      </c>
      <c r="B492" s="352">
        <f t="shared" si="241"/>
        <v>61.308999999999997</v>
      </c>
      <c r="C492" s="325">
        <f t="shared" si="216"/>
        <v>38.040873795063625</v>
      </c>
      <c r="D492" s="326">
        <f t="shared" si="217"/>
        <v>1.5445057843260603</v>
      </c>
      <c r="E492" s="326">
        <f t="shared" si="218"/>
        <v>1.0029634333990911</v>
      </c>
      <c r="F492" s="327">
        <f t="shared" si="219"/>
        <v>7.6891268381509156E-2</v>
      </c>
      <c r="G492" s="326">
        <f t="shared" si="220"/>
        <v>1</v>
      </c>
      <c r="H492" s="327">
        <f t="shared" si="221"/>
        <v>0</v>
      </c>
      <c r="I492" s="325">
        <f t="shared" si="222"/>
        <v>81372.960229526594</v>
      </c>
      <c r="J492" s="328">
        <f t="shared" si="223"/>
        <v>1.5707840377003719</v>
      </c>
      <c r="K492" s="336">
        <f t="shared" si="243"/>
        <v>15.414139149550413</v>
      </c>
      <c r="L492" s="337">
        <f t="shared" si="244"/>
        <v>1.5058752310418304</v>
      </c>
      <c r="M492" s="325">
        <f t="shared" si="224"/>
        <v>1.0109465852072148</v>
      </c>
      <c r="N492" s="337">
        <f t="shared" si="225"/>
        <v>0.14729326346875657</v>
      </c>
      <c r="O492" s="343">
        <f t="shared" si="226"/>
        <v>1.0615664445691138</v>
      </c>
      <c r="P492" s="691">
        <f t="shared" si="227"/>
        <v>0.34224338613330907</v>
      </c>
      <c r="Q492" s="336">
        <f t="shared" si="242"/>
        <v>6.7759422423829134</v>
      </c>
      <c r="R492" s="692">
        <f t="shared" si="228"/>
        <v>0.37628759376390114</v>
      </c>
      <c r="S492" s="329">
        <f t="shared" si="229"/>
        <v>1.0599599671054136</v>
      </c>
      <c r="T492" s="330">
        <f t="shared" si="230"/>
        <v>0.34753418060575791</v>
      </c>
      <c r="U492" s="331">
        <f t="shared" si="231"/>
        <v>-4.4119348363137103</v>
      </c>
      <c r="V492" s="332">
        <f t="shared" si="232"/>
        <v>-118.10923207229806</v>
      </c>
      <c r="W492" s="334">
        <f t="shared" si="233"/>
        <v>61.890767927701944</v>
      </c>
      <c r="Y492" s="307">
        <f t="shared" si="234"/>
        <v>61309</v>
      </c>
      <c r="Z492" s="307">
        <f t="shared" si="235"/>
        <v>3758793481</v>
      </c>
      <c r="AB492" s="333">
        <f t="shared" si="236"/>
        <v>23.161443406629971</v>
      </c>
      <c r="AC492" s="334">
        <f t="shared" si="237"/>
        <v>-12.158283036126161</v>
      </c>
      <c r="AE492" s="333">
        <f t="shared" si="238"/>
        <v>15.271915386234387</v>
      </c>
      <c r="AF492" s="334">
        <f t="shared" si="239"/>
        <v>-104.00035961984301</v>
      </c>
      <c r="AH492">
        <f t="shared" si="240"/>
        <v>0</v>
      </c>
      <c r="AI492">
        <f t="shared" si="245"/>
        <v>0</v>
      </c>
    </row>
    <row r="493" spans="1:35" x14ac:dyDescent="0.2">
      <c r="A493" s="335">
        <v>61660</v>
      </c>
      <c r="B493" s="352">
        <f t="shared" si="241"/>
        <v>61.66</v>
      </c>
      <c r="C493" s="325">
        <f t="shared" si="216"/>
        <v>38.258511434378867</v>
      </c>
      <c r="D493" s="326">
        <f t="shared" si="217"/>
        <v>1.5446553750656191</v>
      </c>
      <c r="E493" s="326">
        <f t="shared" si="218"/>
        <v>1.0029974115728715</v>
      </c>
      <c r="F493" s="327">
        <f t="shared" si="219"/>
        <v>7.7329730504265573E-2</v>
      </c>
      <c r="G493" s="326">
        <f t="shared" si="220"/>
        <v>1</v>
      </c>
      <c r="H493" s="327">
        <f t="shared" si="221"/>
        <v>0</v>
      </c>
      <c r="I493" s="325">
        <f t="shared" si="222"/>
        <v>81838.828357146718</v>
      </c>
      <c r="J493" s="328">
        <f t="shared" si="223"/>
        <v>1.570784107656132</v>
      </c>
      <c r="K493" s="336">
        <f t="shared" si="243"/>
        <v>15.502016232560944</v>
      </c>
      <c r="L493" s="337">
        <f t="shared" si="244"/>
        <v>1.5062437661287673</v>
      </c>
      <c r="M493" s="325">
        <f t="shared" si="224"/>
        <v>1.0110715962659815</v>
      </c>
      <c r="N493" s="337">
        <f t="shared" si="225"/>
        <v>0.14812428526122956</v>
      </c>
      <c r="O493" s="343">
        <f t="shared" si="226"/>
        <v>1.0622526879597993</v>
      </c>
      <c r="P493" s="691">
        <f t="shared" si="227"/>
        <v>0.3440521372203979</v>
      </c>
      <c r="Q493" s="336">
        <f t="shared" si="242"/>
        <v>6.7811296576656019</v>
      </c>
      <c r="R493" s="692">
        <f t="shared" si="228"/>
        <v>0.37824643736395774</v>
      </c>
      <c r="S493" s="329">
        <f t="shared" si="229"/>
        <v>1.060628864226393</v>
      </c>
      <c r="T493" s="330">
        <f t="shared" si="230"/>
        <v>0.34937888159757141</v>
      </c>
      <c r="U493" s="331">
        <f t="shared" si="231"/>
        <v>-4.4689873027051732</v>
      </c>
      <c r="V493" s="332">
        <f t="shared" si="232"/>
        <v>-118.23347675466268</v>
      </c>
      <c r="W493" s="334">
        <f t="shared" si="233"/>
        <v>61.766523245337325</v>
      </c>
      <c r="Y493" s="307">
        <f t="shared" si="234"/>
        <v>61660</v>
      </c>
      <c r="Z493" s="307">
        <f t="shared" si="235"/>
        <v>3801955600</v>
      </c>
      <c r="AB493" s="333">
        <f t="shared" si="236"/>
        <v>23.160161882104884</v>
      </c>
      <c r="AC493" s="334">
        <f t="shared" si="237"/>
        <v>-12.184785580634387</v>
      </c>
      <c r="AE493" s="333">
        <f t="shared" si="238"/>
        <v>15.217178373730597</v>
      </c>
      <c r="AF493" s="334">
        <f t="shared" si="239"/>
        <v>-104.08950209016005</v>
      </c>
      <c r="AH493">
        <f t="shared" si="240"/>
        <v>0</v>
      </c>
      <c r="AI493">
        <f t="shared" si="245"/>
        <v>0</v>
      </c>
    </row>
    <row r="494" spans="1:35" x14ac:dyDescent="0.2">
      <c r="A494" s="335">
        <v>62019</v>
      </c>
      <c r="B494" s="352">
        <f t="shared" si="241"/>
        <v>62.018999999999998</v>
      </c>
      <c r="C494" s="325">
        <f t="shared" si="216"/>
        <v>38.481110351215271</v>
      </c>
      <c r="D494" s="326">
        <f t="shared" si="217"/>
        <v>1.5448066249079642</v>
      </c>
      <c r="E494" s="326">
        <f t="shared" si="218"/>
        <v>1.003032363631956</v>
      </c>
      <c r="F494" s="327">
        <f t="shared" si="219"/>
        <v>7.7778155247684846E-2</v>
      </c>
      <c r="G494" s="326">
        <f t="shared" si="220"/>
        <v>1</v>
      </c>
      <c r="H494" s="327">
        <f t="shared" si="221"/>
        <v>0</v>
      </c>
      <c r="I494" s="325">
        <f t="shared" si="222"/>
        <v>82315.314561750056</v>
      </c>
      <c r="J494" s="328">
        <f t="shared" si="223"/>
        <v>1.5707841783872114</v>
      </c>
      <c r="K494" s="336">
        <f t="shared" si="243"/>
        <v>15.591898365202622</v>
      </c>
      <c r="L494" s="337">
        <f t="shared" si="244"/>
        <v>1.5066164035400691</v>
      </c>
      <c r="M494" s="325">
        <f t="shared" si="224"/>
        <v>1.0112001786948817</v>
      </c>
      <c r="N494" s="337">
        <f t="shared" si="225"/>
        <v>0.14897403456825303</v>
      </c>
      <c r="O494" s="343">
        <f t="shared" si="226"/>
        <v>1.0629581624833637</v>
      </c>
      <c r="P494" s="691">
        <f t="shared" si="227"/>
        <v>0.3458996912963464</v>
      </c>
      <c r="Q494" s="336">
        <f t="shared" si="242"/>
        <v>6.7864618017197724</v>
      </c>
      <c r="R494" s="692">
        <f t="shared" si="228"/>
        <v>0.3802468435628486</v>
      </c>
      <c r="S494" s="329">
        <f t="shared" si="229"/>
        <v>1.0613165185897349</v>
      </c>
      <c r="T494" s="330">
        <f t="shared" si="230"/>
        <v>0.3512632900746484</v>
      </c>
      <c r="U494" s="331">
        <f t="shared" si="231"/>
        <v>-4.5270785265853322</v>
      </c>
      <c r="V494" s="332">
        <f t="shared" si="232"/>
        <v>-118.36051687192115</v>
      </c>
      <c r="W494" s="334">
        <f t="shared" si="233"/>
        <v>61.639483128078851</v>
      </c>
      <c r="Y494" s="307">
        <f t="shared" si="234"/>
        <v>62019</v>
      </c>
      <c r="Z494" s="307">
        <f t="shared" si="235"/>
        <v>3846356361</v>
      </c>
      <c r="AB494" s="333">
        <f t="shared" si="236"/>
        <v>23.15884870790207</v>
      </c>
      <c r="AC494" s="334">
        <f t="shared" si="237"/>
        <v>-12.212126131238296</v>
      </c>
      <c r="AE494" s="333">
        <f t="shared" si="238"/>
        <v>15.161460886398956</v>
      </c>
      <c r="AF494" s="334">
        <f t="shared" si="239"/>
        <v>-104.18044387527038</v>
      </c>
      <c r="AH494">
        <f t="shared" si="240"/>
        <v>0</v>
      </c>
      <c r="AI494">
        <f t="shared" si="245"/>
        <v>0</v>
      </c>
    </row>
    <row r="495" spans="1:35" x14ac:dyDescent="0.2">
      <c r="A495" s="335">
        <v>62378</v>
      </c>
      <c r="B495" s="352">
        <f t="shared" si="241"/>
        <v>62.378</v>
      </c>
      <c r="C495" s="325">
        <f t="shared" si="216"/>
        <v>38.703710138239359</v>
      </c>
      <c r="D495" s="326">
        <f t="shared" si="217"/>
        <v>1.5449561349627272</v>
      </c>
      <c r="E495" s="326">
        <f t="shared" si="218"/>
        <v>1.0030675173714731</v>
      </c>
      <c r="F495" s="327">
        <f t="shared" si="219"/>
        <v>7.8226548650066438E-2</v>
      </c>
      <c r="G495" s="326">
        <f t="shared" si="220"/>
        <v>1</v>
      </c>
      <c r="H495" s="327">
        <f t="shared" si="221"/>
        <v>0</v>
      </c>
      <c r="I495" s="325">
        <f t="shared" si="222"/>
        <v>82791.800766353801</v>
      </c>
      <c r="J495" s="328">
        <f t="shared" si="223"/>
        <v>1.570784248304143</v>
      </c>
      <c r="K495" s="336">
        <f t="shared" si="243"/>
        <v>15.681782638095186</v>
      </c>
      <c r="L495" s="337">
        <f t="shared" si="244"/>
        <v>1.5069847692628398</v>
      </c>
      <c r="M495" s="325">
        <f t="shared" si="224"/>
        <v>1.0113294910990471</v>
      </c>
      <c r="N495" s="337">
        <f t="shared" si="225"/>
        <v>0.14982356718426701</v>
      </c>
      <c r="O495" s="343">
        <f t="shared" si="226"/>
        <v>1.0636672605476925</v>
      </c>
      <c r="P495" s="691">
        <f t="shared" si="227"/>
        <v>0.34774478830473704</v>
      </c>
      <c r="Q495" s="336">
        <f t="shared" si="242"/>
        <v>6.7918206787861193</v>
      </c>
      <c r="R495" s="692">
        <f t="shared" si="228"/>
        <v>0.38224412336259705</v>
      </c>
      <c r="S495" s="329">
        <f t="shared" si="229"/>
        <v>1.0620077174247484</v>
      </c>
      <c r="T495" s="330">
        <f t="shared" si="230"/>
        <v>0.35314532768433166</v>
      </c>
      <c r="U495" s="331">
        <f t="shared" si="231"/>
        <v>-4.5849085109338503</v>
      </c>
      <c r="V495" s="332">
        <f t="shared" si="232"/>
        <v>-118.4875171994294</v>
      </c>
      <c r="W495" s="334">
        <f t="shared" si="233"/>
        <v>61.512482800570595</v>
      </c>
      <c r="Y495" s="307">
        <f t="shared" si="234"/>
        <v>62378</v>
      </c>
      <c r="Z495" s="307">
        <f t="shared" si="235"/>
        <v>3891014884</v>
      </c>
      <c r="AB495" s="333">
        <f t="shared" si="236"/>
        <v>23.157532986544584</v>
      </c>
      <c r="AC495" s="334">
        <f t="shared" si="237"/>
        <v>-12.239698969439155</v>
      </c>
      <c r="AE495" s="333">
        <f t="shared" si="238"/>
        <v>15.106010248117689</v>
      </c>
      <c r="AF495" s="334">
        <f t="shared" si="239"/>
        <v>-104.2711519329085</v>
      </c>
      <c r="AH495">
        <f t="shared" si="240"/>
        <v>0</v>
      </c>
      <c r="AI495">
        <f t="shared" si="245"/>
        <v>0</v>
      </c>
    </row>
    <row r="496" spans="1:35" x14ac:dyDescent="0.2">
      <c r="A496" s="335">
        <v>62737</v>
      </c>
      <c r="B496" s="352">
        <f t="shared" si="241"/>
        <v>62.737000000000002</v>
      </c>
      <c r="C496" s="325">
        <f t="shared" si="216"/>
        <v>38.926310780522641</v>
      </c>
      <c r="D496" s="326">
        <f t="shared" si="217"/>
        <v>1.5451039350701636</v>
      </c>
      <c r="E496" s="326">
        <f t="shared" si="218"/>
        <v>1.0031028727702196</v>
      </c>
      <c r="F496" s="327">
        <f t="shared" si="219"/>
        <v>7.8674910534409961E-2</v>
      </c>
      <c r="G496" s="326">
        <f t="shared" si="220"/>
        <v>1</v>
      </c>
      <c r="H496" s="327">
        <f t="shared" si="221"/>
        <v>0</v>
      </c>
      <c r="I496" s="325">
        <f t="shared" si="222"/>
        <v>83268.286970957939</v>
      </c>
      <c r="J496" s="328">
        <f t="shared" si="223"/>
        <v>1.5707843174209033</v>
      </c>
      <c r="K496" s="336">
        <f t="shared" si="243"/>
        <v>15.771669014646143</v>
      </c>
      <c r="L496" s="337">
        <f t="shared" si="244"/>
        <v>1.5073489362322572</v>
      </c>
      <c r="M496" s="325">
        <f t="shared" si="224"/>
        <v>1.0114595331985019</v>
      </c>
      <c r="N496" s="337">
        <f t="shared" si="225"/>
        <v>0.1506728819663927</v>
      </c>
      <c r="O496" s="343">
        <f t="shared" si="226"/>
        <v>1.0643799749106935</v>
      </c>
      <c r="P496" s="691">
        <f t="shared" si="227"/>
        <v>0.34958742060607845</v>
      </c>
      <c r="Q496" s="336">
        <f t="shared" si="242"/>
        <v>6.7972062256491039</v>
      </c>
      <c r="R496" s="692">
        <f t="shared" si="228"/>
        <v>0.38423826857792759</v>
      </c>
      <c r="S496" s="329">
        <f t="shared" si="229"/>
        <v>1.0627024538420236</v>
      </c>
      <c r="T496" s="330">
        <f t="shared" si="230"/>
        <v>0.35502498689912937</v>
      </c>
      <c r="U496" s="331">
        <f t="shared" si="231"/>
        <v>-4.6424805116438508</v>
      </c>
      <c r="V496" s="332">
        <f t="shared" si="232"/>
        <v>-118.61447475092565</v>
      </c>
      <c r="W496" s="334">
        <f t="shared" si="233"/>
        <v>61.385525249074348</v>
      </c>
      <c r="Y496" s="307">
        <f t="shared" si="234"/>
        <v>62737</v>
      </c>
      <c r="Z496" s="307">
        <f t="shared" si="235"/>
        <v>3935931169</v>
      </c>
      <c r="AB496" s="333">
        <f t="shared" si="236"/>
        <v>23.156214641330056</v>
      </c>
      <c r="AC496" s="334">
        <f t="shared" si="237"/>
        <v>-12.267499851677774</v>
      </c>
      <c r="AE496" s="333">
        <f t="shared" si="238"/>
        <v>15.050823239634383</v>
      </c>
      <c r="AF496" s="334">
        <f t="shared" si="239"/>
        <v>-104.36162755164293</v>
      </c>
      <c r="AH496">
        <f t="shared" si="240"/>
        <v>0</v>
      </c>
      <c r="AI496">
        <f t="shared" si="245"/>
        <v>0</v>
      </c>
    </row>
    <row r="497" spans="1:35" x14ac:dyDescent="0.2">
      <c r="A497" s="335">
        <v>63096</v>
      </c>
      <c r="B497" s="352">
        <f t="shared" si="241"/>
        <v>63.095999999999997</v>
      </c>
      <c r="C497" s="325">
        <f t="shared" si="216"/>
        <v>39.148912263476106</v>
      </c>
      <c r="D497" s="326">
        <f t="shared" si="217"/>
        <v>1.5452500543921424</v>
      </c>
      <c r="E497" s="326">
        <f t="shared" si="218"/>
        <v>1.0031384298068728</v>
      </c>
      <c r="F497" s="327">
        <f t="shared" si="219"/>
        <v>7.9123240723790636E-2</v>
      </c>
      <c r="G497" s="326">
        <f t="shared" si="220"/>
        <v>1</v>
      </c>
      <c r="H497" s="327">
        <f t="shared" si="221"/>
        <v>0</v>
      </c>
      <c r="I497" s="325">
        <f t="shared" si="222"/>
        <v>83744.77317556247</v>
      </c>
      <c r="J497" s="328">
        <f t="shared" si="223"/>
        <v>1.5707843857511501</v>
      </c>
      <c r="K497" s="336">
        <f t="shared" si="243"/>
        <v>15.861557459091623</v>
      </c>
      <c r="L497" s="337">
        <f t="shared" si="244"/>
        <v>1.5077089757346995</v>
      </c>
      <c r="M497" s="325">
        <f t="shared" si="224"/>
        <v>1.0115903047118346</v>
      </c>
      <c r="N497" s="337">
        <f t="shared" si="225"/>
        <v>0.15152197777359455</v>
      </c>
      <c r="O497" s="343">
        <f t="shared" si="226"/>
        <v>1.0650962983127756</v>
      </c>
      <c r="P497" s="691">
        <f t="shared" si="227"/>
        <v>0.35142758064822222</v>
      </c>
      <c r="Q497" s="336">
        <f t="shared" si="242"/>
        <v>6.8026183789792718</v>
      </c>
      <c r="R497" s="692">
        <f t="shared" si="228"/>
        <v>0.38622927114772715</v>
      </c>
      <c r="S497" s="329">
        <f t="shared" si="229"/>
        <v>1.0634007209349576</v>
      </c>
      <c r="T497" s="330">
        <f t="shared" si="230"/>
        <v>0.35690226027437294</v>
      </c>
      <c r="U497" s="331">
        <f t="shared" si="231"/>
        <v>-4.699797725421381</v>
      </c>
      <c r="V497" s="332">
        <f t="shared" si="232"/>
        <v>-118.74138660268684</v>
      </c>
      <c r="W497" s="334">
        <f t="shared" si="233"/>
        <v>61.258613397313155</v>
      </c>
      <c r="Y497" s="307">
        <f t="shared" si="234"/>
        <v>63096</v>
      </c>
      <c r="Z497" s="307">
        <f t="shared" si="235"/>
        <v>3981105216</v>
      </c>
      <c r="AB497" s="333">
        <f t="shared" si="236"/>
        <v>23.154893597881532</v>
      </c>
      <c r="AC497" s="334">
        <f t="shared" si="237"/>
        <v>-12.295524628951533</v>
      </c>
      <c r="AE497" s="333">
        <f t="shared" si="238"/>
        <v>14.995896698640374</v>
      </c>
      <c r="AF497" s="334">
        <f t="shared" si="239"/>
        <v>-104.45187198591466</v>
      </c>
      <c r="AH497">
        <f t="shared" si="240"/>
        <v>0</v>
      </c>
      <c r="AI497">
        <f t="shared" si="245"/>
        <v>0</v>
      </c>
    </row>
    <row r="498" spans="1:35" x14ac:dyDescent="0.2">
      <c r="A498" s="335">
        <v>63463.25</v>
      </c>
      <c r="B498" s="352">
        <f t="shared" si="241"/>
        <v>63.463250000000002</v>
      </c>
      <c r="C498" s="325">
        <f t="shared" si="216"/>
        <v>39.376630095123822</v>
      </c>
      <c r="D498" s="326">
        <f t="shared" si="217"/>
        <v>1.545397822156934</v>
      </c>
      <c r="E498" s="326">
        <f t="shared" si="218"/>
        <v>1.0031750125814598</v>
      </c>
      <c r="F498" s="327">
        <f t="shared" si="219"/>
        <v>7.9581840785438659E-2</v>
      </c>
      <c r="G498" s="326">
        <f t="shared" si="220"/>
        <v>1</v>
      </c>
      <c r="H498" s="327">
        <f t="shared" si="221"/>
        <v>0</v>
      </c>
      <c r="I498" s="325">
        <f t="shared" si="222"/>
        <v>84232.209272055959</v>
      </c>
      <c r="J498" s="328">
        <f t="shared" si="223"/>
        <v>1.5707844548517449</v>
      </c>
      <c r="K498" s="336">
        <f t="shared" si="243"/>
        <v>15.953513688337107</v>
      </c>
      <c r="L498" s="337">
        <f t="shared" si="244"/>
        <v>1.5080730909389479</v>
      </c>
      <c r="M498" s="325">
        <f t="shared" si="224"/>
        <v>1.0117248358751179</v>
      </c>
      <c r="N498" s="337">
        <f t="shared" si="225"/>
        <v>0.15239035845942947</v>
      </c>
      <c r="O498" s="343">
        <f t="shared" si="226"/>
        <v>1.0658328099968186</v>
      </c>
      <c r="P498" s="691">
        <f t="shared" si="227"/>
        <v>0.35330746257527684</v>
      </c>
      <c r="Q498" s="336">
        <f t="shared" si="242"/>
        <v>6.8081823707966613</v>
      </c>
      <c r="R498" s="692">
        <f t="shared" si="228"/>
        <v>0.38826276787497738</v>
      </c>
      <c r="S498" s="329">
        <f t="shared" si="229"/>
        <v>1.0641186806498042</v>
      </c>
      <c r="T498" s="330">
        <f t="shared" si="230"/>
        <v>0.35882019794629211</v>
      </c>
      <c r="U498" s="331">
        <f t="shared" si="231"/>
        <v>-4.7581717530616263</v>
      </c>
      <c r="V498" s="332">
        <f t="shared" si="232"/>
        <v>-118.87116468080241</v>
      </c>
      <c r="W498" s="334">
        <f t="shared" si="233"/>
        <v>61.128835319197592</v>
      </c>
      <c r="Y498" s="307">
        <f t="shared" si="234"/>
        <v>63463.25</v>
      </c>
      <c r="Z498" s="307">
        <f t="shared" si="235"/>
        <v>4027584100.5625</v>
      </c>
      <c r="AB498" s="333">
        <f t="shared" si="236"/>
        <v>23.153539329042481</v>
      </c>
      <c r="AC498" s="334">
        <f t="shared" si="237"/>
        <v>-12.324420872006037</v>
      </c>
      <c r="AE498" s="333">
        <f t="shared" si="238"/>
        <v>14.939974194109757</v>
      </c>
      <c r="AF498" s="334">
        <f t="shared" si="239"/>
        <v>-104.54395234124377</v>
      </c>
      <c r="AH498">
        <f t="shared" si="240"/>
        <v>0</v>
      </c>
      <c r="AI498">
        <f t="shared" si="245"/>
        <v>0</v>
      </c>
    </row>
    <row r="499" spans="1:35" x14ac:dyDescent="0.2">
      <c r="A499" s="335">
        <v>63830.5</v>
      </c>
      <c r="B499" s="352">
        <f t="shared" si="241"/>
        <v>63.830500000000001</v>
      </c>
      <c r="C499" s="325">
        <f t="shared" si="216"/>
        <v>39.604348776685136</v>
      </c>
      <c r="D499" s="326">
        <f t="shared" si="217"/>
        <v>1.5455438906427796</v>
      </c>
      <c r="E499" s="326">
        <f t="shared" si="218"/>
        <v>1.0032118063224</v>
      </c>
      <c r="F499" s="327">
        <f t="shared" si="219"/>
        <v>8.0040407304342559E-2</v>
      </c>
      <c r="G499" s="326">
        <f t="shared" si="220"/>
        <v>1</v>
      </c>
      <c r="H499" s="327">
        <f t="shared" si="221"/>
        <v>0</v>
      </c>
      <c r="I499" s="325">
        <f t="shared" si="222"/>
        <v>84719.645368549842</v>
      </c>
      <c r="J499" s="328">
        <f t="shared" si="223"/>
        <v>1.5707845231571964</v>
      </c>
      <c r="K499" s="336">
        <f t="shared" si="243"/>
        <v>16.045472008454038</v>
      </c>
      <c r="L499" s="337">
        <f t="shared" si="244"/>
        <v>1.5084330326239268</v>
      </c>
      <c r="M499" s="325">
        <f t="shared" si="224"/>
        <v>1.0118601297617353</v>
      </c>
      <c r="N499" s="337">
        <f t="shared" si="225"/>
        <v>0.15325850758072906</v>
      </c>
      <c r="O499" s="343">
        <f t="shared" si="226"/>
        <v>1.0665730830774336</v>
      </c>
      <c r="P499" s="691">
        <f t="shared" si="227"/>
        <v>0.35518474160122993</v>
      </c>
      <c r="Q499" s="336">
        <f t="shared" si="242"/>
        <v>6.8137740715695729</v>
      </c>
      <c r="R499" s="692">
        <f t="shared" si="228"/>
        <v>0.39029295918862655</v>
      </c>
      <c r="S499" s="329">
        <f t="shared" si="229"/>
        <v>1.0648403205029426</v>
      </c>
      <c r="T499" s="330">
        <f t="shared" si="230"/>
        <v>0.36073562336747711</v>
      </c>
      <c r="U499" s="331">
        <f t="shared" si="231"/>
        <v>-4.8162857326907602</v>
      </c>
      <c r="V499" s="332">
        <f t="shared" si="232"/>
        <v>-119.00088893870939</v>
      </c>
      <c r="W499" s="334">
        <f t="shared" si="233"/>
        <v>60.999111061290606</v>
      </c>
      <c r="Y499" s="307">
        <f t="shared" si="234"/>
        <v>63830.5</v>
      </c>
      <c r="Z499" s="307">
        <f t="shared" si="235"/>
        <v>4074332730.25</v>
      </c>
      <c r="AB499" s="333">
        <f t="shared" si="236"/>
        <v>23.152182086192816</v>
      </c>
      <c r="AC499" s="334">
        <f t="shared" si="237"/>
        <v>-12.353542926871746</v>
      </c>
      <c r="AE499" s="333">
        <f t="shared" si="238"/>
        <v>14.88431774820635</v>
      </c>
      <c r="AF499" s="334">
        <f t="shared" si="239"/>
        <v>-104.6357933155543</v>
      </c>
      <c r="AH499">
        <f t="shared" si="240"/>
        <v>0</v>
      </c>
      <c r="AI499">
        <f t="shared" si="245"/>
        <v>0</v>
      </c>
    </row>
    <row r="500" spans="1:35" x14ac:dyDescent="0.2">
      <c r="A500" s="335">
        <v>64197.75</v>
      </c>
      <c r="B500" s="352">
        <f t="shared" si="241"/>
        <v>64.197749999999999</v>
      </c>
      <c r="C500" s="325">
        <f t="shared" si="216"/>
        <v>39.832068293583269</v>
      </c>
      <c r="D500" s="326">
        <f t="shared" si="217"/>
        <v>1.5456882889876722</v>
      </c>
      <c r="E500" s="326">
        <f t="shared" si="218"/>
        <v>1.0032488110064821</v>
      </c>
      <c r="F500" s="327">
        <f t="shared" si="219"/>
        <v>8.0498940091345797E-2</v>
      </c>
      <c r="G500" s="326">
        <f t="shared" si="220"/>
        <v>1</v>
      </c>
      <c r="H500" s="327">
        <f t="shared" si="221"/>
        <v>0</v>
      </c>
      <c r="I500" s="325">
        <f t="shared" si="222"/>
        <v>85207.081465044103</v>
      </c>
      <c r="J500" s="328">
        <f t="shared" si="223"/>
        <v>1.5707845906811508</v>
      </c>
      <c r="K500" s="336">
        <f t="shared" si="243"/>
        <v>16.137432383698258</v>
      </c>
      <c r="L500" s="337">
        <f t="shared" si="244"/>
        <v>1.5087888720449061</v>
      </c>
      <c r="M500" s="325">
        <f t="shared" si="224"/>
        <v>1.0119961860657816</v>
      </c>
      <c r="N500" s="337">
        <f t="shared" si="225"/>
        <v>0.15412642392201231</v>
      </c>
      <c r="O500" s="343">
        <f t="shared" si="226"/>
        <v>1.0673171097280978</v>
      </c>
      <c r="P500" s="691">
        <f t="shared" si="227"/>
        <v>0.3570594099241457</v>
      </c>
      <c r="Q500" s="336">
        <f t="shared" si="242"/>
        <v>6.8193934131505269</v>
      </c>
      <c r="R500" s="692">
        <f t="shared" si="228"/>
        <v>0.39231983685998173</v>
      </c>
      <c r="S500" s="329">
        <f t="shared" si="229"/>
        <v>1.0655656330466106</v>
      </c>
      <c r="T500" s="330">
        <f t="shared" si="230"/>
        <v>0.36264852883651533</v>
      </c>
      <c r="U500" s="331">
        <f t="shared" si="231"/>
        <v>-4.8741429030520589</v>
      </c>
      <c r="V500" s="332">
        <f t="shared" si="232"/>
        <v>-119.13055643953332</v>
      </c>
      <c r="W500" s="334">
        <f t="shared" si="233"/>
        <v>60.869443560466678</v>
      </c>
      <c r="Y500" s="307">
        <f t="shared" si="234"/>
        <v>64197.75</v>
      </c>
      <c r="Z500" s="307">
        <f t="shared" si="235"/>
        <v>4121351105.0625</v>
      </c>
      <c r="AB500" s="333">
        <f t="shared" si="236"/>
        <v>23.150821796767641</v>
      </c>
      <c r="AC500" s="334">
        <f t="shared" si="237"/>
        <v>-12.382886642062356</v>
      </c>
      <c r="AE500" s="333">
        <f t="shared" si="238"/>
        <v>14.828924152236791</v>
      </c>
      <c r="AF500" s="334">
        <f t="shared" si="239"/>
        <v>-104.72739614790972</v>
      </c>
      <c r="AH500">
        <f t="shared" si="240"/>
        <v>0</v>
      </c>
      <c r="AI500">
        <f t="shared" si="245"/>
        <v>0</v>
      </c>
    </row>
    <row r="501" spans="1:35" x14ac:dyDescent="0.2">
      <c r="A501" s="335">
        <v>64565</v>
      </c>
      <c r="B501" s="352">
        <f t="shared" si="241"/>
        <v>64.564999999999998</v>
      </c>
      <c r="C501" s="325">
        <f t="shared" si="216"/>
        <v>40.059788631572829</v>
      </c>
      <c r="D501" s="326">
        <f t="shared" si="217"/>
        <v>1.5458310456673452</v>
      </c>
      <c r="E501" s="326">
        <f t="shared" si="218"/>
        <v>1.0032860266103651</v>
      </c>
      <c r="F501" s="327">
        <f t="shared" si="219"/>
        <v>8.0957438957376393E-2</v>
      </c>
      <c r="G501" s="326">
        <f t="shared" si="220"/>
        <v>1</v>
      </c>
      <c r="H501" s="327">
        <f t="shared" si="221"/>
        <v>0</v>
      </c>
      <c r="I501" s="325">
        <f t="shared" si="222"/>
        <v>85694.517561538756</v>
      </c>
      <c r="J501" s="328">
        <f t="shared" si="223"/>
        <v>1.5707846574369437</v>
      </c>
      <c r="K501" s="336">
        <f t="shared" si="243"/>
        <v>16.229394779134946</v>
      </c>
      <c r="L501" s="337">
        <f t="shared" si="244"/>
        <v>1.5091406788463186</v>
      </c>
      <c r="M501" s="325">
        <f t="shared" si="224"/>
        <v>1.0121330044797918</v>
      </c>
      <c r="N501" s="337">
        <f t="shared" si="225"/>
        <v>0.15499410626985266</v>
      </c>
      <c r="O501" s="343">
        <f t="shared" si="226"/>
        <v>1.0680648821044669</v>
      </c>
      <c r="P501" s="691">
        <f t="shared" si="227"/>
        <v>0.35893145983717234</v>
      </c>
      <c r="Q501" s="336">
        <f t="shared" si="242"/>
        <v>6.8250403272801794</v>
      </c>
      <c r="R501" s="692">
        <f t="shared" si="228"/>
        <v>0.39434339279473418</v>
      </c>
      <c r="S501" s="329">
        <f t="shared" si="229"/>
        <v>1.0662946108154767</v>
      </c>
      <c r="T501" s="330">
        <f t="shared" si="230"/>
        <v>0.3645589067422273</v>
      </c>
      <c r="U501" s="331">
        <f t="shared" si="231"/>
        <v>-4.9317464438860723</v>
      </c>
      <c r="V501" s="332">
        <f t="shared" si="232"/>
        <v>-119.2601643082665</v>
      </c>
      <c r="W501" s="334">
        <f t="shared" si="233"/>
        <v>60.739835691733504</v>
      </c>
      <c r="Y501" s="307">
        <f t="shared" si="234"/>
        <v>64565</v>
      </c>
      <c r="Z501" s="307">
        <f t="shared" si="235"/>
        <v>4168639225</v>
      </c>
      <c r="AB501" s="333">
        <f t="shared" si="236"/>
        <v>23.14945839042462</v>
      </c>
      <c r="AC501" s="334">
        <f t="shared" si="237"/>
        <v>-12.412447958485647</v>
      </c>
      <c r="AE501" s="333">
        <f t="shared" si="238"/>
        <v>14.77379025438972</v>
      </c>
      <c r="AF501" s="334">
        <f t="shared" si="239"/>
        <v>-104.81876204459392</v>
      </c>
      <c r="AH501">
        <f t="shared" si="240"/>
        <v>0</v>
      </c>
      <c r="AI501">
        <f t="shared" si="245"/>
        <v>0</v>
      </c>
    </row>
    <row r="502" spans="1:35" x14ac:dyDescent="0.2">
      <c r="A502" s="335">
        <v>64941</v>
      </c>
      <c r="B502" s="352">
        <f t="shared" si="241"/>
        <v>64.941000000000003</v>
      </c>
      <c r="C502" s="325">
        <f t="shared" si="216"/>
        <v>40.29293540939014</v>
      </c>
      <c r="D502" s="326">
        <f t="shared" si="217"/>
        <v>1.5459755318872426</v>
      </c>
      <c r="E502" s="326">
        <f t="shared" si="218"/>
        <v>1.0033243473963793</v>
      </c>
      <c r="F502" s="327">
        <f t="shared" si="219"/>
        <v>8.1426826554177462E-2</v>
      </c>
      <c r="G502" s="326">
        <f t="shared" si="220"/>
        <v>1</v>
      </c>
      <c r="H502" s="327">
        <f t="shared" si="221"/>
        <v>0</v>
      </c>
      <c r="I502" s="325">
        <f t="shared" si="222"/>
        <v>86193.567179733815</v>
      </c>
      <c r="J502" s="328">
        <f t="shared" si="223"/>
        <v>1.5707847250010187</v>
      </c>
      <c r="K502" s="336">
        <f t="shared" si="243"/>
        <v>16.323550303250318</v>
      </c>
      <c r="L502" s="337">
        <f t="shared" si="244"/>
        <v>1.5094967608997003</v>
      </c>
      <c r="M502" s="325">
        <f t="shared" si="224"/>
        <v>1.0122738719329509</v>
      </c>
      <c r="N502" s="337">
        <f t="shared" si="225"/>
        <v>0.15588221809718306</v>
      </c>
      <c r="O502" s="343">
        <f t="shared" si="226"/>
        <v>1.0688343431509404</v>
      </c>
      <c r="P502" s="691">
        <f t="shared" si="227"/>
        <v>0.36084539202977911</v>
      </c>
      <c r="Q502" s="336">
        <f t="shared" si="242"/>
        <v>6.8308502776562792</v>
      </c>
      <c r="R502" s="692">
        <f t="shared" si="228"/>
        <v>0.39641171172505485</v>
      </c>
      <c r="S502" s="329">
        <f t="shared" si="229"/>
        <v>1.067044746454866</v>
      </c>
      <c r="T502" s="330">
        <f t="shared" si="230"/>
        <v>0.36651217433390665</v>
      </c>
      <c r="U502" s="331">
        <f t="shared" si="231"/>
        <v>-4.9904629252620287</v>
      </c>
      <c r="V502" s="332">
        <f t="shared" si="232"/>
        <v>-119.39279546026904</v>
      </c>
      <c r="W502" s="334">
        <f t="shared" si="233"/>
        <v>60.607204539730958</v>
      </c>
      <c r="Y502" s="307">
        <f t="shared" si="234"/>
        <v>64941</v>
      </c>
      <c r="Z502" s="307">
        <f t="shared" si="235"/>
        <v>4217333481</v>
      </c>
      <c r="AB502" s="333">
        <f t="shared" si="236"/>
        <v>23.148059199532518</v>
      </c>
      <c r="AC502" s="334">
        <f t="shared" si="237"/>
        <v>-12.442934890279382</v>
      </c>
      <c r="AE502" s="333">
        <f t="shared" si="238"/>
        <v>14.717608571271469</v>
      </c>
      <c r="AF502" s="334">
        <f t="shared" si="239"/>
        <v>-104.91206055630887</v>
      </c>
      <c r="AH502">
        <f t="shared" si="240"/>
        <v>0</v>
      </c>
      <c r="AI502">
        <f t="shared" si="245"/>
        <v>0</v>
      </c>
    </row>
    <row r="503" spans="1:35" x14ac:dyDescent="0.2">
      <c r="A503" s="335">
        <v>65317</v>
      </c>
      <c r="B503" s="352">
        <f t="shared" si="241"/>
        <v>65.316999999999993</v>
      </c>
      <c r="C503" s="325">
        <f t="shared" si="216"/>
        <v>40.52608301869509</v>
      </c>
      <c r="D503" s="326">
        <f t="shared" si="217"/>
        <v>1.5461183556441338</v>
      </c>
      <c r="E503" s="326">
        <f t="shared" si="218"/>
        <v>1.0033628892226318</v>
      </c>
      <c r="F503" s="327">
        <f t="shared" si="219"/>
        <v>8.1896178193539906E-2</v>
      </c>
      <c r="G503" s="326">
        <f t="shared" si="220"/>
        <v>1</v>
      </c>
      <c r="H503" s="327">
        <f t="shared" si="221"/>
        <v>0</v>
      </c>
      <c r="I503" s="325">
        <f t="shared" si="222"/>
        <v>86692.616797929251</v>
      </c>
      <c r="J503" s="328">
        <f t="shared" si="223"/>
        <v>1.5707847917872229</v>
      </c>
      <c r="K503" s="336">
        <f t="shared" si="243"/>
        <v>16.417707873360914</v>
      </c>
      <c r="L503" s="337">
        <f t="shared" si="244"/>
        <v>1.5098487586487095</v>
      </c>
      <c r="M503" s="325">
        <f t="shared" si="224"/>
        <v>1.0124155375871016</v>
      </c>
      <c r="N503" s="337">
        <f t="shared" si="225"/>
        <v>0.15677008208056911</v>
      </c>
      <c r="O503" s="343">
        <f t="shared" si="226"/>
        <v>1.0696077138418769</v>
      </c>
      <c r="P503" s="691">
        <f t="shared" si="227"/>
        <v>0.36275656351031393</v>
      </c>
      <c r="Q503" s="336">
        <f t="shared" si="242"/>
        <v>6.8366889849537147</v>
      </c>
      <c r="R503" s="692">
        <f t="shared" si="228"/>
        <v>0.39847653200589994</v>
      </c>
      <c r="S503" s="329">
        <f t="shared" si="229"/>
        <v>1.0677987081613114</v>
      </c>
      <c r="T503" s="330">
        <f t="shared" si="230"/>
        <v>0.36846277662811006</v>
      </c>
      <c r="U503" s="331">
        <f t="shared" si="231"/>
        <v>-5.0489201092183507</v>
      </c>
      <c r="V503" s="332">
        <f t="shared" si="232"/>
        <v>-119.52535819779405</v>
      </c>
      <c r="W503" s="334">
        <f t="shared" si="233"/>
        <v>60.474641802205952</v>
      </c>
      <c r="Y503" s="307">
        <f t="shared" si="234"/>
        <v>65317</v>
      </c>
      <c r="Z503" s="307">
        <f t="shared" si="235"/>
        <v>4266310489</v>
      </c>
      <c r="AB503" s="333">
        <f t="shared" si="236"/>
        <v>23.14665659902397</v>
      </c>
      <c r="AC503" s="334">
        <f t="shared" si="237"/>
        <v>-12.473641590495456</v>
      </c>
      <c r="AE503" s="333">
        <f t="shared" si="238"/>
        <v>14.661692599557892</v>
      </c>
      <c r="AF503" s="334">
        <f t="shared" si="239"/>
        <v>-105.00511316582265</v>
      </c>
      <c r="AH503">
        <f t="shared" si="240"/>
        <v>0</v>
      </c>
      <c r="AI503">
        <f t="shared" si="245"/>
        <v>0</v>
      </c>
    </row>
    <row r="504" spans="1:35" x14ac:dyDescent="0.2">
      <c r="A504" s="335">
        <v>65693</v>
      </c>
      <c r="B504" s="352">
        <f t="shared" si="241"/>
        <v>65.692999999999998</v>
      </c>
      <c r="C504" s="325">
        <f t="shared" si="216"/>
        <v>40.759231445219037</v>
      </c>
      <c r="D504" s="326">
        <f t="shared" si="217"/>
        <v>1.5462595454606942</v>
      </c>
      <c r="E504" s="326">
        <f t="shared" si="218"/>
        <v>1.0034016520636511</v>
      </c>
      <c r="F504" s="327">
        <f t="shared" si="219"/>
        <v>8.2365493672831372E-2</v>
      </c>
      <c r="G504" s="326">
        <f t="shared" si="220"/>
        <v>1</v>
      </c>
      <c r="H504" s="327">
        <f t="shared" si="221"/>
        <v>0</v>
      </c>
      <c r="I504" s="325">
        <f t="shared" si="222"/>
        <v>87191.666416125066</v>
      </c>
      <c r="J504" s="328">
        <f t="shared" si="223"/>
        <v>1.570784857808913</v>
      </c>
      <c r="K504" s="336">
        <f t="shared" si="243"/>
        <v>16.511867454465385</v>
      </c>
      <c r="L504" s="337">
        <f t="shared" si="244"/>
        <v>1.5101967418780888</v>
      </c>
      <c r="M504" s="325">
        <f t="shared" si="224"/>
        <v>1.0125580011072173</v>
      </c>
      <c r="N504" s="337">
        <f t="shared" si="225"/>
        <v>0.1576576969245217</v>
      </c>
      <c r="O504" s="343">
        <f t="shared" si="226"/>
        <v>1.0703849857029306</v>
      </c>
      <c r="P504" s="691">
        <f t="shared" si="227"/>
        <v>0.364664966316529</v>
      </c>
      <c r="Q504" s="336">
        <f t="shared" si="242"/>
        <v>6.8425563755736469</v>
      </c>
      <c r="R504" s="692">
        <f t="shared" si="228"/>
        <v>0.40053784538548354</v>
      </c>
      <c r="S504" s="329">
        <f t="shared" si="229"/>
        <v>1.0685564878679066</v>
      </c>
      <c r="T504" s="330">
        <f t="shared" si="230"/>
        <v>0.37041070574963036</v>
      </c>
      <c r="U504" s="331">
        <f t="shared" si="231"/>
        <v>-5.1071212248258524</v>
      </c>
      <c r="V504" s="332">
        <f t="shared" si="232"/>
        <v>-119.65784962704275</v>
      </c>
      <c r="W504" s="334">
        <f t="shared" si="233"/>
        <v>60.342150372957249</v>
      </c>
      <c r="Y504" s="307">
        <f t="shared" si="234"/>
        <v>65693</v>
      </c>
      <c r="Z504" s="307">
        <f t="shared" si="235"/>
        <v>4315570249</v>
      </c>
      <c r="AB504" s="333">
        <f t="shared" si="236"/>
        <v>23.145250520174269</v>
      </c>
      <c r="AC504" s="334">
        <f t="shared" si="237"/>
        <v>-12.504563987301863</v>
      </c>
      <c r="AE504" s="333">
        <f t="shared" si="238"/>
        <v>14.606039133736207</v>
      </c>
      <c r="AF504" s="334">
        <f t="shared" si="239"/>
        <v>-105.09792106775802</v>
      </c>
      <c r="AH504">
        <f t="shared" si="240"/>
        <v>0</v>
      </c>
      <c r="AI504">
        <f t="shared" si="245"/>
        <v>0</v>
      </c>
    </row>
    <row r="505" spans="1:35" x14ac:dyDescent="0.2">
      <c r="A505" s="335">
        <v>66069</v>
      </c>
      <c r="B505" s="352">
        <f t="shared" si="241"/>
        <v>66.069000000000003</v>
      </c>
      <c r="C505" s="325">
        <f t="shared" si="216"/>
        <v>40.992380675017941</v>
      </c>
      <c r="D505" s="326">
        <f t="shared" si="217"/>
        <v>1.5463991292109587</v>
      </c>
      <c r="E505" s="326">
        <f t="shared" si="218"/>
        <v>1.0034406358938239</v>
      </c>
      <c r="F505" s="327">
        <f t="shared" si="219"/>
        <v>8.2834772789514385E-2</v>
      </c>
      <c r="G505" s="326">
        <f t="shared" si="220"/>
        <v>1</v>
      </c>
      <c r="H505" s="327">
        <f t="shared" si="221"/>
        <v>0</v>
      </c>
      <c r="I505" s="325">
        <f t="shared" si="222"/>
        <v>87690.716034321289</v>
      </c>
      <c r="J505" s="328">
        <f t="shared" si="223"/>
        <v>1.5707849230791415</v>
      </c>
      <c r="K505" s="336">
        <f t="shared" si="243"/>
        <v>16.606029012355481</v>
      </c>
      <c r="L505" s="337">
        <f t="shared" si="244"/>
        <v>1.5105407787937133</v>
      </c>
      <c r="M505" s="325">
        <f t="shared" si="224"/>
        <v>1.0127012621565752</v>
      </c>
      <c r="N505" s="337">
        <f t="shared" si="225"/>
        <v>0.158545061335849</v>
      </c>
      <c r="O505" s="343">
        <f t="shared" si="226"/>
        <v>1.0711661502416661</v>
      </c>
      <c r="P505" s="691">
        <f t="shared" si="227"/>
        <v>0.36657059258989644</v>
      </c>
      <c r="Q505" s="336">
        <f t="shared" si="242"/>
        <v>6.8484523758085265</v>
      </c>
      <c r="R505" s="692">
        <f t="shared" si="228"/>
        <v>0.40259564375772328</v>
      </c>
      <c r="S505" s="329">
        <f t="shared" si="229"/>
        <v>1.0693180774898425</v>
      </c>
      <c r="T505" s="330">
        <f t="shared" si="230"/>
        <v>0.37235595392176662</v>
      </c>
      <c r="U505" s="331">
        <f t="shared" si="231"/>
        <v>-5.1650694421449721</v>
      </c>
      <c r="V505" s="332">
        <f t="shared" si="232"/>
        <v>-119.79026691567307</v>
      </c>
      <c r="W505" s="334">
        <f t="shared" si="233"/>
        <v>60.209733084326928</v>
      </c>
      <c r="Y505" s="307">
        <f t="shared" si="234"/>
        <v>66069</v>
      </c>
      <c r="Z505" s="307">
        <f t="shared" si="235"/>
        <v>4365112761</v>
      </c>
      <c r="AB505" s="333">
        <f t="shared" si="236"/>
        <v>23.143840896390273</v>
      </c>
      <c r="AC505" s="334">
        <f t="shared" si="237"/>
        <v>-12.535698099443255</v>
      </c>
      <c r="AE505" s="333">
        <f t="shared" si="238"/>
        <v>14.550645025297079</v>
      </c>
      <c r="AF505" s="334">
        <f t="shared" si="239"/>
        <v>-105.19048542521193</v>
      </c>
      <c r="AH505">
        <f t="shared" si="240"/>
        <v>0</v>
      </c>
      <c r="AI505">
        <f t="shared" si="245"/>
        <v>0</v>
      </c>
    </row>
    <row r="506" spans="1:35" x14ac:dyDescent="0.2">
      <c r="A506" s="335">
        <v>66453.75</v>
      </c>
      <c r="B506" s="352">
        <f t="shared" si="241"/>
        <v>66.453749999999999</v>
      </c>
      <c r="C506" s="325">
        <f t="shared" si="216"/>
        <v>41.230956402348248</v>
      </c>
      <c r="D506" s="326">
        <f t="shared" si="217"/>
        <v>1.546540327106408</v>
      </c>
      <c r="E506" s="326">
        <f t="shared" si="218"/>
        <v>1.003480755663664</v>
      </c>
      <c r="F506" s="327">
        <f t="shared" si="219"/>
        <v>8.331493477737284E-2</v>
      </c>
      <c r="G506" s="326">
        <f t="shared" si="220"/>
        <v>1</v>
      </c>
      <c r="H506" s="327">
        <f t="shared" si="221"/>
        <v>0</v>
      </c>
      <c r="I506" s="325">
        <f t="shared" si="222"/>
        <v>88201.379174217902</v>
      </c>
      <c r="J506" s="328">
        <f t="shared" si="223"/>
        <v>1.570784989103702</v>
      </c>
      <c r="K506" s="336">
        <f t="shared" si="243"/>
        <v>16.702383841350692</v>
      </c>
      <c r="L506" s="337">
        <f t="shared" si="244"/>
        <v>1.5108888062945629</v>
      </c>
      <c r="M506" s="325">
        <f t="shared" si="224"/>
        <v>1.012848682304867</v>
      </c>
      <c r="N506" s="337">
        <f t="shared" si="225"/>
        <v>0.15945281526091995</v>
      </c>
      <c r="O506" s="343">
        <f t="shared" si="226"/>
        <v>1.0719695142115844</v>
      </c>
      <c r="P506" s="691">
        <f t="shared" si="227"/>
        <v>0.36851768292503173</v>
      </c>
      <c r="Q506" s="336">
        <f t="shared" si="242"/>
        <v>6.8545151225282179</v>
      </c>
      <c r="R506" s="692">
        <f t="shared" si="228"/>
        <v>0.40469768276388385</v>
      </c>
      <c r="S506" s="329">
        <f t="shared" si="229"/>
        <v>1.0701013257613392</v>
      </c>
      <c r="T506" s="330">
        <f t="shared" si="230"/>
        <v>0.3743436872336296</v>
      </c>
      <c r="U506" s="331">
        <f t="shared" si="231"/>
        <v>-5.2241076403466362</v>
      </c>
      <c r="V506" s="332">
        <f t="shared" si="232"/>
        <v>-119.925686083103</v>
      </c>
      <c r="W506" s="334">
        <f t="shared" si="233"/>
        <v>60.074313916896998</v>
      </c>
      <c r="Y506" s="307">
        <f t="shared" si="234"/>
        <v>66453.75</v>
      </c>
      <c r="Z506" s="307">
        <f t="shared" si="235"/>
        <v>4416100889.0625</v>
      </c>
      <c r="AB506" s="333">
        <f t="shared" si="236"/>
        <v>23.142394731915708</v>
      </c>
      <c r="AC506" s="334">
        <f t="shared" si="237"/>
        <v>-12.567771844198401</v>
      </c>
      <c r="AE506" s="333">
        <f t="shared" si="238"/>
        <v>14.494227080114294</v>
      </c>
      <c r="AF506" s="334">
        <f t="shared" si="239"/>
        <v>-105.28495294298565</v>
      </c>
      <c r="AH506">
        <f t="shared" si="240"/>
        <v>0</v>
      </c>
      <c r="AI506">
        <f t="shared" si="245"/>
        <v>0</v>
      </c>
    </row>
    <row r="507" spans="1:35" x14ac:dyDescent="0.2">
      <c r="A507" s="335">
        <v>66838.5</v>
      </c>
      <c r="B507" s="352">
        <f t="shared" si="241"/>
        <v>66.838499999999996</v>
      </c>
      <c r="C507" s="325">
        <f t="shared" si="216"/>
        <v>41.469532942235588</v>
      </c>
      <c r="D507" s="326">
        <f t="shared" si="217"/>
        <v>1.5466799003658509</v>
      </c>
      <c r="E507" s="326">
        <f t="shared" si="218"/>
        <v>1.0035211067730163</v>
      </c>
      <c r="F507" s="327">
        <f t="shared" si="219"/>
        <v>8.3795058261745881E-2</v>
      </c>
      <c r="G507" s="326">
        <f t="shared" si="220"/>
        <v>1</v>
      </c>
      <c r="H507" s="327">
        <f t="shared" si="221"/>
        <v>0</v>
      </c>
      <c r="I507" s="325">
        <f t="shared" si="222"/>
        <v>88712.042314114908</v>
      </c>
      <c r="J507" s="328">
        <f t="shared" si="223"/>
        <v>1.5707850543681332</v>
      </c>
      <c r="K507" s="336">
        <f t="shared" si="243"/>
        <v>16.798740670183243</v>
      </c>
      <c r="L507" s="337">
        <f t="shared" si="244"/>
        <v>1.5112328412961749</v>
      </c>
      <c r="M507" s="325">
        <f t="shared" si="224"/>
        <v>1.0129969368145637</v>
      </c>
      <c r="N507" s="337">
        <f t="shared" si="225"/>
        <v>0.16036030422970601</v>
      </c>
      <c r="O507" s="343">
        <f t="shared" si="226"/>
        <v>1.0727769360945159</v>
      </c>
      <c r="P507" s="691">
        <f t="shared" si="227"/>
        <v>0.37046184967986323</v>
      </c>
      <c r="Q507" s="336">
        <f t="shared" si="242"/>
        <v>6.8606076694356206</v>
      </c>
      <c r="R507" s="692">
        <f t="shared" si="228"/>
        <v>0.40679602455366276</v>
      </c>
      <c r="S507" s="329">
        <f t="shared" si="229"/>
        <v>1.0708885461507858</v>
      </c>
      <c r="T507" s="330">
        <f t="shared" si="230"/>
        <v>0.37632859720588208</v>
      </c>
      <c r="U507" s="331">
        <f t="shared" si="231"/>
        <v>-5.2828875652845708</v>
      </c>
      <c r="V507" s="332">
        <f t="shared" si="232"/>
        <v>-120.06102180923463</v>
      </c>
      <c r="W507" s="334">
        <f t="shared" si="233"/>
        <v>59.938978190765368</v>
      </c>
      <c r="Y507" s="307">
        <f t="shared" si="234"/>
        <v>66838.5</v>
      </c>
      <c r="Z507" s="307">
        <f t="shared" si="235"/>
        <v>4467385082.25</v>
      </c>
      <c r="AB507" s="333">
        <f t="shared" si="236"/>
        <v>23.140944721049106</v>
      </c>
      <c r="AC507" s="334">
        <f t="shared" si="237"/>
        <v>-12.600059117880724</v>
      </c>
      <c r="AE507" s="333">
        <f t="shared" si="238"/>
        <v>14.43807421094742</v>
      </c>
      <c r="AF507" s="334">
        <f t="shared" si="239"/>
        <v>-105.37916781661608</v>
      </c>
      <c r="AH507">
        <f t="shared" si="240"/>
        <v>0</v>
      </c>
      <c r="AI507">
        <f t="shared" si="245"/>
        <v>0</v>
      </c>
    </row>
    <row r="508" spans="1:35" x14ac:dyDescent="0.2">
      <c r="A508" s="335">
        <v>67223.25</v>
      </c>
      <c r="B508" s="352">
        <f t="shared" si="241"/>
        <v>67.223249999999993</v>
      </c>
      <c r="C508" s="325">
        <f t="shared" si="216"/>
        <v>41.708110280736129</v>
      </c>
      <c r="D508" s="326">
        <f t="shared" si="217"/>
        <v>1.546817876863368</v>
      </c>
      <c r="E508" s="326">
        <f t="shared" si="218"/>
        <v>1.0035616891939756</v>
      </c>
      <c r="F508" s="327">
        <f t="shared" si="219"/>
        <v>8.4275143025936625E-2</v>
      </c>
      <c r="G508" s="326">
        <f t="shared" si="220"/>
        <v>1</v>
      </c>
      <c r="H508" s="327">
        <f t="shared" si="221"/>
        <v>0</v>
      </c>
      <c r="I508" s="325">
        <f t="shared" si="222"/>
        <v>89222.705454012292</v>
      </c>
      <c r="J508" s="328">
        <f t="shared" si="223"/>
        <v>1.5707851188854869</v>
      </c>
      <c r="K508" s="336">
        <f t="shared" si="243"/>
        <v>16.895099464636473</v>
      </c>
      <c r="L508" s="337">
        <f t="shared" si="244"/>
        <v>1.5115729520283572</v>
      </c>
      <c r="M508" s="325">
        <f t="shared" si="224"/>
        <v>1.0131460253193862</v>
      </c>
      <c r="N508" s="337">
        <f t="shared" si="225"/>
        <v>0.16126752686415038</v>
      </c>
      <c r="O508" s="343">
        <f t="shared" si="226"/>
        <v>1.0735884067348631</v>
      </c>
      <c r="P508" s="691">
        <f t="shared" si="227"/>
        <v>0.37240308477023182</v>
      </c>
      <c r="Q508" s="336">
        <f t="shared" si="242"/>
        <v>6.8667299372264035</v>
      </c>
      <c r="R508" s="692">
        <f t="shared" si="228"/>
        <v>0.40889066091212828</v>
      </c>
      <c r="S508" s="329">
        <f t="shared" si="229"/>
        <v>1.071679729939792</v>
      </c>
      <c r="T508" s="330">
        <f t="shared" si="230"/>
        <v>0.37831067582528732</v>
      </c>
      <c r="U508" s="331">
        <f t="shared" si="231"/>
        <v>-5.3414124304484121</v>
      </c>
      <c r="V508" s="332">
        <f t="shared" si="232"/>
        <v>-120.19627124944449</v>
      </c>
      <c r="W508" s="334">
        <f t="shared" si="233"/>
        <v>59.803728750555507</v>
      </c>
      <c r="Y508" s="307">
        <f t="shared" si="234"/>
        <v>67223.25</v>
      </c>
      <c r="Z508" s="307">
        <f t="shared" si="235"/>
        <v>4518965340.5625</v>
      </c>
      <c r="AB508" s="333">
        <f t="shared" si="236"/>
        <v>23.139490798916434</v>
      </c>
      <c r="AC508" s="334">
        <f t="shared" si="237"/>
        <v>-12.632555933001182</v>
      </c>
      <c r="AE508" s="333">
        <f t="shared" si="238"/>
        <v>14.382183221345798</v>
      </c>
      <c r="AF508" s="334">
        <f t="shared" si="239"/>
        <v>-105.47313119646155</v>
      </c>
      <c r="AH508">
        <f t="shared" si="240"/>
        <v>0</v>
      </c>
      <c r="AI508">
        <f t="shared" si="245"/>
        <v>0</v>
      </c>
    </row>
    <row r="509" spans="1:35" x14ac:dyDescent="0.2">
      <c r="A509" s="335">
        <v>67608</v>
      </c>
      <c r="B509" s="352">
        <f t="shared" si="241"/>
        <v>67.608000000000004</v>
      </c>
      <c r="C509" s="325">
        <f t="shared" si="216"/>
        <v>41.946688404223217</v>
      </c>
      <c r="D509" s="326">
        <f t="shared" si="217"/>
        <v>1.5469542838391344</v>
      </c>
      <c r="E509" s="326">
        <f t="shared" si="218"/>
        <v>1.0036025028984812</v>
      </c>
      <c r="F509" s="327">
        <f t="shared" si="219"/>
        <v>8.4755188853354507E-2</v>
      </c>
      <c r="G509" s="326">
        <f t="shared" si="220"/>
        <v>1</v>
      </c>
      <c r="H509" s="327">
        <f t="shared" si="221"/>
        <v>0</v>
      </c>
      <c r="I509" s="325">
        <f t="shared" si="222"/>
        <v>89733.36859391004</v>
      </c>
      <c r="J509" s="328">
        <f t="shared" si="223"/>
        <v>1.5707851826685177</v>
      </c>
      <c r="K509" s="336">
        <f t="shared" si="243"/>
        <v>16.991460191269201</v>
      </c>
      <c r="L509" s="337">
        <f t="shared" si="244"/>
        <v>1.5119092051768377</v>
      </c>
      <c r="M509" s="325">
        <f t="shared" si="224"/>
        <v>1.013295947451212</v>
      </c>
      <c r="N509" s="337">
        <f t="shared" si="225"/>
        <v>0.16217448178875876</v>
      </c>
      <c r="O509" s="343">
        <f t="shared" si="226"/>
        <v>1.074403916958848</v>
      </c>
      <c r="P509" s="691">
        <f t="shared" si="227"/>
        <v>0.37434138022472074</v>
      </c>
      <c r="Q509" s="336">
        <f t="shared" si="242"/>
        <v>6.8728818464926462</v>
      </c>
      <c r="R509" s="692">
        <f t="shared" si="228"/>
        <v>0.410981583781727</v>
      </c>
      <c r="S509" s="329">
        <f t="shared" si="229"/>
        <v>1.0724748683918901</v>
      </c>
      <c r="T509" s="330">
        <f t="shared" si="230"/>
        <v>0.38028991518577321</v>
      </c>
      <c r="U509" s="331">
        <f t="shared" si="231"/>
        <v>-5.3996853904422517</v>
      </c>
      <c r="V509" s="332">
        <f t="shared" si="232"/>
        <v>-120.33143162007958</v>
      </c>
      <c r="W509" s="334">
        <f t="shared" si="233"/>
        <v>59.668568379920416</v>
      </c>
      <c r="Y509" s="307">
        <f t="shared" si="234"/>
        <v>67608</v>
      </c>
      <c r="Z509" s="307">
        <f t="shared" si="235"/>
        <v>4570841664</v>
      </c>
      <c r="AB509" s="333">
        <f t="shared" si="236"/>
        <v>23.138032902683797</v>
      </c>
      <c r="AC509" s="334">
        <f t="shared" si="237"/>
        <v>-12.665258390669768</v>
      </c>
      <c r="AE509" s="333">
        <f t="shared" si="238"/>
        <v>14.326550971854184</v>
      </c>
      <c r="AF509" s="334">
        <f t="shared" si="239"/>
        <v>-105.5668442026943</v>
      </c>
      <c r="AH509">
        <f t="shared" si="240"/>
        <v>0</v>
      </c>
      <c r="AI509">
        <f t="shared" si="245"/>
        <v>0</v>
      </c>
    </row>
    <row r="510" spans="1:35" x14ac:dyDescent="0.2">
      <c r="A510" s="335">
        <v>68001.75</v>
      </c>
      <c r="B510" s="352">
        <f t="shared" si="241"/>
        <v>68.001750000000001</v>
      </c>
      <c r="C510" s="325">
        <f t="shared" si="216"/>
        <v>42.190848101378329</v>
      </c>
      <c r="D510" s="326">
        <f t="shared" si="217"/>
        <v>1.5470922843761725</v>
      </c>
      <c r="E510" s="326">
        <f t="shared" si="218"/>
        <v>1.0036445107421181</v>
      </c>
      <c r="F510" s="327">
        <f t="shared" si="219"/>
        <v>8.5246423283420331E-2</v>
      </c>
      <c r="G510" s="326">
        <f t="shared" si="220"/>
        <v>1</v>
      </c>
      <c r="H510" s="327">
        <f t="shared" si="221"/>
        <v>0</v>
      </c>
      <c r="I510" s="325">
        <f t="shared" si="222"/>
        <v>90255.977070413952</v>
      </c>
      <c r="J510" s="328">
        <f t="shared" si="223"/>
        <v>1.5707852471962653</v>
      </c>
      <c r="K510" s="336">
        <f t="shared" si="243"/>
        <v>17.090076936388005</v>
      </c>
      <c r="L510" s="337">
        <f t="shared" si="244"/>
        <v>1.5122493979104827</v>
      </c>
      <c r="M510" s="325">
        <f t="shared" si="224"/>
        <v>1.0134502392525917</v>
      </c>
      <c r="N510" s="337">
        <f t="shared" si="225"/>
        <v>0.16310237342429804</v>
      </c>
      <c r="O510" s="343">
        <f t="shared" si="226"/>
        <v>1.0752426762830998</v>
      </c>
      <c r="P510" s="691">
        <f t="shared" si="227"/>
        <v>0.37632196413890801</v>
      </c>
      <c r="Q510" s="336">
        <f t="shared" si="242"/>
        <v>6.8792082667444374</v>
      </c>
      <c r="R510" s="692">
        <f t="shared" si="228"/>
        <v>0.41311756408210537</v>
      </c>
      <c r="S510" s="329">
        <f t="shared" si="229"/>
        <v>1.0732926919445209</v>
      </c>
      <c r="T510" s="330">
        <f t="shared" si="230"/>
        <v>0.3823125047469314</v>
      </c>
      <c r="U510" s="331">
        <f t="shared" si="231"/>
        <v>-5.4590638790054014</v>
      </c>
      <c r="V510" s="332">
        <f t="shared" si="232"/>
        <v>-120.46965857547863</v>
      </c>
      <c r="W510" s="334">
        <f t="shared" si="233"/>
        <v>59.530341424521367</v>
      </c>
      <c r="Y510" s="307">
        <f t="shared" si="234"/>
        <v>68001.75</v>
      </c>
      <c r="Z510" s="307">
        <f t="shared" si="235"/>
        <v>4624238003.0625</v>
      </c>
      <c r="AB510" s="333">
        <f t="shared" si="236"/>
        <v>23.136536725492547</v>
      </c>
      <c r="AC510" s="334">
        <f t="shared" si="237"/>
        <v>-12.698934754578861</v>
      </c>
      <c r="AE510" s="333">
        <f t="shared" si="238"/>
        <v>14.269882055329697</v>
      </c>
      <c r="AF510" s="334">
        <f t="shared" si="239"/>
        <v>-105.66249123709372</v>
      </c>
      <c r="AH510">
        <f t="shared" si="240"/>
        <v>0</v>
      </c>
      <c r="AI510">
        <f t="shared" si="245"/>
        <v>0</v>
      </c>
    </row>
    <row r="511" spans="1:35" x14ac:dyDescent="0.2">
      <c r="A511" s="335">
        <v>68395.5</v>
      </c>
      <c r="B511" s="352">
        <f t="shared" si="241"/>
        <v>68.395499999999998</v>
      </c>
      <c r="C511" s="325">
        <f t="shared" si="216"/>
        <v>42.435008592776086</v>
      </c>
      <c r="D511" s="326">
        <f t="shared" si="217"/>
        <v>1.5472286968742086</v>
      </c>
      <c r="E511" s="326">
        <f t="shared" si="218"/>
        <v>1.0036867607561744</v>
      </c>
      <c r="F511" s="327">
        <f t="shared" si="219"/>
        <v>8.5737616475157971E-2</v>
      </c>
      <c r="G511" s="326">
        <f t="shared" si="220"/>
        <v>1</v>
      </c>
      <c r="H511" s="327">
        <f t="shared" si="221"/>
        <v>0</v>
      </c>
      <c r="I511" s="325">
        <f t="shared" si="222"/>
        <v>90778.585546918242</v>
      </c>
      <c r="J511" s="328">
        <f t="shared" si="223"/>
        <v>1.5707853109810459</v>
      </c>
      <c r="K511" s="336">
        <f t="shared" si="243"/>
        <v>17.188695636664928</v>
      </c>
      <c r="L511" s="337">
        <f t="shared" si="244"/>
        <v>1.5125856870280943</v>
      </c>
      <c r="M511" s="325">
        <f t="shared" si="224"/>
        <v>1.0136054033512016</v>
      </c>
      <c r="N511" s="337">
        <f t="shared" si="225"/>
        <v>0.16402998177245293</v>
      </c>
      <c r="O511" s="343">
        <f t="shared" si="226"/>
        <v>1.0760856468904785</v>
      </c>
      <c r="P511" s="691">
        <f t="shared" si="227"/>
        <v>0.37829945274966353</v>
      </c>
      <c r="Q511" s="336">
        <f t="shared" si="242"/>
        <v>6.8855655628328263</v>
      </c>
      <c r="R511" s="692">
        <f t="shared" si="228"/>
        <v>0.41524963855806774</v>
      </c>
      <c r="S511" s="329">
        <f t="shared" si="229"/>
        <v>1.0741146387673346</v>
      </c>
      <c r="T511" s="330">
        <f t="shared" si="230"/>
        <v>0.38433210425327818</v>
      </c>
      <c r="U511" s="331">
        <f t="shared" si="231"/>
        <v>-5.5181850415969684</v>
      </c>
      <c r="V511" s="332">
        <f t="shared" si="232"/>
        <v>-120.6077865357575</v>
      </c>
      <c r="W511" s="334">
        <f t="shared" si="233"/>
        <v>59.392213464242502</v>
      </c>
      <c r="Y511" s="307">
        <f t="shared" si="234"/>
        <v>68395.5</v>
      </c>
      <c r="Z511" s="307">
        <f t="shared" si="235"/>
        <v>4677944420.25</v>
      </c>
      <c r="AB511" s="333">
        <f t="shared" si="236"/>
        <v>23.135036259203371</v>
      </c>
      <c r="AC511" s="334">
        <f t="shared" si="237"/>
        <v>-12.732818505471359</v>
      </c>
      <c r="AE511" s="333">
        <f t="shared" si="238"/>
        <v>14.213477649563552</v>
      </c>
      <c r="AF511" s="334">
        <f t="shared" si="239"/>
        <v>-105.75787832882125</v>
      </c>
      <c r="AH511">
        <f t="shared" si="240"/>
        <v>0</v>
      </c>
      <c r="AI511">
        <f t="shared" si="245"/>
        <v>0</v>
      </c>
    </row>
    <row r="512" spans="1:35" x14ac:dyDescent="0.2">
      <c r="A512" s="335">
        <v>68789.25</v>
      </c>
      <c r="B512" s="352">
        <f t="shared" si="241"/>
        <v>68.789249999999996</v>
      </c>
      <c r="C512" s="325">
        <f t="shared" si="216"/>
        <v>42.679169864785287</v>
      </c>
      <c r="D512" s="326">
        <f t="shared" si="217"/>
        <v>1.5473635485829369</v>
      </c>
      <c r="E512" s="326">
        <f t="shared" si="218"/>
        <v>1.0037292529100694</v>
      </c>
      <c r="F512" s="327">
        <f t="shared" si="219"/>
        <v>8.6228768196768904E-2</v>
      </c>
      <c r="G512" s="326">
        <f t="shared" si="220"/>
        <v>1</v>
      </c>
      <c r="H512" s="327">
        <f t="shared" si="221"/>
        <v>0</v>
      </c>
      <c r="I512" s="325">
        <f t="shared" si="222"/>
        <v>91301.194023422897</v>
      </c>
      <c r="J512" s="328">
        <f t="shared" si="223"/>
        <v>1.5707853740356177</v>
      </c>
      <c r="K512" s="336">
        <f t="shared" si="243"/>
        <v>17.287316258639279</v>
      </c>
      <c r="L512" s="337">
        <f t="shared" si="244"/>
        <v>1.5129181392609572</v>
      </c>
      <c r="M512" s="325">
        <f t="shared" si="224"/>
        <v>1.0137614393465064</v>
      </c>
      <c r="N512" s="337">
        <f t="shared" si="225"/>
        <v>0.16495730536733486</v>
      </c>
      <c r="O512" s="343">
        <f t="shared" si="226"/>
        <v>1.0769328188918217</v>
      </c>
      <c r="P512" s="691">
        <f t="shared" si="227"/>
        <v>0.38027383787796692</v>
      </c>
      <c r="Q512" s="336">
        <f t="shared" si="242"/>
        <v>6.8919536493344857</v>
      </c>
      <c r="R512" s="692">
        <f t="shared" si="228"/>
        <v>0.41737779908109907</v>
      </c>
      <c r="S512" s="329">
        <f t="shared" si="229"/>
        <v>1.0749406994400674</v>
      </c>
      <c r="T512" s="330">
        <f t="shared" si="230"/>
        <v>0.3863487055779225</v>
      </c>
      <c r="U512" s="331">
        <f t="shared" si="231"/>
        <v>-5.5770520766591947</v>
      </c>
      <c r="V512" s="332">
        <f t="shared" si="232"/>
        <v>-120.74581270606781</v>
      </c>
      <c r="W512" s="334">
        <f t="shared" si="233"/>
        <v>59.254187293932191</v>
      </c>
      <c r="Y512" s="307">
        <f t="shared" si="234"/>
        <v>68789.25</v>
      </c>
      <c r="Z512" s="307">
        <f t="shared" si="235"/>
        <v>4731960915.5625</v>
      </c>
      <c r="AB512" s="333">
        <f t="shared" si="236"/>
        <v>23.133531442671522</v>
      </c>
      <c r="AC512" s="334">
        <f t="shared" si="237"/>
        <v>-12.766905736668038</v>
      </c>
      <c r="AE512" s="333">
        <f t="shared" si="238"/>
        <v>14.157334566657209</v>
      </c>
      <c r="AF512" s="334">
        <f t="shared" si="239"/>
        <v>-105.85300658681393</v>
      </c>
      <c r="AH512">
        <f t="shared" si="240"/>
        <v>0</v>
      </c>
      <c r="AI512">
        <f t="shared" si="245"/>
        <v>0</v>
      </c>
    </row>
    <row r="513" spans="1:35" x14ac:dyDescent="0.2">
      <c r="A513" s="335">
        <v>69183</v>
      </c>
      <c r="B513" s="352">
        <f t="shared" si="241"/>
        <v>69.183000000000007</v>
      </c>
      <c r="C513" s="325">
        <f t="shared" si="216"/>
        <v>42.923331904084847</v>
      </c>
      <c r="D513" s="326">
        <f t="shared" si="217"/>
        <v>1.5474968661322601</v>
      </c>
      <c r="E513" s="326">
        <f t="shared" si="218"/>
        <v>1.0037719871730517</v>
      </c>
      <c r="F513" s="327">
        <f t="shared" si="219"/>
        <v>8.6719878216573773E-2</v>
      </c>
      <c r="G513" s="326">
        <f t="shared" si="220"/>
        <v>1</v>
      </c>
      <c r="H513" s="327">
        <f t="shared" si="221"/>
        <v>0</v>
      </c>
      <c r="I513" s="325">
        <f t="shared" si="222"/>
        <v>91823.802499927915</v>
      </c>
      <c r="J513" s="328">
        <f t="shared" si="223"/>
        <v>1.5707854363724485</v>
      </c>
      <c r="K513" s="336">
        <f t="shared" si="243"/>
        <v>17.385938769608941</v>
      </c>
      <c r="L513" s="337">
        <f t="shared" si="244"/>
        <v>1.5132468198296489</v>
      </c>
      <c r="M513" s="325">
        <f t="shared" si="224"/>
        <v>1.0139183468359667</v>
      </c>
      <c r="N513" s="337">
        <f t="shared" si="225"/>
        <v>0.16588434274591413</v>
      </c>
      <c r="O513" s="343">
        <f t="shared" si="226"/>
        <v>1.0777841823798489</v>
      </c>
      <c r="P513" s="691">
        <f t="shared" si="227"/>
        <v>0.38224511146723278</v>
      </c>
      <c r="Q513" s="336">
        <f t="shared" si="242"/>
        <v>6.8983724407295588</v>
      </c>
      <c r="R513" s="692">
        <f t="shared" si="228"/>
        <v>0.4195020376924663</v>
      </c>
      <c r="S513" s="329">
        <f t="shared" si="229"/>
        <v>1.0757708645243442</v>
      </c>
      <c r="T513" s="330">
        <f t="shared" si="230"/>
        <v>0.38836230071045202</v>
      </c>
      <c r="U513" s="331">
        <f t="shared" si="231"/>
        <v>-5.6356681238503405</v>
      </c>
      <c r="V513" s="332">
        <f t="shared" si="232"/>
        <v>-120.88373435213359</v>
      </c>
      <c r="W513" s="334">
        <f t="shared" si="233"/>
        <v>59.116265647866413</v>
      </c>
      <c r="Y513" s="307">
        <f t="shared" si="234"/>
        <v>69183</v>
      </c>
      <c r="Z513" s="307">
        <f t="shared" si="235"/>
        <v>4786287489</v>
      </c>
      <c r="AB513" s="333">
        <f t="shared" si="236"/>
        <v>23.132022216706154</v>
      </c>
      <c r="AC513" s="334">
        <f t="shared" si="237"/>
        <v>-12.801192628194009</v>
      </c>
      <c r="AE513" s="333">
        <f t="shared" si="238"/>
        <v>14.101449675720854</v>
      </c>
      <c r="AF513" s="334">
        <f t="shared" si="239"/>
        <v>-105.94787709116422</v>
      </c>
      <c r="AH513">
        <f t="shared" si="240"/>
        <v>0</v>
      </c>
      <c r="AI513">
        <f t="shared" si="245"/>
        <v>0</v>
      </c>
    </row>
    <row r="514" spans="1:35" x14ac:dyDescent="0.2">
      <c r="A514" s="335">
        <v>69586</v>
      </c>
      <c r="B514" s="352">
        <f t="shared" si="241"/>
        <v>69.585999999999999</v>
      </c>
      <c r="C514" s="325">
        <f t="shared" si="216"/>
        <v>43.173230594468023</v>
      </c>
      <c r="D514" s="326">
        <f t="shared" si="217"/>
        <v>1.5476317541017448</v>
      </c>
      <c r="E514" s="326">
        <f t="shared" si="218"/>
        <v>1.0038159760271401</v>
      </c>
      <c r="F514" s="327">
        <f t="shared" si="219"/>
        <v>8.7222481999679982E-2</v>
      </c>
      <c r="G514" s="326">
        <f t="shared" si="220"/>
        <v>1</v>
      </c>
      <c r="H514" s="327">
        <f t="shared" si="221"/>
        <v>0</v>
      </c>
      <c r="I514" s="325">
        <f t="shared" si="222"/>
        <v>92358.688127944828</v>
      </c>
      <c r="J514" s="328">
        <f t="shared" si="223"/>
        <v>1.5707854994431847</v>
      </c>
      <c r="K514" s="336">
        <f t="shared" si="243"/>
        <v>17.486880049594326</v>
      </c>
      <c r="L514" s="337">
        <f t="shared" si="244"/>
        <v>1.5135793826965429</v>
      </c>
      <c r="M514" s="325">
        <f t="shared" si="224"/>
        <v>1.0140798424283635</v>
      </c>
      <c r="N514" s="337">
        <f t="shared" si="225"/>
        <v>0.16683286024061486</v>
      </c>
      <c r="O514" s="343">
        <f t="shared" si="226"/>
        <v>1.0786598761382744</v>
      </c>
      <c r="P514" s="691">
        <f t="shared" si="227"/>
        <v>0.3842594640186171</v>
      </c>
      <c r="Q514" s="336">
        <f t="shared" si="242"/>
        <v>6.9049737287803366</v>
      </c>
      <c r="R514" s="692">
        <f t="shared" si="228"/>
        <v>0.42167210972912084</v>
      </c>
      <c r="S514" s="329">
        <f t="shared" si="229"/>
        <v>1.0766247722065785</v>
      </c>
      <c r="T514" s="330">
        <f t="shared" si="230"/>
        <v>0.39042007815567636</v>
      </c>
      <c r="U514" s="331">
        <f t="shared" si="231"/>
        <v>-5.6954044978312046</v>
      </c>
      <c r="V514" s="332">
        <f t="shared" si="232"/>
        <v>-121.02478503442838</v>
      </c>
      <c r="W514" s="334">
        <f t="shared" si="233"/>
        <v>58.975214965571624</v>
      </c>
      <c r="Y514" s="307">
        <f t="shared" si="234"/>
        <v>69586</v>
      </c>
      <c r="Z514" s="307">
        <f t="shared" si="235"/>
        <v>4842211396</v>
      </c>
      <c r="AB514" s="333">
        <f t="shared" si="236"/>
        <v>23.130472910088034</v>
      </c>
      <c r="AC514" s="334">
        <f t="shared" si="237"/>
        <v>-12.836487842466203</v>
      </c>
      <c r="AE514" s="333">
        <f t="shared" si="238"/>
        <v>14.044516085795868</v>
      </c>
      <c r="AF514" s="334">
        <f t="shared" si="239"/>
        <v>-106.04471048988269</v>
      </c>
      <c r="AH514">
        <f t="shared" si="240"/>
        <v>0</v>
      </c>
      <c r="AI514">
        <f t="shared" si="245"/>
        <v>0</v>
      </c>
    </row>
    <row r="515" spans="1:35" x14ac:dyDescent="0.2">
      <c r="A515" s="335">
        <v>69989</v>
      </c>
      <c r="B515" s="352">
        <f t="shared" si="241"/>
        <v>69.989000000000004</v>
      </c>
      <c r="C515" s="325">
        <f t="shared" si="216"/>
        <v>43.423130061336593</v>
      </c>
      <c r="D515" s="326">
        <f t="shared" si="217"/>
        <v>1.5477650895171207</v>
      </c>
      <c r="E515" s="326">
        <f t="shared" si="218"/>
        <v>1.0038602184334866</v>
      </c>
      <c r="F515" s="327">
        <f t="shared" si="219"/>
        <v>8.7725041607941714E-2</v>
      </c>
      <c r="G515" s="326">
        <f t="shared" si="220"/>
        <v>1</v>
      </c>
      <c r="H515" s="327">
        <f t="shared" si="221"/>
        <v>0</v>
      </c>
      <c r="I515" s="325">
        <f t="shared" si="222"/>
        <v>92893.573755962119</v>
      </c>
      <c r="J515" s="328">
        <f t="shared" si="223"/>
        <v>1.5707855617875921</v>
      </c>
      <c r="K515" s="336">
        <f t="shared" si="243"/>
        <v>17.587823241394933</v>
      </c>
      <c r="L515" s="337">
        <f t="shared" si="244"/>
        <v>1.5139081281904607</v>
      </c>
      <c r="M515" s="325">
        <f t="shared" si="224"/>
        <v>1.0142422500826045</v>
      </c>
      <c r="N515" s="337">
        <f t="shared" si="225"/>
        <v>0.16778107482150176</v>
      </c>
      <c r="O515" s="343">
        <f t="shared" si="226"/>
        <v>1.0795399395734737</v>
      </c>
      <c r="P515" s="691">
        <f t="shared" si="227"/>
        <v>0.38627054043483977</v>
      </c>
      <c r="Q515" s="336">
        <f t="shared" si="242"/>
        <v>6.9116069997462395</v>
      </c>
      <c r="R515" s="692">
        <f t="shared" si="228"/>
        <v>0.42383805709364808</v>
      </c>
      <c r="S515" s="329">
        <f t="shared" si="229"/>
        <v>1.0774829593450717</v>
      </c>
      <c r="T515" s="330">
        <f t="shared" si="230"/>
        <v>0.39247468989937401</v>
      </c>
      <c r="U515" s="331">
        <f t="shared" si="231"/>
        <v>-5.7548844252832252</v>
      </c>
      <c r="V515" s="332">
        <f t="shared" si="232"/>
        <v>-121.16572061609547</v>
      </c>
      <c r="W515" s="334">
        <f t="shared" si="233"/>
        <v>58.83427938390453</v>
      </c>
      <c r="Y515" s="307">
        <f t="shared" si="234"/>
        <v>69989</v>
      </c>
      <c r="Z515" s="307">
        <f t="shared" si="235"/>
        <v>4898460121</v>
      </c>
      <c r="AB515" s="333">
        <f t="shared" si="236"/>
        <v>23.128918864956034</v>
      </c>
      <c r="AC515" s="334">
        <f t="shared" si="237"/>
        <v>-12.871984378800343</v>
      </c>
      <c r="AE515" s="333">
        <f t="shared" si="238"/>
        <v>13.987846502134669</v>
      </c>
      <c r="AF515" s="334">
        <f t="shared" si="239"/>
        <v>-106.14127608349844</v>
      </c>
      <c r="AH515">
        <f t="shared" si="240"/>
        <v>0</v>
      </c>
      <c r="AI515">
        <f t="shared" si="245"/>
        <v>0</v>
      </c>
    </row>
    <row r="516" spans="1:35" x14ac:dyDescent="0.2">
      <c r="A516" s="335">
        <v>70392</v>
      </c>
      <c r="B516" s="352">
        <f t="shared" si="241"/>
        <v>70.391999999999996</v>
      </c>
      <c r="C516" s="325">
        <f t="shared" si="216"/>
        <v>43.673030291361272</v>
      </c>
      <c r="D516" s="326">
        <f t="shared" si="217"/>
        <v>1.5478968990250856</v>
      </c>
      <c r="E516" s="326">
        <f t="shared" si="218"/>
        <v>1.0039047143585689</v>
      </c>
      <c r="F516" s="327">
        <f t="shared" si="219"/>
        <v>8.8227556793357156E-2</v>
      </c>
      <c r="G516" s="326">
        <f t="shared" si="220"/>
        <v>1</v>
      </c>
      <c r="H516" s="327">
        <f t="shared" si="221"/>
        <v>0</v>
      </c>
      <c r="I516" s="325">
        <f t="shared" si="222"/>
        <v>93428.45938397976</v>
      </c>
      <c r="J516" s="328">
        <f t="shared" si="223"/>
        <v>1.5707856234181459</v>
      </c>
      <c r="K516" s="336">
        <f t="shared" si="243"/>
        <v>17.688768312280715</v>
      </c>
      <c r="L516" s="337">
        <f t="shared" si="244"/>
        <v>1.51423312159391</v>
      </c>
      <c r="M516" s="325">
        <f t="shared" si="224"/>
        <v>1.0144055693606229</v>
      </c>
      <c r="N516" s="337">
        <f t="shared" si="225"/>
        <v>0.16872898492937666</v>
      </c>
      <c r="O516" s="343">
        <f t="shared" si="226"/>
        <v>1.080424362007441</v>
      </c>
      <c r="P516" s="691">
        <f t="shared" si="227"/>
        <v>0.38827833247427934</v>
      </c>
      <c r="Q516" s="336">
        <f t="shared" si="242"/>
        <v>6.918272161651295</v>
      </c>
      <c r="R516" s="692">
        <f t="shared" si="228"/>
        <v>0.4259998718006735</v>
      </c>
      <c r="S516" s="329">
        <f t="shared" si="229"/>
        <v>1.078345415764393</v>
      </c>
      <c r="T516" s="330">
        <f t="shared" si="230"/>
        <v>0.39452612773032075</v>
      </c>
      <c r="U516" s="331">
        <f t="shared" si="231"/>
        <v>-5.8141110898799777</v>
      </c>
      <c r="V516" s="332">
        <f t="shared" si="232"/>
        <v>-121.30653835326804</v>
      </c>
      <c r="W516" s="334">
        <f t="shared" si="233"/>
        <v>58.693461646731961</v>
      </c>
      <c r="Y516" s="307">
        <f t="shared" si="234"/>
        <v>70392</v>
      </c>
      <c r="Z516" s="307">
        <f t="shared" si="235"/>
        <v>4955033664</v>
      </c>
      <c r="AB516" s="333">
        <f t="shared" si="236"/>
        <v>23.127360023791926</v>
      </c>
      <c r="AC516" s="334">
        <f t="shared" si="237"/>
        <v>-12.907678408163536</v>
      </c>
      <c r="AE516" s="333">
        <f t="shared" si="238"/>
        <v>13.931437745125308</v>
      </c>
      <c r="AF516" s="334">
        <f t="shared" si="239"/>
        <v>-106.23757494249574</v>
      </c>
      <c r="AH516">
        <f t="shared" si="240"/>
        <v>0</v>
      </c>
      <c r="AI516">
        <f t="shared" si="245"/>
        <v>0</v>
      </c>
    </row>
    <row r="517" spans="1:35" x14ac:dyDescent="0.2">
      <c r="A517" s="335">
        <v>70795</v>
      </c>
      <c r="B517" s="352">
        <f t="shared" si="241"/>
        <v>70.795000000000002</v>
      </c>
      <c r="C517" s="325">
        <f t="shared" si="216"/>
        <v>43.922931271516084</v>
      </c>
      <c r="D517" s="326">
        <f t="shared" si="217"/>
        <v>1.5480272086661233</v>
      </c>
      <c r="E517" s="326">
        <f t="shared" si="218"/>
        <v>1.0039494637686783</v>
      </c>
      <c r="F517" s="327">
        <f t="shared" si="219"/>
        <v>8.8730027308058027E-2</v>
      </c>
      <c r="G517" s="326">
        <f t="shared" si="220"/>
        <v>1</v>
      </c>
      <c r="H517" s="327">
        <f t="shared" si="221"/>
        <v>0</v>
      </c>
      <c r="I517" s="325">
        <f t="shared" si="222"/>
        <v>93963.345011997764</v>
      </c>
      <c r="J517" s="328">
        <f t="shared" si="223"/>
        <v>1.5707856843470369</v>
      </c>
      <c r="K517" s="336">
        <f t="shared" si="243"/>
        <v>17.789715230263909</v>
      </c>
      <c r="L517" s="337">
        <f t="shared" si="244"/>
        <v>1.5145544267108402</v>
      </c>
      <c r="M517" s="325">
        <f t="shared" si="224"/>
        <v>1.0145697998221759</v>
      </c>
      <c r="N517" s="337">
        <f t="shared" si="225"/>
        <v>0.16967658900823121</v>
      </c>
      <c r="O517" s="343">
        <f t="shared" si="226"/>
        <v>1.0813131327443022</v>
      </c>
      <c r="P517" s="691">
        <f t="shared" si="227"/>
        <v>0.39028283202813152</v>
      </c>
      <c r="Q517" s="336">
        <f t="shared" si="242"/>
        <v>6.9249691224323087</v>
      </c>
      <c r="R517" s="692">
        <f t="shared" si="228"/>
        <v>0.42815754604773298</v>
      </c>
      <c r="S517" s="329">
        <f t="shared" si="229"/>
        <v>1.0792121312711327</v>
      </c>
      <c r="T517" s="330">
        <f t="shared" si="230"/>
        <v>0.39657438356376201</v>
      </c>
      <c r="U517" s="331">
        <f t="shared" si="231"/>
        <v>-5.8730876165956634</v>
      </c>
      <c r="V517" s="332">
        <f t="shared" si="232"/>
        <v>-121.44723556233623</v>
      </c>
      <c r="W517" s="334">
        <f t="shared" si="233"/>
        <v>58.552764437663768</v>
      </c>
      <c r="Y517" s="307">
        <f t="shared" si="234"/>
        <v>70795</v>
      </c>
      <c r="Z517" s="307">
        <f t="shared" si="235"/>
        <v>5011932025</v>
      </c>
      <c r="AB517" s="333">
        <f t="shared" si="236"/>
        <v>23.125796330949836</v>
      </c>
      <c r="AC517" s="334">
        <f t="shared" si="237"/>
        <v>-12.943566186404539</v>
      </c>
      <c r="AE517" s="333">
        <f t="shared" si="238"/>
        <v>13.875286692193605</v>
      </c>
      <c r="AF517" s="334">
        <f t="shared" si="239"/>
        <v>-106.33360810986392</v>
      </c>
      <c r="AH517">
        <f t="shared" si="240"/>
        <v>0</v>
      </c>
      <c r="AI517">
        <f t="shared" si="245"/>
        <v>0</v>
      </c>
    </row>
    <row r="518" spans="1:35" x14ac:dyDescent="0.2">
      <c r="A518" s="335">
        <v>71207.25</v>
      </c>
      <c r="B518" s="352">
        <f t="shared" si="241"/>
        <v>71.207250000000002</v>
      </c>
      <c r="C518" s="325">
        <f t="shared" si="216"/>
        <v>44.178568955164607</v>
      </c>
      <c r="D518" s="326">
        <f t="shared" si="217"/>
        <v>1.5481589839163425</v>
      </c>
      <c r="E518" s="326">
        <f t="shared" si="218"/>
        <v>1.0039955025492133</v>
      </c>
      <c r="F518" s="327">
        <f t="shared" si="219"/>
        <v>8.9243984476169116E-2</v>
      </c>
      <c r="G518" s="326">
        <f t="shared" si="220"/>
        <v>1</v>
      </c>
      <c r="H518" s="327">
        <f t="shared" si="221"/>
        <v>0</v>
      </c>
      <c r="I518" s="325">
        <f t="shared" si="222"/>
        <v>94510.507791527678</v>
      </c>
      <c r="J518" s="328">
        <f t="shared" si="223"/>
        <v>1.570785745960835</v>
      </c>
      <c r="K518" s="336">
        <f t="shared" si="243"/>
        <v>17.892981046660552</v>
      </c>
      <c r="L518" s="337">
        <f t="shared" si="244"/>
        <v>1.5148793554699205</v>
      </c>
      <c r="M518" s="325">
        <f t="shared" si="224"/>
        <v>1.0147387421751408</v>
      </c>
      <c r="N518" s="337">
        <f t="shared" si="225"/>
        <v>0.1706456250398343</v>
      </c>
      <c r="O518" s="343">
        <f t="shared" si="226"/>
        <v>1.0822267912931973</v>
      </c>
      <c r="P518" s="691">
        <f t="shared" si="227"/>
        <v>0.39232992554051244</v>
      </c>
      <c r="Q518" s="336">
        <f t="shared" si="242"/>
        <v>6.9318526035659218</v>
      </c>
      <c r="R518" s="692">
        <f t="shared" si="228"/>
        <v>0.43036045302815057</v>
      </c>
      <c r="S518" s="329">
        <f t="shared" si="229"/>
        <v>1.0801031365725624</v>
      </c>
      <c r="T518" s="330">
        <f t="shared" si="230"/>
        <v>0.39866635202689321</v>
      </c>
      <c r="U518" s="331">
        <f t="shared" si="231"/>
        <v>-5.9331622050686406</v>
      </c>
      <c r="V518" s="332">
        <f t="shared" si="232"/>
        <v>-121.59103472800064</v>
      </c>
      <c r="W518" s="334">
        <f t="shared" si="233"/>
        <v>58.408965271999364</v>
      </c>
      <c r="Y518" s="307">
        <f t="shared" si="234"/>
        <v>71207.25</v>
      </c>
      <c r="Z518" s="307">
        <f t="shared" si="235"/>
        <v>5070472452.5625</v>
      </c>
      <c r="AB518" s="333">
        <f t="shared" si="236"/>
        <v>23.124191670780188</v>
      </c>
      <c r="AC518" s="334">
        <f t="shared" si="237"/>
        <v>-12.980474344926538</v>
      </c>
      <c r="AE518" s="333">
        <f t="shared" si="238"/>
        <v>13.818110259708137</v>
      </c>
      <c r="AF518" s="334">
        <f t="shared" si="239"/>
        <v>-106.43157166288631</v>
      </c>
      <c r="AH518">
        <f t="shared" si="240"/>
        <v>0</v>
      </c>
      <c r="AI518">
        <f t="shared" si="245"/>
        <v>0</v>
      </c>
    </row>
    <row r="519" spans="1:35" x14ac:dyDescent="0.2">
      <c r="A519" s="335">
        <v>71619.5</v>
      </c>
      <c r="B519" s="352">
        <f t="shared" si="241"/>
        <v>71.619500000000002</v>
      </c>
      <c r="C519" s="325">
        <f t="shared" si="216"/>
        <v>44.434207397134365</v>
      </c>
      <c r="D519" s="326">
        <f t="shared" si="217"/>
        <v>1.5482892429126731</v>
      </c>
      <c r="E519" s="326">
        <f t="shared" si="218"/>
        <v>1.0040418065127767</v>
      </c>
      <c r="F519" s="327">
        <f t="shared" si="219"/>
        <v>8.9757894375113612E-2</v>
      </c>
      <c r="G519" s="326">
        <f t="shared" si="220"/>
        <v>1</v>
      </c>
      <c r="H519" s="327">
        <f t="shared" si="221"/>
        <v>0</v>
      </c>
      <c r="I519" s="325">
        <f t="shared" si="222"/>
        <v>95057.67057105797</v>
      </c>
      <c r="J519" s="328">
        <f t="shared" si="223"/>
        <v>1.5707858068653211</v>
      </c>
      <c r="K519" s="336">
        <f t="shared" si="243"/>
        <v>17.996248730494514</v>
      </c>
      <c r="L519" s="337">
        <f t="shared" si="244"/>
        <v>1.5152005551920631</v>
      </c>
      <c r="M519" s="325">
        <f t="shared" si="224"/>
        <v>1.0149086370813167</v>
      </c>
      <c r="N519" s="337">
        <f t="shared" si="225"/>
        <v>0.17161433754909883</v>
      </c>
      <c r="O519" s="343">
        <f t="shared" si="226"/>
        <v>1.0831449773507378</v>
      </c>
      <c r="P519" s="691">
        <f t="shared" si="227"/>
        <v>0.39437355694716159</v>
      </c>
      <c r="Q519" s="336">
        <f t="shared" si="242"/>
        <v>6.9387691649315446</v>
      </c>
      <c r="R519" s="692">
        <f t="shared" si="228"/>
        <v>0.43255901136176567</v>
      </c>
      <c r="S519" s="329">
        <f t="shared" si="229"/>
        <v>1.0809985770878354</v>
      </c>
      <c r="T519" s="330">
        <f t="shared" si="230"/>
        <v>0.40075497403340371</v>
      </c>
      <c r="U519" s="331">
        <f t="shared" si="231"/>
        <v>-5.9929814741077809</v>
      </c>
      <c r="V519" s="332">
        <f t="shared" si="232"/>
        <v>-121.73470227511075</v>
      </c>
      <c r="W519" s="334">
        <f t="shared" si="233"/>
        <v>58.265297724889251</v>
      </c>
      <c r="Y519" s="307">
        <f t="shared" si="234"/>
        <v>71619.5</v>
      </c>
      <c r="Z519" s="307">
        <f t="shared" si="235"/>
        <v>5129352780.25</v>
      </c>
      <c r="AB519" s="333">
        <f t="shared" si="236"/>
        <v>23.122581821594956</v>
      </c>
      <c r="AC519" s="334">
        <f t="shared" si="237"/>
        <v>-13.017577584421781</v>
      </c>
      <c r="AE519" s="333">
        <f t="shared" si="238"/>
        <v>13.761197064207861</v>
      </c>
      <c r="AF519" s="334">
        <f t="shared" si="239"/>
        <v>-106.52925931144298</v>
      </c>
      <c r="AH519">
        <f t="shared" si="240"/>
        <v>0</v>
      </c>
      <c r="AI519">
        <f t="shared" si="245"/>
        <v>0</v>
      </c>
    </row>
    <row r="520" spans="1:35" x14ac:dyDescent="0.2">
      <c r="A520" s="335">
        <v>72031.75</v>
      </c>
      <c r="B520" s="352">
        <f t="shared" si="241"/>
        <v>72.031750000000002</v>
      </c>
      <c r="C520" s="325">
        <f t="shared" si="216"/>
        <v>44.689846584411939</v>
      </c>
      <c r="D520" s="326">
        <f t="shared" si="217"/>
        <v>1.5484180116709227</v>
      </c>
      <c r="E520" s="326">
        <f t="shared" si="218"/>
        <v>1.0040883756226813</v>
      </c>
      <c r="F520" s="327">
        <f t="shared" si="219"/>
        <v>9.0271756739999195E-2</v>
      </c>
      <c r="G520" s="326">
        <f t="shared" si="220"/>
        <v>1</v>
      </c>
      <c r="H520" s="327">
        <f t="shared" si="221"/>
        <v>0</v>
      </c>
      <c r="I520" s="325">
        <f t="shared" si="222"/>
        <v>95604.833350588597</v>
      </c>
      <c r="J520" s="328">
        <f t="shared" si="223"/>
        <v>1.5707858670726738</v>
      </c>
      <c r="K520" s="336">
        <f t="shared" si="243"/>
        <v>18.099518249801534</v>
      </c>
      <c r="L520" s="337">
        <f t="shared" si="244"/>
        <v>1.5155180896401585</v>
      </c>
      <c r="M520" s="325">
        <f t="shared" si="224"/>
        <v>1.0150794840624142</v>
      </c>
      <c r="N520" s="337">
        <f t="shared" si="225"/>
        <v>0.17258272488084078</v>
      </c>
      <c r="O520" s="343">
        <f t="shared" si="226"/>
        <v>1.0840676794127657</v>
      </c>
      <c r="P520" s="691">
        <f t="shared" si="227"/>
        <v>0.39641371799668013</v>
      </c>
      <c r="Q520" s="336">
        <f t="shared" si="242"/>
        <v>6.9457187077270399</v>
      </c>
      <c r="R520" s="692">
        <f t="shared" si="228"/>
        <v>0.43475321328467326</v>
      </c>
      <c r="S520" s="329">
        <f t="shared" si="229"/>
        <v>1.0818984418501039</v>
      </c>
      <c r="T520" s="330">
        <f t="shared" si="230"/>
        <v>0.40284024133734325</v>
      </c>
      <c r="U520" s="331">
        <f t="shared" si="231"/>
        <v>-6.052548586959098</v>
      </c>
      <c r="V520" s="332">
        <f t="shared" si="232"/>
        <v>-121.87823551743122</v>
      </c>
      <c r="W520" s="334">
        <f t="shared" si="233"/>
        <v>58.121764482568778</v>
      </c>
      <c r="Y520" s="307">
        <f t="shared" si="234"/>
        <v>72031.75</v>
      </c>
      <c r="Z520" s="307">
        <f t="shared" si="235"/>
        <v>5188573008.0625</v>
      </c>
      <c r="AB520" s="333">
        <f t="shared" si="236"/>
        <v>23.120966729513146</v>
      </c>
      <c r="AC520" s="334">
        <f t="shared" si="237"/>
        <v>-13.054872157408459</v>
      </c>
      <c r="AE520" s="333">
        <f t="shared" si="238"/>
        <v>13.70454394003824</v>
      </c>
      <c r="AF520" s="334">
        <f t="shared" si="239"/>
        <v>-106.62667208884895</v>
      </c>
      <c r="AH520">
        <f t="shared" si="240"/>
        <v>0</v>
      </c>
      <c r="AI520">
        <f t="shared" si="245"/>
        <v>0</v>
      </c>
    </row>
    <row r="521" spans="1:35" x14ac:dyDescent="0.2">
      <c r="A521" s="335">
        <v>72444</v>
      </c>
      <c r="B521" s="352">
        <f t="shared" si="241"/>
        <v>72.444000000000003</v>
      </c>
      <c r="C521" s="325">
        <f t="shared" si="216"/>
        <v>44.945486504279941</v>
      </c>
      <c r="D521" s="326">
        <f t="shared" si="217"/>
        <v>1.5485453156152116</v>
      </c>
      <c r="E521" s="326">
        <f t="shared" si="218"/>
        <v>1.0041352098420366</v>
      </c>
      <c r="F521" s="327">
        <f t="shared" si="219"/>
        <v>9.0785571306082946E-2</v>
      </c>
      <c r="G521" s="326">
        <f t="shared" si="220"/>
        <v>1</v>
      </c>
      <c r="H521" s="327">
        <f t="shared" si="221"/>
        <v>0</v>
      </c>
      <c r="I521" s="325">
        <f t="shared" si="222"/>
        <v>96151.996130119587</v>
      </c>
      <c r="J521" s="328">
        <f t="shared" si="223"/>
        <v>1.5707859265947941</v>
      </c>
      <c r="K521" s="336">
        <f t="shared" si="243"/>
        <v>18.202789573342148</v>
      </c>
      <c r="L521" s="337">
        <f t="shared" si="244"/>
        <v>1.5158320211330893</v>
      </c>
      <c r="M521" s="325">
        <f t="shared" si="224"/>
        <v>1.0152512826377864</v>
      </c>
      <c r="N521" s="337">
        <f t="shared" si="225"/>
        <v>0.17355078538342678</v>
      </c>
      <c r="O521" s="343">
        <f t="shared" si="226"/>
        <v>1.0849948859577707</v>
      </c>
      <c r="P521" s="691">
        <f t="shared" si="227"/>
        <v>0.39845040058122433</v>
      </c>
      <c r="Q521" s="336">
        <f t="shared" si="242"/>
        <v>6.9527011330751236</v>
      </c>
      <c r="R521" s="692">
        <f t="shared" si="228"/>
        <v>0.43694305122924554</v>
      </c>
      <c r="S521" s="329">
        <f t="shared" si="229"/>
        <v>1.0828027198749191</v>
      </c>
      <c r="T521" s="330">
        <f t="shared" si="230"/>
        <v>0.40492214582958586</v>
      </c>
      <c r="U521" s="331">
        <f t="shared" si="231"/>
        <v>-6.1118666483832378</v>
      </c>
      <c r="V521" s="332">
        <f t="shared" si="232"/>
        <v>-122.02163182860008</v>
      </c>
      <c r="W521" s="334">
        <f t="shared" si="233"/>
        <v>57.978368171399921</v>
      </c>
      <c r="Y521" s="307">
        <f t="shared" si="234"/>
        <v>72444</v>
      </c>
      <c r="Z521" s="307">
        <f t="shared" si="235"/>
        <v>5248133136</v>
      </c>
      <c r="AB521" s="333">
        <f t="shared" si="236"/>
        <v>23.11934634244475</v>
      </c>
      <c r="AC521" s="334">
        <f t="shared" si="237"/>
        <v>-13.092354399327895</v>
      </c>
      <c r="AE521" s="333">
        <f t="shared" si="238"/>
        <v>13.648147778485187</v>
      </c>
      <c r="AF521" s="334">
        <f t="shared" si="239"/>
        <v>-106.72381100234894</v>
      </c>
      <c r="AH521">
        <f t="shared" si="240"/>
        <v>0</v>
      </c>
      <c r="AI521">
        <f t="shared" si="245"/>
        <v>0</v>
      </c>
    </row>
    <row r="522" spans="1:35" x14ac:dyDescent="0.2">
      <c r="A522" s="335">
        <v>72865.75</v>
      </c>
      <c r="B522" s="352">
        <f t="shared" si="241"/>
        <v>72.865750000000006</v>
      </c>
      <c r="C522" s="325">
        <f t="shared" si="216"/>
        <v>45.207018204441617</v>
      </c>
      <c r="D522" s="326">
        <f t="shared" si="217"/>
        <v>1.548674063258471</v>
      </c>
      <c r="E522" s="326">
        <f t="shared" si="218"/>
        <v>1.0041833976267946</v>
      </c>
      <c r="F522" s="327">
        <f t="shared" si="219"/>
        <v>9.131117661373693E-2</v>
      </c>
      <c r="G522" s="326">
        <f t="shared" si="220"/>
        <v>1</v>
      </c>
      <c r="H522" s="327">
        <f t="shared" si="221"/>
        <v>0</v>
      </c>
      <c r="I522" s="325">
        <f t="shared" si="222"/>
        <v>96711.767876068247</v>
      </c>
      <c r="J522" s="328">
        <f t="shared" si="223"/>
        <v>1.5707859867915859</v>
      </c>
      <c r="K522" s="336">
        <f t="shared" si="243"/>
        <v>18.308442544309937</v>
      </c>
      <c r="L522" s="337">
        <f t="shared" si="244"/>
        <v>1.5161495220081067</v>
      </c>
      <c r="M522" s="325">
        <f t="shared" si="224"/>
        <v>1.0154280244222449</v>
      </c>
      <c r="N522" s="337">
        <f t="shared" si="225"/>
        <v>0.17454081420109169</v>
      </c>
      <c r="O522" s="343">
        <f t="shared" si="226"/>
        <v>1.085948108650806</v>
      </c>
      <c r="P522" s="691">
        <f t="shared" si="227"/>
        <v>0.40053040909635995</v>
      </c>
      <c r="Q522" s="336">
        <f t="shared" si="242"/>
        <v>6.959878388047283</v>
      </c>
      <c r="R522" s="692">
        <f t="shared" si="228"/>
        <v>0.43917882871831554</v>
      </c>
      <c r="S522" s="329">
        <f t="shared" si="229"/>
        <v>1.0837323918387012</v>
      </c>
      <c r="T522" s="330">
        <f t="shared" si="230"/>
        <v>0.40704853803160307</v>
      </c>
      <c r="U522" s="331">
        <f t="shared" si="231"/>
        <v>-6.1722971024997619</v>
      </c>
      <c r="V522" s="332">
        <f t="shared" si="232"/>
        <v>-122.16818822482135</v>
      </c>
      <c r="W522" s="334">
        <f t="shared" si="233"/>
        <v>57.83181177517865</v>
      </c>
      <c r="Y522" s="307">
        <f t="shared" si="234"/>
        <v>72865.75</v>
      </c>
      <c r="Z522" s="307">
        <f t="shared" si="235"/>
        <v>5309417523.0625</v>
      </c>
      <c r="AB522" s="333">
        <f t="shared" si="236"/>
        <v>23.117683082816708</v>
      </c>
      <c r="AC522" s="334">
        <f t="shared" si="237"/>
        <v>-13.13089086111235</v>
      </c>
      <c r="AE522" s="333">
        <f t="shared" si="238"/>
        <v>13.590714738361854</v>
      </c>
      <c r="AF522" s="334">
        <f t="shared" si="239"/>
        <v>-106.82290603199007</v>
      </c>
      <c r="AH522">
        <f t="shared" si="240"/>
        <v>0</v>
      </c>
      <c r="AI522">
        <f t="shared" si="245"/>
        <v>0</v>
      </c>
    </row>
    <row r="523" spans="1:35" x14ac:dyDescent="0.2">
      <c r="A523" s="335">
        <v>73287.5</v>
      </c>
      <c r="B523" s="352">
        <f t="shared" si="241"/>
        <v>73.287499999999994</v>
      </c>
      <c r="C523" s="325">
        <f t="shared" si="216"/>
        <v>45.468550645332407</v>
      </c>
      <c r="D523" s="326">
        <f t="shared" si="217"/>
        <v>1.5488013298060093</v>
      </c>
      <c r="E523" s="326">
        <f t="shared" si="218"/>
        <v>1.0042318628015332</v>
      </c>
      <c r="F523" s="327">
        <f t="shared" si="219"/>
        <v>9.1836731334155958E-2</v>
      </c>
      <c r="G523" s="326">
        <f t="shared" si="220"/>
        <v>1</v>
      </c>
      <c r="H523" s="327">
        <f t="shared" si="221"/>
        <v>0</v>
      </c>
      <c r="I523" s="325">
        <f t="shared" si="222"/>
        <v>97271.539622017241</v>
      </c>
      <c r="J523" s="328">
        <f t="shared" si="223"/>
        <v>1.570786046295545</v>
      </c>
      <c r="K523" s="336">
        <f t="shared" si="243"/>
        <v>18.414097339714374</v>
      </c>
      <c r="L523" s="337">
        <f t="shared" si="244"/>
        <v>1.5164633794570197</v>
      </c>
      <c r="M523" s="325">
        <f t="shared" si="224"/>
        <v>1.0156057611386726</v>
      </c>
      <c r="N523" s="337">
        <f t="shared" si="225"/>
        <v>0.17553049746730431</v>
      </c>
      <c r="O523" s="343">
        <f t="shared" si="226"/>
        <v>1.0869060213755175</v>
      </c>
      <c r="P523" s="691">
        <f t="shared" si="227"/>
        <v>0.40260676027260711</v>
      </c>
      <c r="Q523" s="336">
        <f t="shared" si="242"/>
        <v>6.9670898489650526</v>
      </c>
      <c r="R523" s="692">
        <f t="shared" si="228"/>
        <v>0.44141002338330615</v>
      </c>
      <c r="S523" s="329">
        <f t="shared" si="229"/>
        <v>1.0846666594972887</v>
      </c>
      <c r="T523" s="330">
        <f t="shared" si="230"/>
        <v>0.40917139391567359</v>
      </c>
      <c r="U523" s="331">
        <f t="shared" si="231"/>
        <v>-6.2324732868065871</v>
      </c>
      <c r="V523" s="332">
        <f t="shared" si="232"/>
        <v>-122.31459593105747</v>
      </c>
      <c r="W523" s="334">
        <f t="shared" si="233"/>
        <v>57.685404068942532</v>
      </c>
      <c r="Y523" s="307">
        <f t="shared" si="234"/>
        <v>73287.5</v>
      </c>
      <c r="Z523" s="307">
        <f t="shared" si="235"/>
        <v>5371057656.25</v>
      </c>
      <c r="AB523" s="333">
        <f t="shared" si="236"/>
        <v>23.116014176545356</v>
      </c>
      <c r="AC523" s="334">
        <f t="shared" si="237"/>
        <v>-13.169616237499568</v>
      </c>
      <c r="AE523" s="333">
        <f t="shared" si="238"/>
        <v>13.533544235000578</v>
      </c>
      <c r="AF523" s="334">
        <f t="shared" si="239"/>
        <v>-106.92171648343869</v>
      </c>
      <c r="AH523">
        <f t="shared" si="240"/>
        <v>0</v>
      </c>
      <c r="AI523">
        <f t="shared" si="245"/>
        <v>0</v>
      </c>
    </row>
    <row r="524" spans="1:35" x14ac:dyDescent="0.2">
      <c r="A524" s="335">
        <v>73709.25</v>
      </c>
      <c r="B524" s="352">
        <f t="shared" si="241"/>
        <v>73.709249999999997</v>
      </c>
      <c r="C524" s="325">
        <f t="shared" si="216"/>
        <v>45.730083814243535</v>
      </c>
      <c r="D524" s="326">
        <f t="shared" si="217"/>
        <v>1.5489271406651015</v>
      </c>
      <c r="E524" s="326">
        <f t="shared" si="218"/>
        <v>1.0042806053260929</v>
      </c>
      <c r="F524" s="327">
        <f t="shared" si="219"/>
        <v>9.2362235184360361E-2</v>
      </c>
      <c r="G524" s="326">
        <f t="shared" si="220"/>
        <v>1</v>
      </c>
      <c r="H524" s="327">
        <f t="shared" si="221"/>
        <v>0</v>
      </c>
      <c r="I524" s="325">
        <f t="shared" si="222"/>
        <v>97831.311367966584</v>
      </c>
      <c r="J524" s="328">
        <f t="shared" si="223"/>
        <v>1.5707861051185639</v>
      </c>
      <c r="K524" s="336">
        <f t="shared" si="243"/>
        <v>18.519753928330339</v>
      </c>
      <c r="L524" s="337">
        <f t="shared" si="244"/>
        <v>1.5167736557755187</v>
      </c>
      <c r="M524" s="325">
        <f t="shared" si="224"/>
        <v>1.0157844922648054</v>
      </c>
      <c r="N524" s="337">
        <f t="shared" si="225"/>
        <v>0.17651983342522809</v>
      </c>
      <c r="O524" s="343">
        <f t="shared" si="226"/>
        <v>1.0878686117426115</v>
      </c>
      <c r="P524" s="691">
        <f t="shared" si="227"/>
        <v>0.40467944589170329</v>
      </c>
      <c r="Q524" s="336">
        <f t="shared" si="242"/>
        <v>6.9743354097455779</v>
      </c>
      <c r="R524" s="692">
        <f t="shared" si="228"/>
        <v>0.44363662775210361</v>
      </c>
      <c r="S524" s="329">
        <f t="shared" si="229"/>
        <v>1.0856055110354266</v>
      </c>
      <c r="T524" s="330">
        <f t="shared" si="230"/>
        <v>0.41129070524066236</v>
      </c>
      <c r="U524" s="331">
        <f t="shared" si="231"/>
        <v>-6.2923983444184204</v>
      </c>
      <c r="V524" s="332">
        <f t="shared" si="232"/>
        <v>-122.46085232056225</v>
      </c>
      <c r="W524" s="334">
        <f t="shared" si="233"/>
        <v>57.539147679437747</v>
      </c>
      <c r="Y524" s="307">
        <f t="shared" si="234"/>
        <v>73709.25</v>
      </c>
      <c r="Z524" s="307">
        <f t="shared" si="235"/>
        <v>5433053535.5625</v>
      </c>
      <c r="AB524" s="333">
        <f t="shared" si="236"/>
        <v>23.11433957329637</v>
      </c>
      <c r="AC524" s="334">
        <f t="shared" si="237"/>
        <v>-13.208526859231471</v>
      </c>
      <c r="AE524" s="333">
        <f t="shared" si="238"/>
        <v>13.476633116436146</v>
      </c>
      <c r="AF524" s="334">
        <f t="shared" si="239"/>
        <v>-107.02024335645571</v>
      </c>
      <c r="AH524">
        <f t="shared" si="240"/>
        <v>0</v>
      </c>
      <c r="AI524">
        <f t="shared" si="245"/>
        <v>0</v>
      </c>
    </row>
    <row r="525" spans="1:35" x14ac:dyDescent="0.2">
      <c r="A525" s="335">
        <v>74131</v>
      </c>
      <c r="B525" s="352">
        <f t="shared" si="241"/>
        <v>74.131</v>
      </c>
      <c r="C525" s="325">
        <f t="shared" ref="C525:C588" si="246">SQRT(1+(A525/pole1)^2)</f>
        <v>45.991617698755221</v>
      </c>
      <c r="D525" s="326">
        <f t="shared" ref="D525:D588" si="247">ATAN(A525/pole1)</f>
        <v>1.5490515206652897</v>
      </c>
      <c r="E525" s="326">
        <f t="shared" ref="E525:E588" si="248">SQRT(1+(A525/Zero1)^2)</f>
        <v>1.0043296251600924</v>
      </c>
      <c r="F525" s="327">
        <f t="shared" ref="F525:F588" si="249">ATAN(A525/Zero1)</f>
        <v>9.2887687881537659E-2</v>
      </c>
      <c r="G525" s="326">
        <f t="shared" ref="G525:G588" si="250">IF(VIN_nom&gt;Vout, 1, SQRT(1+(A525/z_RHP)^2))</f>
        <v>1</v>
      </c>
      <c r="H525" s="327">
        <f t="shared" ref="H525:H588" si="251">IF(VIN_nom&gt;Vout, 0, -ATAN(A525/z_RHP))</f>
        <v>0</v>
      </c>
      <c r="I525" s="325">
        <f t="shared" ref="I525:I588" si="252">SQRT(1+(A525/Pole2)^2)</f>
        <v>98391.083113916262</v>
      </c>
      <c r="J525" s="328">
        <f t="shared" ref="J525:J588" si="253">ATAN(A525/Pole2)</f>
        <v>1.5707861632722646</v>
      </c>
      <c r="K525" s="336">
        <f t="shared" si="243"/>
        <v>18.62541227964072</v>
      </c>
      <c r="L525" s="337">
        <f t="shared" si="244"/>
        <v>1.5170804118485224</v>
      </c>
      <c r="M525" s="325">
        <f t="shared" ref="M525:M588" si="254">SQRT(1+(A525/pole4)^2)</f>
        <v>1.0159642172758254</v>
      </c>
      <c r="N525" s="337">
        <f t="shared" ref="N525:N588" si="255">ATAN(A525/pole4)</f>
        <v>0.17750882032197882</v>
      </c>
      <c r="O525" s="343">
        <f t="shared" ref="O525:O588" si="256">IF(VOUT_setting=1,1,SQRT(1+(A525*zterm1)^2))</f>
        <v>1.0888358673462146</v>
      </c>
      <c r="P525" s="691">
        <f t="shared" ref="P525:P588" si="257">IF(VOUT_setting=1,0,ATAN(((A525*zterm1))))</f>
        <v>0.40674845789035469</v>
      </c>
      <c r="Q525" s="336">
        <f t="shared" si="242"/>
        <v>6.9816149642458223</v>
      </c>
      <c r="R525" s="692">
        <f t="shared" ref="R525:R588" si="258">IF(VOUT_setting=1,0,ATAN(A525*$Q$4/(1+Afbr-$Q$5*(A525)^2)))</f>
        <v>0.44585863456288449</v>
      </c>
      <c r="S525" s="329">
        <f t="shared" ref="S525:S588" si="259">SQRT((1-(Z525/pterm2))^2+(A525/pterm1)^2)</f>
        <v>1.0865489346208699</v>
      </c>
      <c r="T525" s="330">
        <f t="shared" ref="T525:T588" si="260">IF((ATAN((A525/pterm1)/(1-A525^2/pterm2))&gt;0),ATAN((A525/pterm1)/(1-A525^2/pterm2)),PI()+ATAN((A525/pterm1)/(1-A525^2/pterm2)))</f>
        <v>0.41340646391328262</v>
      </c>
      <c r="U525" s="331">
        <f t="shared" ref="U525:U588" si="261">20*LOG10(((E525*K525*G525*O525)/(C525*I525*S525*M525*Q525))*Adc)</f>
        <v>-6.3520753601629822</v>
      </c>
      <c r="V525" s="332">
        <f t="shared" ref="V525:V588" si="262">((F525+L525+H525+P525)-(D525+J525+T525+N525+R525))*radconv</f>
        <v>-122.6069548261616</v>
      </c>
      <c r="W525" s="334">
        <f t="shared" ref="W525:W588" si="263">IF(V525&gt;0,V525,V525+180)</f>
        <v>57.393045173838402</v>
      </c>
      <c r="Y525" s="307">
        <f t="shared" ref="Y525:Y588" si="264">IF(U525&lt;0,A525,1000000000)</f>
        <v>74131</v>
      </c>
      <c r="Z525" s="307">
        <f t="shared" ref="Z525:Z588" si="265">A525^2</f>
        <v>5495405161</v>
      </c>
      <c r="AB525" s="333">
        <f t="shared" ref="AB525:AB588" si="266">20*LOG10((K525/(I525*M525))*AEA)</f>
        <v>23.112659224449651</v>
      </c>
      <c r="AC525" s="334">
        <f t="shared" ref="AC525:AC588" si="267">(L525-(J525+N525))*radconv</f>
        <v>-13.247619138092196</v>
      </c>
      <c r="AE525" s="333">
        <f t="shared" ref="AE525:AE588" si="268">20*LOG10((E525*G525/(C525*S525))*Acs*Am)</f>
        <v>13.419978287561264</v>
      </c>
      <c r="AF525" s="334">
        <f t="shared" ref="AF525:AF588" si="269">(F525+H525-(D525+T525))*radconv</f>
        <v>-107.11848762616191</v>
      </c>
      <c r="AH525">
        <f t="shared" ref="AH525:AH588" si="270">SUM((U526&lt;0)*(U525&gt;0))*A525</f>
        <v>0</v>
      </c>
      <c r="AI525">
        <f t="shared" si="245"/>
        <v>0</v>
      </c>
    </row>
    <row r="526" spans="1:35" x14ac:dyDescent="0.2">
      <c r="A526" s="335">
        <v>74562.75</v>
      </c>
      <c r="B526" s="352">
        <f t="shared" ref="B526:B589" si="271">A526/1000</f>
        <v>74.562749999999994</v>
      </c>
      <c r="C526" s="325">
        <f t="shared" si="246"/>
        <v>46.25935347093548</v>
      </c>
      <c r="D526" s="326">
        <f t="shared" si="247"/>
        <v>1.549177392988154</v>
      </c>
      <c r="E526" s="326">
        <f t="shared" si="248"/>
        <v>1.0043800944979091</v>
      </c>
      <c r="F526" s="327">
        <f t="shared" si="249"/>
        <v>9.3425546163466183E-2</v>
      </c>
      <c r="G526" s="326">
        <f t="shared" si="250"/>
        <v>1</v>
      </c>
      <c r="H526" s="327">
        <f t="shared" si="251"/>
        <v>0</v>
      </c>
      <c r="I526" s="325">
        <f t="shared" si="252"/>
        <v>98964.12745609507</v>
      </c>
      <c r="J526" s="328">
        <f t="shared" si="253"/>
        <v>1.5707862221233786</v>
      </c>
      <c r="K526" s="336">
        <f t="shared" si="243"/>
        <v>18.733577662240368</v>
      </c>
      <c r="L526" s="337">
        <f t="shared" si="244"/>
        <v>1.5173908570214243</v>
      </c>
      <c r="M526" s="325">
        <f t="shared" si="254"/>
        <v>1.0161492326601644</v>
      </c>
      <c r="N526" s="337">
        <f t="shared" si="255"/>
        <v>0.17852089341918692</v>
      </c>
      <c r="O526" s="343">
        <f t="shared" si="256"/>
        <v>1.0898308767886222</v>
      </c>
      <c r="P526" s="691">
        <f t="shared" si="257"/>
        <v>0.40886271410635566</v>
      </c>
      <c r="Q526" s="336">
        <f t="shared" si="242"/>
        <v>6.989102223715606</v>
      </c>
      <c r="R526" s="692">
        <f t="shared" si="258"/>
        <v>0.44812855704562815</v>
      </c>
      <c r="S526" s="329">
        <f t="shared" si="259"/>
        <v>1.0875194510392381</v>
      </c>
      <c r="T526" s="330">
        <f t="shared" si="260"/>
        <v>0.41556870046669392</v>
      </c>
      <c r="U526" s="331">
        <f t="shared" si="261"/>
        <v>-6.4129135888741402</v>
      </c>
      <c r="V526" s="332">
        <f t="shared" si="262"/>
        <v>-122.75635950934733</v>
      </c>
      <c r="W526" s="334">
        <f t="shared" si="263"/>
        <v>57.243640490652666</v>
      </c>
      <c r="Y526" s="307">
        <f t="shared" si="264"/>
        <v>74562.75</v>
      </c>
      <c r="Z526" s="307">
        <f t="shared" si="265"/>
        <v>5559603687.5625</v>
      </c>
      <c r="AB526" s="333">
        <f t="shared" si="266"/>
        <v>23.110933032724866</v>
      </c>
      <c r="AC526" s="334">
        <f t="shared" si="267"/>
        <v>-13.287822828909855</v>
      </c>
      <c r="AE526" s="333">
        <f t="shared" si="268"/>
        <v>13.362242435288135</v>
      </c>
      <c r="AF526" s="334">
        <f t="shared" si="269"/>
        <v>-107.21876959842285</v>
      </c>
      <c r="AH526">
        <f t="shared" si="270"/>
        <v>0</v>
      </c>
      <c r="AI526">
        <f t="shared" si="245"/>
        <v>0</v>
      </c>
    </row>
    <row r="527" spans="1:35" x14ac:dyDescent="0.2">
      <c r="A527" s="335">
        <v>74994.5</v>
      </c>
      <c r="B527" s="352">
        <f t="shared" si="271"/>
        <v>74.994500000000002</v>
      </c>
      <c r="C527" s="325">
        <f t="shared" si="246"/>
        <v>46.5270899676065</v>
      </c>
      <c r="D527" s="326">
        <f t="shared" si="247"/>
        <v>1.5493018166681161</v>
      </c>
      <c r="E527" s="326">
        <f t="shared" si="248"/>
        <v>1.0044308543651332</v>
      </c>
      <c r="F527" s="327">
        <f t="shared" si="249"/>
        <v>9.3963350238605567E-2</v>
      </c>
      <c r="G527" s="326">
        <f t="shared" si="250"/>
        <v>1</v>
      </c>
      <c r="H527" s="327">
        <f t="shared" si="251"/>
        <v>0</v>
      </c>
      <c r="I527" s="325">
        <f t="shared" si="252"/>
        <v>99537.171798274227</v>
      </c>
      <c r="J527" s="328">
        <f t="shared" si="253"/>
        <v>1.5707862802968704</v>
      </c>
      <c r="K527" s="336">
        <f t="shared" si="243"/>
        <v>18.841744829581597</v>
      </c>
      <c r="L527" s="337">
        <f t="shared" si="244"/>
        <v>1.5176977378005505</v>
      </c>
      <c r="M527" s="325">
        <f t="shared" si="254"/>
        <v>1.0163352884984147</v>
      </c>
      <c r="N527" s="337">
        <f t="shared" si="255"/>
        <v>0.17953259700120261</v>
      </c>
      <c r="O527" s="343">
        <f t="shared" si="256"/>
        <v>1.0908307489614455</v>
      </c>
      <c r="P527" s="691">
        <f t="shared" si="257"/>
        <v>0.41097310382232771</v>
      </c>
      <c r="Q527" s="336">
        <f t="shared" ref="Q527:Q590" si="272">IF(VOUT_setting=1,1,SQRT((1+Afbr-$Q$5*(A527)^2)^2+(A527*$Q$4)^2))</f>
        <v>6.9966248827686428</v>
      </c>
      <c r="R527" s="692">
        <f t="shared" si="258"/>
        <v>0.45039364663157672</v>
      </c>
      <c r="S527" s="329">
        <f t="shared" si="259"/>
        <v>1.0884947337423607</v>
      </c>
      <c r="T527" s="330">
        <f t="shared" si="260"/>
        <v>0.41772719720645241</v>
      </c>
      <c r="U527" s="331">
        <f t="shared" si="261"/>
        <v>-6.4734982347967742</v>
      </c>
      <c r="V527" s="332">
        <f t="shared" si="262"/>
        <v>-122.90559766546819</v>
      </c>
      <c r="W527" s="334">
        <f t="shared" si="263"/>
        <v>57.094402334531807</v>
      </c>
      <c r="Y527" s="307">
        <f t="shared" si="264"/>
        <v>74994.5</v>
      </c>
      <c r="Z527" s="307">
        <f t="shared" si="265"/>
        <v>5624175030.25</v>
      </c>
      <c r="AB527" s="333">
        <f t="shared" si="266"/>
        <v>23.109200721855107</v>
      </c>
      <c r="AC527" s="334">
        <f t="shared" si="267"/>
        <v>-13.328209533961708</v>
      </c>
      <c r="AE527" s="333">
        <f t="shared" si="268"/>
        <v>13.304768783255117</v>
      </c>
      <c r="AF527" s="334">
        <f t="shared" si="269"/>
        <v>-107.31875739984091</v>
      </c>
      <c r="AH527">
        <f t="shared" si="270"/>
        <v>0</v>
      </c>
      <c r="AI527">
        <f t="shared" si="245"/>
        <v>0</v>
      </c>
    </row>
    <row r="528" spans="1:35" x14ac:dyDescent="0.2">
      <c r="A528" s="335">
        <v>75426.25</v>
      </c>
      <c r="B528" s="352">
        <f t="shared" si="271"/>
        <v>75.426249999999996</v>
      </c>
      <c r="C528" s="325">
        <f t="shared" si="246"/>
        <v>46.794827176332753</v>
      </c>
      <c r="D528" s="326">
        <f t="shared" si="247"/>
        <v>1.5494248165665767</v>
      </c>
      <c r="E528" s="326">
        <f t="shared" si="248"/>
        <v>1.0044819047177205</v>
      </c>
      <c r="F528" s="327">
        <f t="shared" si="249"/>
        <v>9.4501099804095615E-2</v>
      </c>
      <c r="G528" s="326">
        <f t="shared" si="250"/>
        <v>1</v>
      </c>
      <c r="H528" s="327">
        <f t="shared" si="251"/>
        <v>0</v>
      </c>
      <c r="I528" s="325">
        <f t="shared" si="252"/>
        <v>100110.21614045372</v>
      </c>
      <c r="J528" s="328">
        <f t="shared" si="253"/>
        <v>1.5707863378043763</v>
      </c>
      <c r="K528" s="336">
        <f t="shared" si="243"/>
        <v>18.949913751102191</v>
      </c>
      <c r="L528" s="337">
        <f t="shared" si="244"/>
        <v>1.5180011151658657</v>
      </c>
      <c r="M528" s="325">
        <f t="shared" si="254"/>
        <v>1.0165223842192683</v>
      </c>
      <c r="N528" s="337">
        <f t="shared" si="255"/>
        <v>0.18054392920044937</v>
      </c>
      <c r="O528" s="343">
        <f t="shared" si="256"/>
        <v>1.0918354705052298</v>
      </c>
      <c r="P528" s="691">
        <f t="shared" si="257"/>
        <v>0.41307961888837158</v>
      </c>
      <c r="Q528" s="336">
        <f t="shared" si="272"/>
        <v>7.0041828273711397</v>
      </c>
      <c r="R528" s="692">
        <f t="shared" si="258"/>
        <v>0.4526538962067525</v>
      </c>
      <c r="S528" s="329">
        <f t="shared" si="259"/>
        <v>1.0894747699846379</v>
      </c>
      <c r="T528" s="330">
        <f t="shared" si="260"/>
        <v>0.41988194592772021</v>
      </c>
      <c r="U528" s="331">
        <f t="shared" si="261"/>
        <v>-6.5338324263777992</v>
      </c>
      <c r="V528" s="332">
        <f t="shared" si="262"/>
        <v>-123.05466672534945</v>
      </c>
      <c r="W528" s="334">
        <f t="shared" si="263"/>
        <v>56.945333274650551</v>
      </c>
      <c r="Y528" s="307">
        <f t="shared" si="264"/>
        <v>75426.25</v>
      </c>
      <c r="Z528" s="307">
        <f t="shared" si="265"/>
        <v>5689119189.0625</v>
      </c>
      <c r="AB528" s="333">
        <f t="shared" si="266"/>
        <v>23.107462244899114</v>
      </c>
      <c r="AC528" s="334">
        <f t="shared" si="267"/>
        <v>-13.368775653015609</v>
      </c>
      <c r="AE528" s="333">
        <f t="shared" si="268"/>
        <v>13.247554187719913</v>
      </c>
      <c r="AF528" s="334">
        <f t="shared" si="269"/>
        <v>-107.41845200211944</v>
      </c>
      <c r="AH528">
        <f t="shared" si="270"/>
        <v>0</v>
      </c>
      <c r="AI528">
        <f t="shared" si="245"/>
        <v>0</v>
      </c>
    </row>
    <row r="529" spans="1:35" x14ac:dyDescent="0.2">
      <c r="A529" s="335">
        <v>75858</v>
      </c>
      <c r="B529" s="352">
        <f t="shared" si="271"/>
        <v>75.858000000000004</v>
      </c>
      <c r="C529" s="325">
        <f t="shared" si="246"/>
        <v>47.062565084961676</v>
      </c>
      <c r="D529" s="326">
        <f t="shared" si="247"/>
        <v>1.5495464169793682</v>
      </c>
      <c r="E529" s="326">
        <f t="shared" si="248"/>
        <v>1.0045332455113833</v>
      </c>
      <c r="F529" s="327">
        <f t="shared" si="249"/>
        <v>9.5038794557263648E-2</v>
      </c>
      <c r="G529" s="326">
        <f t="shared" si="250"/>
        <v>1</v>
      </c>
      <c r="H529" s="327">
        <f t="shared" si="251"/>
        <v>0</v>
      </c>
      <c r="I529" s="325">
        <f t="shared" si="252"/>
        <v>100683.26048263354</v>
      </c>
      <c r="J529" s="328">
        <f t="shared" si="253"/>
        <v>1.570786394657268</v>
      </c>
      <c r="K529" s="336">
        <f t="shared" si="243"/>
        <v>19.0580843969333</v>
      </c>
      <c r="L529" s="337">
        <f t="shared" si="244"/>
        <v>1.518301048715498</v>
      </c>
      <c r="M529" s="325">
        <f t="shared" si="254"/>
        <v>1.0167105192486452</v>
      </c>
      <c r="N529" s="337">
        <f t="shared" si="255"/>
        <v>0.18155488815376036</v>
      </c>
      <c r="O529" s="343">
        <f t="shared" si="256"/>
        <v>1.0928450280449753</v>
      </c>
      <c r="P529" s="691">
        <f t="shared" si="257"/>
        <v>0.4151822513220324</v>
      </c>
      <c r="Q529" s="336">
        <f t="shared" si="272"/>
        <v>7.0117759434472626</v>
      </c>
      <c r="R529" s="692">
        <f t="shared" si="258"/>
        <v>0.45490929888261322</v>
      </c>
      <c r="S529" s="329">
        <f t="shared" si="259"/>
        <v>1.0904595470043277</v>
      </c>
      <c r="T529" s="330">
        <f t="shared" si="260"/>
        <v>0.42203293858557533</v>
      </c>
      <c r="U529" s="331">
        <f t="shared" si="261"/>
        <v>-6.5939192338327155</v>
      </c>
      <c r="V529" s="332">
        <f t="shared" si="262"/>
        <v>-123.20356417929692</v>
      </c>
      <c r="W529" s="334">
        <f t="shared" si="263"/>
        <v>56.796435820703081</v>
      </c>
      <c r="Y529" s="307">
        <f t="shared" si="264"/>
        <v>75858</v>
      </c>
      <c r="Z529" s="307">
        <f t="shared" si="265"/>
        <v>5754436164</v>
      </c>
      <c r="AB529" s="333">
        <f t="shared" si="266"/>
        <v>23.10571755656116</v>
      </c>
      <c r="AC529" s="334">
        <f t="shared" si="267"/>
        <v>-13.409517665250284</v>
      </c>
      <c r="AE529" s="333">
        <f t="shared" si="268"/>
        <v>13.190595561855297</v>
      </c>
      <c r="AF529" s="334">
        <f t="shared" si="269"/>
        <v>-107.51785435370888</v>
      </c>
      <c r="AH529">
        <f t="shared" si="270"/>
        <v>0</v>
      </c>
      <c r="AI529">
        <f t="shared" si="245"/>
        <v>0</v>
      </c>
    </row>
    <row r="530" spans="1:35" x14ac:dyDescent="0.2">
      <c r="A530" s="335">
        <v>76299.75</v>
      </c>
      <c r="B530" s="352">
        <f t="shared" si="271"/>
        <v>76.299750000000003</v>
      </c>
      <c r="C530" s="325">
        <f t="shared" si="246"/>
        <v>47.336504931056453</v>
      </c>
      <c r="D530" s="326">
        <f t="shared" si="247"/>
        <v>1.549669410128111</v>
      </c>
      <c r="E530" s="326">
        <f t="shared" si="248"/>
        <v>1.0045860760006324</v>
      </c>
      <c r="F530" s="327">
        <f t="shared" si="249"/>
        <v>9.5588886108500498E-2</v>
      </c>
      <c r="G530" s="326">
        <f t="shared" si="250"/>
        <v>1</v>
      </c>
      <c r="H530" s="327">
        <f t="shared" si="251"/>
        <v>0</v>
      </c>
      <c r="I530" s="325">
        <f t="shared" si="252"/>
        <v>101269.57742104252</v>
      </c>
      <c r="J530" s="328">
        <f t="shared" si="253"/>
        <v>1.5707864521610186</v>
      </c>
      <c r="K530" s="336">
        <f t="shared" si="243"/>
        <v>19.168762197016772</v>
      </c>
      <c r="L530" s="337">
        <f t="shared" si="244"/>
        <v>1.5186044255582991</v>
      </c>
      <c r="M530" s="325">
        <f t="shared" si="254"/>
        <v>1.0169040868708838</v>
      </c>
      <c r="N530" s="337">
        <f t="shared" si="255"/>
        <v>0.18258887423313508</v>
      </c>
      <c r="O530" s="343">
        <f t="shared" si="256"/>
        <v>1.0938829598451156</v>
      </c>
      <c r="P530" s="691">
        <f t="shared" si="257"/>
        <v>0.41732955726945042</v>
      </c>
      <c r="Q530" s="336">
        <f t="shared" si="272"/>
        <v>7.0195812117022989</v>
      </c>
      <c r="R530" s="692">
        <f t="shared" si="258"/>
        <v>0.457211916642704</v>
      </c>
      <c r="S530" s="329">
        <f t="shared" si="259"/>
        <v>1.091472026415875</v>
      </c>
      <c r="T530" s="330">
        <f t="shared" si="260"/>
        <v>0.42422985578227335</v>
      </c>
      <c r="U530" s="331">
        <f t="shared" si="261"/>
        <v>-6.6551448423956359</v>
      </c>
      <c r="V530" s="332">
        <f t="shared" si="262"/>
        <v>-123.35573015870743</v>
      </c>
      <c r="W530" s="334">
        <f t="shared" si="263"/>
        <v>56.644269841292569</v>
      </c>
      <c r="Y530" s="307">
        <f t="shared" si="264"/>
        <v>76299.75</v>
      </c>
      <c r="Z530" s="307">
        <f t="shared" si="265"/>
        <v>5821651850.0625</v>
      </c>
      <c r="AB530" s="333">
        <f t="shared" si="266"/>
        <v>23.103925984113452</v>
      </c>
      <c r="AC530" s="334">
        <f t="shared" si="267"/>
        <v>-13.451381785749277</v>
      </c>
      <c r="AE530" s="333">
        <f t="shared" si="268"/>
        <v>13.132579455906061</v>
      </c>
      <c r="AF530" s="334">
        <f t="shared" si="269"/>
        <v>-107.61925750123557</v>
      </c>
      <c r="AH530">
        <f t="shared" si="270"/>
        <v>0</v>
      </c>
      <c r="AI530">
        <f t="shared" si="245"/>
        <v>0</v>
      </c>
    </row>
    <row r="531" spans="1:35" x14ac:dyDescent="0.2">
      <c r="A531" s="335">
        <v>76741.5</v>
      </c>
      <c r="B531" s="352">
        <f t="shared" si="271"/>
        <v>76.741500000000002</v>
      </c>
      <c r="C531" s="325">
        <f t="shared" si="246"/>
        <v>47.610445484985178</v>
      </c>
      <c r="D531" s="326">
        <f t="shared" si="247"/>
        <v>1.5497909879249248</v>
      </c>
      <c r="E531" s="326">
        <f t="shared" si="248"/>
        <v>1.0046392104463209</v>
      </c>
      <c r="F531" s="327">
        <f t="shared" si="249"/>
        <v>9.6138919638488807E-2</v>
      </c>
      <c r="G531" s="326">
        <f t="shared" si="250"/>
        <v>1</v>
      </c>
      <c r="H531" s="327">
        <f t="shared" si="251"/>
        <v>0</v>
      </c>
      <c r="I531" s="325">
        <f t="shared" si="252"/>
        <v>101855.89435945184</v>
      </c>
      <c r="J531" s="328">
        <f t="shared" si="253"/>
        <v>1.5707865090027471</v>
      </c>
      <c r="K531" s="336">
        <f t="shared" si="243"/>
        <v>19.279441741089204</v>
      </c>
      <c r="L531" s="337">
        <f t="shared" si="244"/>
        <v>1.5189043191729483</v>
      </c>
      <c r="M531" s="325">
        <f t="shared" si="254"/>
        <v>1.0170987412784587</v>
      </c>
      <c r="N531" s="337">
        <f t="shared" si="255"/>
        <v>0.18362246564451815</v>
      </c>
      <c r="O531" s="343">
        <f t="shared" si="256"/>
        <v>1.09492592587909</v>
      </c>
      <c r="P531" s="691">
        <f t="shared" si="257"/>
        <v>0.41947278227309154</v>
      </c>
      <c r="Q531" s="336">
        <f t="shared" si="272"/>
        <v>7.0274230578328511</v>
      </c>
      <c r="R531" s="692">
        <f t="shared" si="258"/>
        <v>0.45950944650669023</v>
      </c>
      <c r="S531" s="329">
        <f t="shared" si="259"/>
        <v>1.0924894416776016</v>
      </c>
      <c r="T531" s="330">
        <f t="shared" si="260"/>
        <v>0.42642282437901347</v>
      </c>
      <c r="U531" s="331">
        <f t="shared" si="261"/>
        <v>-6.7161177962821608</v>
      </c>
      <c r="V531" s="332">
        <f t="shared" si="262"/>
        <v>-123.5077113600981</v>
      </c>
      <c r="W531" s="334">
        <f t="shared" si="263"/>
        <v>56.492288639901901</v>
      </c>
      <c r="Y531" s="307">
        <f t="shared" si="264"/>
        <v>76741.5</v>
      </c>
      <c r="Z531" s="307">
        <f t="shared" si="265"/>
        <v>5889257822.25</v>
      </c>
      <c r="AB531" s="333">
        <f t="shared" si="266"/>
        <v>23.102127818329862</v>
      </c>
      <c r="AC531" s="334">
        <f t="shared" si="267"/>
        <v>-13.493422829779364</v>
      </c>
      <c r="AE531" s="333">
        <f t="shared" si="268"/>
        <v>13.074824953337252</v>
      </c>
      <c r="AF531" s="334">
        <f t="shared" si="269"/>
        <v>-107.72035664132996</v>
      </c>
      <c r="AH531">
        <f t="shared" si="270"/>
        <v>0</v>
      </c>
      <c r="AI531">
        <f t="shared" si="245"/>
        <v>0</v>
      </c>
    </row>
    <row r="532" spans="1:35" x14ac:dyDescent="0.2">
      <c r="A532" s="335">
        <v>77183.25</v>
      </c>
      <c r="B532" s="352">
        <f t="shared" si="271"/>
        <v>77.183250000000001</v>
      </c>
      <c r="C532" s="325">
        <f t="shared" si="246"/>
        <v>47.884386734599538</v>
      </c>
      <c r="D532" s="326">
        <f t="shared" si="247"/>
        <v>1.5499111746573966</v>
      </c>
      <c r="E532" s="326">
        <f t="shared" si="248"/>
        <v>1.0046926488002237</v>
      </c>
      <c r="F532" s="327">
        <f t="shared" si="249"/>
        <v>9.6688894823649812E-2</v>
      </c>
      <c r="G532" s="326">
        <f t="shared" si="250"/>
        <v>1</v>
      </c>
      <c r="H532" s="327">
        <f t="shared" si="251"/>
        <v>0</v>
      </c>
      <c r="I532" s="325">
        <f t="shared" si="252"/>
        <v>102442.21129786148</v>
      </c>
      <c r="J532" s="328">
        <f t="shared" si="253"/>
        <v>1.5707865651938209</v>
      </c>
      <c r="K532" s="336">
        <f t="shared" si="243"/>
        <v>19.390122999286348</v>
      </c>
      <c r="L532" s="337">
        <f t="shared" si="244"/>
        <v>1.5192007891531474</v>
      </c>
      <c r="M532" s="325">
        <f t="shared" si="254"/>
        <v>1.017294481847516</v>
      </c>
      <c r="N532" s="337">
        <f t="shared" si="255"/>
        <v>0.18465566040670503</v>
      </c>
      <c r="O532" s="343">
        <f t="shared" si="256"/>
        <v>1.0959739117746539</v>
      </c>
      <c r="P532" s="691">
        <f t="shared" si="257"/>
        <v>0.42161191832237838</v>
      </c>
      <c r="Q532" s="336">
        <f t="shared" si="272"/>
        <v>7.0353013595537313</v>
      </c>
      <c r="R532" s="692">
        <f t="shared" si="258"/>
        <v>0.46180188181956455</v>
      </c>
      <c r="S532" s="329">
        <f t="shared" si="259"/>
        <v>1.0935117790719548</v>
      </c>
      <c r="T532" s="330">
        <f t="shared" si="260"/>
        <v>0.42861183627432636</v>
      </c>
      <c r="U532" s="331">
        <f t="shared" si="261"/>
        <v>-6.7768412034938414</v>
      </c>
      <c r="V532" s="332">
        <f t="shared" si="262"/>
        <v>-123.65950527974236</v>
      </c>
      <c r="W532" s="334">
        <f t="shared" si="263"/>
        <v>56.340494720257638</v>
      </c>
      <c r="Y532" s="307">
        <f t="shared" si="264"/>
        <v>77183.25</v>
      </c>
      <c r="Z532" s="307">
        <f t="shared" si="265"/>
        <v>5957254080.5625</v>
      </c>
      <c r="AB532" s="333">
        <f t="shared" si="266"/>
        <v>23.100323015695889</v>
      </c>
      <c r="AC532" s="334">
        <f t="shared" si="267"/>
        <v>-13.535637270009575</v>
      </c>
      <c r="AE532" s="333">
        <f t="shared" si="268"/>
        <v>13.017328924446673</v>
      </c>
      <c r="AF532" s="334">
        <f t="shared" si="269"/>
        <v>-107.82115271992794</v>
      </c>
      <c r="AH532">
        <f t="shared" si="270"/>
        <v>0</v>
      </c>
      <c r="AI532">
        <f t="shared" si="245"/>
        <v>0</v>
      </c>
    </row>
    <row r="533" spans="1:35" x14ac:dyDescent="0.2">
      <c r="A533" s="335">
        <v>77625</v>
      </c>
      <c r="B533" s="352">
        <f t="shared" si="271"/>
        <v>77.625</v>
      </c>
      <c r="C533" s="325">
        <f t="shared" si="246"/>
        <v>48.158328668027657</v>
      </c>
      <c r="D533" s="326">
        <f t="shared" si="247"/>
        <v>1.550029994060651</v>
      </c>
      <c r="E533" s="326">
        <f t="shared" si="248"/>
        <v>1.0047463910138497</v>
      </c>
      <c r="F533" s="327">
        <f t="shared" si="249"/>
        <v>9.7238811340614614E-2</v>
      </c>
      <c r="G533" s="326">
        <f t="shared" si="250"/>
        <v>1</v>
      </c>
      <c r="H533" s="327">
        <f t="shared" si="251"/>
        <v>0</v>
      </c>
      <c r="I533" s="325">
        <f t="shared" si="252"/>
        <v>103028.52823627142</v>
      </c>
      <c r="J533" s="328">
        <f t="shared" si="253"/>
        <v>1.5707866207453476</v>
      </c>
      <c r="K533" s="336">
        <f t="shared" si="243"/>
        <v>19.500805942421472</v>
      </c>
      <c r="L533" s="337">
        <f t="shared" si="244"/>
        <v>1.5194938937420663</v>
      </c>
      <c r="M533" s="325">
        <f t="shared" si="254"/>
        <v>1.0174913079512031</v>
      </c>
      <c r="N533" s="337">
        <f t="shared" si="255"/>
        <v>0.18568845654339886</v>
      </c>
      <c r="O533" s="343">
        <f t="shared" si="256"/>
        <v>1.09702690314544</v>
      </c>
      <c r="P533" s="691">
        <f t="shared" si="257"/>
        <v>0.42374695758695391</v>
      </c>
      <c r="Q533" s="336">
        <f t="shared" si="272"/>
        <v>7.043215994559703</v>
      </c>
      <c r="R533" s="692">
        <f t="shared" si="258"/>
        <v>0.46408921616696247</v>
      </c>
      <c r="S533" s="329">
        <f t="shared" si="259"/>
        <v>1.0945390248664486</v>
      </c>
      <c r="T533" s="330">
        <f t="shared" si="260"/>
        <v>0.43079688353904527</v>
      </c>
      <c r="U533" s="331">
        <f t="shared" si="261"/>
        <v>-6.8373181139918948</v>
      </c>
      <c r="V533" s="332">
        <f t="shared" si="262"/>
        <v>-123.81110947322806</v>
      </c>
      <c r="W533" s="334">
        <f t="shared" si="263"/>
        <v>56.188890526771942</v>
      </c>
      <c r="Y533" s="307">
        <f t="shared" si="264"/>
        <v>77625</v>
      </c>
      <c r="Z533" s="307">
        <f t="shared" si="265"/>
        <v>6025640625</v>
      </c>
      <c r="AB533" s="333">
        <f t="shared" si="266"/>
        <v>23.09851153427369</v>
      </c>
      <c r="AC533" s="334">
        <f t="shared" si="267"/>
        <v>-13.57802165675503</v>
      </c>
      <c r="AE533" s="333">
        <f t="shared" si="268"/>
        <v>12.960088296372621</v>
      </c>
      <c r="AF533" s="334">
        <f t="shared" si="269"/>
        <v>-107.92164666117189</v>
      </c>
      <c r="AH533">
        <f t="shared" si="270"/>
        <v>0</v>
      </c>
      <c r="AI533">
        <f t="shared" si="245"/>
        <v>0</v>
      </c>
    </row>
    <row r="534" spans="1:35" x14ac:dyDescent="0.2">
      <c r="A534" s="335">
        <v>78077</v>
      </c>
      <c r="B534" s="352">
        <f t="shared" si="271"/>
        <v>78.076999999999998</v>
      </c>
      <c r="C534" s="325">
        <f t="shared" si="246"/>
        <v>48.438627618187923</v>
      </c>
      <c r="D534" s="326">
        <f t="shared" si="247"/>
        <v>1.5501501793582508</v>
      </c>
      <c r="E534" s="326">
        <f t="shared" si="248"/>
        <v>1.0048016946835774</v>
      </c>
      <c r="F534" s="327">
        <f t="shared" si="249"/>
        <v>9.78014266005761E-2</v>
      </c>
      <c r="G534" s="326">
        <f t="shared" si="250"/>
        <v>1</v>
      </c>
      <c r="H534" s="327">
        <f t="shared" si="251"/>
        <v>0</v>
      </c>
      <c r="I534" s="325">
        <f t="shared" si="252"/>
        <v>103628.4495858163</v>
      </c>
      <c r="J534" s="328">
        <f t="shared" si="253"/>
        <v>1.570786676935191</v>
      </c>
      <c r="K534" s="336">
        <f t="shared" si="243"/>
        <v>19.614058794897257</v>
      </c>
      <c r="L534" s="337">
        <f t="shared" si="244"/>
        <v>1.5197903752329573</v>
      </c>
      <c r="M534" s="325">
        <f t="shared" si="254"/>
        <v>1.0176938239958988</v>
      </c>
      <c r="N534" s="337">
        <f t="shared" si="255"/>
        <v>0.18674480216048606</v>
      </c>
      <c r="O534" s="343">
        <f t="shared" si="256"/>
        <v>1.0981094932699984</v>
      </c>
      <c r="P534" s="691">
        <f t="shared" si="257"/>
        <v>0.42592728807422281</v>
      </c>
      <c r="Q534" s="336">
        <f t="shared" si="272"/>
        <v>7.051351754229441</v>
      </c>
      <c r="R534" s="692">
        <f t="shared" si="258"/>
        <v>0.46642433760382834</v>
      </c>
      <c r="S534" s="329">
        <f t="shared" si="259"/>
        <v>1.0955951722370234</v>
      </c>
      <c r="T534" s="330">
        <f t="shared" si="260"/>
        <v>0.43302851904854633</v>
      </c>
      <c r="U534" s="331">
        <f t="shared" si="261"/>
        <v>-6.8989462600432363</v>
      </c>
      <c r="V534" s="332">
        <f t="shared" si="262"/>
        <v>-123.9660324949316</v>
      </c>
      <c r="W534" s="334">
        <f t="shared" si="263"/>
        <v>56.033967505068404</v>
      </c>
      <c r="Y534" s="307">
        <f t="shared" si="264"/>
        <v>78077</v>
      </c>
      <c r="Z534" s="307">
        <f t="shared" si="265"/>
        <v>6096017929</v>
      </c>
      <c r="AB534" s="333">
        <f t="shared" si="266"/>
        <v>23.096651065556848</v>
      </c>
      <c r="AC534" s="334">
        <f t="shared" si="267"/>
        <v>-13.621561883680098</v>
      </c>
      <c r="AE534" s="333">
        <f t="shared" si="268"/>
        <v>12.901780716071727</v>
      </c>
      <c r="AF534" s="334">
        <f t="shared" si="269"/>
        <v>-108.02416058782153</v>
      </c>
      <c r="AH534">
        <f t="shared" si="270"/>
        <v>0</v>
      </c>
      <c r="AI534">
        <f t="shared" si="245"/>
        <v>0</v>
      </c>
    </row>
    <row r="535" spans="1:35" x14ac:dyDescent="0.2">
      <c r="A535" s="335">
        <v>78529</v>
      </c>
      <c r="B535" s="352">
        <f t="shared" si="271"/>
        <v>78.528999999999996</v>
      </c>
      <c r="C535" s="325">
        <f t="shared" si="246"/>
        <v>48.718927259969242</v>
      </c>
      <c r="D535" s="326">
        <f t="shared" si="247"/>
        <v>1.5502689817085507</v>
      </c>
      <c r="E535" s="326">
        <f t="shared" si="248"/>
        <v>1.0048573163740766</v>
      </c>
      <c r="F535" s="327">
        <f t="shared" si="249"/>
        <v>9.8363979753902181E-2</v>
      </c>
      <c r="G535" s="326">
        <f t="shared" si="250"/>
        <v>1</v>
      </c>
      <c r="H535" s="327">
        <f t="shared" si="251"/>
        <v>0</v>
      </c>
      <c r="I535" s="325">
        <f t="shared" si="252"/>
        <v>104228.37093536148</v>
      </c>
      <c r="J535" s="328">
        <f t="shared" si="253"/>
        <v>1.5707867324781952</v>
      </c>
      <c r="K535" s="336">
        <f t="shared" ref="K535:K598" si="273">SQRT(1+(A535/Zero2)^2)</f>
        <v>19.727313351677882</v>
      </c>
      <c r="L535" s="337">
        <f t="shared" ref="L535:L598" si="274">ATAN(A535/Zero2)</f>
        <v>1.5200834525473581</v>
      </c>
      <c r="M535" s="325">
        <f t="shared" si="254"/>
        <v>1.0178974751979848</v>
      </c>
      <c r="N535" s="337">
        <f t="shared" si="255"/>
        <v>0.18780072626837327</v>
      </c>
      <c r="O535" s="343">
        <f t="shared" si="256"/>
        <v>1.0991972933353291</v>
      </c>
      <c r="P535" s="691">
        <f t="shared" si="257"/>
        <v>0.42810331344228753</v>
      </c>
      <c r="Q535" s="336">
        <f t="shared" si="272"/>
        <v>7.0595252937389557</v>
      </c>
      <c r="R535" s="692">
        <f t="shared" si="258"/>
        <v>0.468754105789352</v>
      </c>
      <c r="S535" s="329">
        <f t="shared" si="259"/>
        <v>1.0966564292984038</v>
      </c>
      <c r="T535" s="330">
        <f t="shared" si="260"/>
        <v>0.43525598756258332</v>
      </c>
      <c r="U535" s="331">
        <f t="shared" si="261"/>
        <v>-6.9603226177649935</v>
      </c>
      <c r="V535" s="332">
        <f t="shared" si="262"/>
        <v>-124.12075189042449</v>
      </c>
      <c r="W535" s="334">
        <f t="shared" si="263"/>
        <v>55.879248109575514</v>
      </c>
      <c r="Y535" s="307">
        <f t="shared" si="264"/>
        <v>78529</v>
      </c>
      <c r="Z535" s="307">
        <f t="shared" si="265"/>
        <v>6166803841</v>
      </c>
      <c r="AB535" s="333">
        <f t="shared" si="266"/>
        <v>23.094783520519677</v>
      </c>
      <c r="AC535" s="334">
        <f t="shared" si="267"/>
        <v>-13.665272967791623</v>
      </c>
      <c r="AE535" s="333">
        <f t="shared" si="268"/>
        <v>12.843734194087112</v>
      </c>
      <c r="AF535" s="334">
        <f t="shared" si="269"/>
        <v>-108.12636008462194</v>
      </c>
      <c r="AH535">
        <f t="shared" si="270"/>
        <v>0</v>
      </c>
      <c r="AI535">
        <f t="shared" si="245"/>
        <v>0</v>
      </c>
    </row>
    <row r="536" spans="1:35" x14ac:dyDescent="0.2">
      <c r="A536" s="335">
        <v>78981</v>
      </c>
      <c r="B536" s="352">
        <f t="shared" si="271"/>
        <v>78.980999999999995</v>
      </c>
      <c r="C536" s="325">
        <f t="shared" si="246"/>
        <v>48.999227581502382</v>
      </c>
      <c r="D536" s="326">
        <f t="shared" si="247"/>
        <v>1.5503864248416377</v>
      </c>
      <c r="E536" s="326">
        <f t="shared" si="248"/>
        <v>1.0049132560325404</v>
      </c>
      <c r="F536" s="327">
        <f t="shared" si="249"/>
        <v>9.8926470454877388E-2</v>
      </c>
      <c r="G536" s="326">
        <f t="shared" si="250"/>
        <v>1</v>
      </c>
      <c r="H536" s="327">
        <f t="shared" si="251"/>
        <v>0</v>
      </c>
      <c r="I536" s="325">
        <f t="shared" si="252"/>
        <v>104828.292284907</v>
      </c>
      <c r="J536" s="328">
        <f t="shared" si="253"/>
        <v>1.570786787385466</v>
      </c>
      <c r="K536" s="336">
        <f t="shared" si="273"/>
        <v>19.840569583577654</v>
      </c>
      <c r="L536" s="337">
        <f t="shared" si="274"/>
        <v>1.5203731839308259</v>
      </c>
      <c r="M536" s="325">
        <f t="shared" si="254"/>
        <v>1.018102260876264</v>
      </c>
      <c r="N536" s="337">
        <f t="shared" si="255"/>
        <v>0.18885622676605424</v>
      </c>
      <c r="O536" s="343">
        <f t="shared" si="256"/>
        <v>1.1002902878890357</v>
      </c>
      <c r="P536" s="691">
        <f t="shared" si="257"/>
        <v>0.43027502588317862</v>
      </c>
      <c r="Q536" s="336">
        <f t="shared" si="272"/>
        <v>7.0677364820470521</v>
      </c>
      <c r="R536" s="692">
        <f t="shared" si="258"/>
        <v>0.47107851462364153</v>
      </c>
      <c r="S536" s="329">
        <f t="shared" si="259"/>
        <v>1.0977227812957722</v>
      </c>
      <c r="T536" s="330">
        <f t="shared" si="260"/>
        <v>0.43747928114215623</v>
      </c>
      <c r="U536" s="331">
        <f t="shared" si="261"/>
        <v>-7.0214502744457254</v>
      </c>
      <c r="V536" s="332">
        <f t="shared" si="262"/>
        <v>-124.27526522517591</v>
      </c>
      <c r="W536" s="334">
        <f t="shared" si="263"/>
        <v>55.724734774824086</v>
      </c>
      <c r="Y536" s="307">
        <f t="shared" si="264"/>
        <v>78981</v>
      </c>
      <c r="Z536" s="307">
        <f t="shared" si="265"/>
        <v>6237998361</v>
      </c>
      <c r="AB536" s="333">
        <f t="shared" si="266"/>
        <v>23.092908859031166</v>
      </c>
      <c r="AC536" s="334">
        <f t="shared" si="267"/>
        <v>-13.709151452122535</v>
      </c>
      <c r="AE536" s="333">
        <f t="shared" si="268"/>
        <v>12.785945615053393</v>
      </c>
      <c r="AF536" s="334">
        <f t="shared" si="269"/>
        <v>-108.22824607614388</v>
      </c>
      <c r="AH536">
        <f t="shared" si="270"/>
        <v>0</v>
      </c>
      <c r="AI536">
        <f t="shared" si="245"/>
        <v>0</v>
      </c>
    </row>
    <row r="537" spans="1:35" x14ac:dyDescent="0.2">
      <c r="A537" s="335">
        <v>79433</v>
      </c>
      <c r="B537" s="352">
        <f t="shared" si="271"/>
        <v>79.433000000000007</v>
      </c>
      <c r="C537" s="325">
        <f t="shared" si="246"/>
        <v>49.279528571188131</v>
      </c>
      <c r="D537" s="326">
        <f t="shared" si="247"/>
        <v>1.5505025319478472</v>
      </c>
      <c r="E537" s="326">
        <f t="shared" si="248"/>
        <v>1.0049695136058716</v>
      </c>
      <c r="F537" s="327">
        <f t="shared" si="249"/>
        <v>9.948889835802105E-2</v>
      </c>
      <c r="G537" s="326">
        <f t="shared" si="250"/>
        <v>1</v>
      </c>
      <c r="H537" s="327">
        <f t="shared" si="251"/>
        <v>0</v>
      </c>
      <c r="I537" s="325">
        <f t="shared" si="252"/>
        <v>105428.21363445281</v>
      </c>
      <c r="J537" s="328">
        <f t="shared" si="253"/>
        <v>1.5707868416678556</v>
      </c>
      <c r="K537" s="336">
        <f t="shared" si="273"/>
        <v>19.953827462073065</v>
      </c>
      <c r="L537" s="337">
        <f t="shared" si="274"/>
        <v>1.5206596263087879</v>
      </c>
      <c r="M537" s="325">
        <f t="shared" si="254"/>
        <v>1.0183081803462937</v>
      </c>
      <c r="N537" s="337">
        <f t="shared" si="255"/>
        <v>0.18991130155798353</v>
      </c>
      <c r="O537" s="343">
        <f t="shared" si="256"/>
        <v>1.1013884614664182</v>
      </c>
      <c r="P537" s="691">
        <f t="shared" si="257"/>
        <v>0.43244241778257553</v>
      </c>
      <c r="Q537" s="336">
        <f t="shared" si="272"/>
        <v>7.0759851881186275</v>
      </c>
      <c r="R537" s="692">
        <f t="shared" si="258"/>
        <v>0.47339755826315488</v>
      </c>
      <c r="S537" s="329">
        <f t="shared" si="259"/>
        <v>1.0987942134609523</v>
      </c>
      <c r="T537" s="330">
        <f t="shared" si="260"/>
        <v>0.43969839203361405</v>
      </c>
      <c r="U537" s="331">
        <f t="shared" si="261"/>
        <v>-7.0823322595254243</v>
      </c>
      <c r="V537" s="332">
        <f t="shared" si="262"/>
        <v>-124.42957012386459</v>
      </c>
      <c r="W537" s="334">
        <f t="shared" si="263"/>
        <v>55.570429876135407</v>
      </c>
      <c r="Y537" s="307">
        <f t="shared" si="264"/>
        <v>79433</v>
      </c>
      <c r="Z537" s="307">
        <f t="shared" si="265"/>
        <v>6309601489</v>
      </c>
      <c r="AB537" s="333">
        <f t="shared" si="266"/>
        <v>23.091027042471858</v>
      </c>
      <c r="AC537" s="334">
        <f t="shared" si="267"/>
        <v>-13.75319395564197</v>
      </c>
      <c r="AE537" s="333">
        <f t="shared" si="268"/>
        <v>12.728411920371245</v>
      </c>
      <c r="AF537" s="334">
        <f t="shared" si="269"/>
        <v>-108.32981946663874</v>
      </c>
      <c r="AH537">
        <f t="shared" si="270"/>
        <v>0</v>
      </c>
      <c r="AI537">
        <f t="shared" si="245"/>
        <v>0</v>
      </c>
    </row>
    <row r="538" spans="1:35" x14ac:dyDescent="0.2">
      <c r="A538" s="335">
        <v>79895.5</v>
      </c>
      <c r="B538" s="352">
        <f t="shared" si="271"/>
        <v>79.895499999999998</v>
      </c>
      <c r="C538" s="325">
        <f t="shared" si="246"/>
        <v>49.5663416574602</v>
      </c>
      <c r="D538" s="326">
        <f t="shared" si="247"/>
        <v>1.5506199769313285</v>
      </c>
      <c r="E538" s="326">
        <f t="shared" si="248"/>
        <v>1.0050274070703509</v>
      </c>
      <c r="F538" s="327">
        <f t="shared" si="249"/>
        <v>0.10006432614801916</v>
      </c>
      <c r="G538" s="326">
        <f t="shared" si="250"/>
        <v>1</v>
      </c>
      <c r="H538" s="327">
        <f t="shared" si="251"/>
        <v>0</v>
      </c>
      <c r="I538" s="325">
        <f t="shared" si="252"/>
        <v>106042.07121003928</v>
      </c>
      <c r="J538" s="328">
        <f t="shared" si="253"/>
        <v>1.5707868965754694</v>
      </c>
      <c r="K538" s="336">
        <f t="shared" si="273"/>
        <v>20.069718006445886</v>
      </c>
      <c r="L538" s="337">
        <f t="shared" si="274"/>
        <v>1.5209493763044961</v>
      </c>
      <c r="M538" s="325">
        <f t="shared" si="254"/>
        <v>1.0185200562312713</v>
      </c>
      <c r="N538" s="337">
        <f t="shared" si="255"/>
        <v>0.19099044299613452</v>
      </c>
      <c r="O538" s="343">
        <f t="shared" si="256"/>
        <v>1.1025174904542527</v>
      </c>
      <c r="P538" s="691">
        <f t="shared" si="257"/>
        <v>0.43465567838987806</v>
      </c>
      <c r="Q538" s="336">
        <f t="shared" si="272"/>
        <v>7.0844642108871403</v>
      </c>
      <c r="R538" s="692">
        <f t="shared" si="258"/>
        <v>0.47576491406968352</v>
      </c>
      <c r="S538" s="329">
        <f t="shared" si="259"/>
        <v>1.099895778229445</v>
      </c>
      <c r="T538" s="330">
        <f t="shared" si="260"/>
        <v>0.44196471560988865</v>
      </c>
      <c r="U538" s="331">
        <f t="shared" si="261"/>
        <v>-7.1443773409951117</v>
      </c>
      <c r="V538" s="332">
        <f t="shared" si="262"/>
        <v>-124.58724136664252</v>
      </c>
      <c r="W538" s="334">
        <f t="shared" si="263"/>
        <v>55.412758633357484</v>
      </c>
      <c r="Y538" s="307">
        <f t="shared" si="264"/>
        <v>79895.5</v>
      </c>
      <c r="Z538" s="307">
        <f t="shared" si="265"/>
        <v>6383290920.25</v>
      </c>
      <c r="AB538" s="333">
        <f t="shared" si="266"/>
        <v>23.089094066075099</v>
      </c>
      <c r="AC538" s="334">
        <f t="shared" si="267"/>
        <v>-13.798425899703894</v>
      </c>
      <c r="AE538" s="333">
        <f t="shared" si="268"/>
        <v>12.669802415140607</v>
      </c>
      <c r="AF538" s="334">
        <f t="shared" si="269"/>
        <v>-108.4334297607857</v>
      </c>
      <c r="AH538">
        <f t="shared" si="270"/>
        <v>0</v>
      </c>
      <c r="AI538">
        <f t="shared" ref="AI538:AI601" si="275">IF(AH538&gt;0,W538,0)</f>
        <v>0</v>
      </c>
    </row>
    <row r="539" spans="1:35" x14ac:dyDescent="0.2">
      <c r="A539" s="335">
        <v>80358</v>
      </c>
      <c r="B539" s="352">
        <f t="shared" si="271"/>
        <v>80.358000000000004</v>
      </c>
      <c r="C539" s="325">
        <f t="shared" si="246"/>
        <v>49.85315541955017</v>
      </c>
      <c r="D539" s="326">
        <f t="shared" si="247"/>
        <v>1.5507360705540891</v>
      </c>
      <c r="E539" s="326">
        <f t="shared" si="248"/>
        <v>1.0050856332782314</v>
      </c>
      <c r="F539" s="327">
        <f t="shared" si="249"/>
        <v>0.10063968745761837</v>
      </c>
      <c r="G539" s="326">
        <f t="shared" si="250"/>
        <v>1</v>
      </c>
      <c r="H539" s="327">
        <f t="shared" si="251"/>
        <v>0</v>
      </c>
      <c r="I539" s="325">
        <f t="shared" si="252"/>
        <v>106655.92878562608</v>
      </c>
      <c r="J539" s="328">
        <f t="shared" si="253"/>
        <v>1.5707869508510424</v>
      </c>
      <c r="K539" s="336">
        <f t="shared" si="273"/>
        <v>20.18561021642553</v>
      </c>
      <c r="L539" s="337">
        <f t="shared" si="274"/>
        <v>1.5212357992244705</v>
      </c>
      <c r="M539" s="325">
        <f t="shared" si="254"/>
        <v>1.0187331177357737</v>
      </c>
      <c r="N539" s="337">
        <f t="shared" si="255"/>
        <v>0.19206913429899933</v>
      </c>
      <c r="O539" s="343">
        <f t="shared" si="256"/>
        <v>1.1036519090836454</v>
      </c>
      <c r="P539" s="691">
        <f t="shared" si="257"/>
        <v>0.4368643998779515</v>
      </c>
      <c r="Q539" s="336">
        <f t="shared" si="272"/>
        <v>7.092982237221797</v>
      </c>
      <c r="R539" s="692">
        <f t="shared" si="258"/>
        <v>0.47812664095345675</v>
      </c>
      <c r="S539" s="329">
        <f t="shared" si="259"/>
        <v>1.101002630609331</v>
      </c>
      <c r="T539" s="330">
        <f t="shared" si="260"/>
        <v>0.4442266440780574</v>
      </c>
      <c r="U539" s="331">
        <f t="shared" si="261"/>
        <v>-7.2061714419983423</v>
      </c>
      <c r="V539" s="332">
        <f t="shared" si="262"/>
        <v>-124.74468952924526</v>
      </c>
      <c r="W539" s="334">
        <f t="shared" si="263"/>
        <v>55.255310470754736</v>
      </c>
      <c r="Y539" s="307">
        <f t="shared" si="264"/>
        <v>80358</v>
      </c>
      <c r="Z539" s="307">
        <f t="shared" si="265"/>
        <v>6457408164</v>
      </c>
      <c r="AB539" s="333">
        <f t="shared" si="266"/>
        <v>23.087153521147084</v>
      </c>
      <c r="AC539" s="334">
        <f t="shared" si="267"/>
        <v>-13.843822644098307</v>
      </c>
      <c r="AE539" s="333">
        <f t="shared" si="268"/>
        <v>12.611453471112172</v>
      </c>
      <c r="AF539" s="334">
        <f t="shared" si="269"/>
        <v>-108.53671461556769</v>
      </c>
      <c r="AH539">
        <f t="shared" si="270"/>
        <v>0</v>
      </c>
      <c r="AI539">
        <f t="shared" si="275"/>
        <v>0</v>
      </c>
    </row>
    <row r="540" spans="1:35" x14ac:dyDescent="0.2">
      <c r="A540" s="335">
        <v>80820.5</v>
      </c>
      <c r="B540" s="352">
        <f t="shared" si="271"/>
        <v>80.820499999999996</v>
      </c>
      <c r="C540" s="325">
        <f t="shared" si="246"/>
        <v>50.139969845860506</v>
      </c>
      <c r="D540" s="326">
        <f t="shared" si="247"/>
        <v>1.5508508360034381</v>
      </c>
      <c r="E540" s="326">
        <f t="shared" si="248"/>
        <v>1.005144192171687</v>
      </c>
      <c r="F540" s="327">
        <f t="shared" si="249"/>
        <v>0.10121498191746928</v>
      </c>
      <c r="G540" s="326">
        <f t="shared" si="250"/>
        <v>1</v>
      </c>
      <c r="H540" s="327">
        <f t="shared" si="251"/>
        <v>0</v>
      </c>
      <c r="I540" s="325">
        <f t="shared" si="252"/>
        <v>107269.78636121316</v>
      </c>
      <c r="J540" s="328">
        <f t="shared" si="253"/>
        <v>1.5707870045054251</v>
      </c>
      <c r="K540" s="336">
        <f t="shared" si="273"/>
        <v>20.301504063487382</v>
      </c>
      <c r="L540" s="337">
        <f t="shared" si="274"/>
        <v>1.521518952000477</v>
      </c>
      <c r="M540" s="325">
        <f t="shared" si="254"/>
        <v>1.0189473641160627</v>
      </c>
      <c r="N540" s="337">
        <f t="shared" si="255"/>
        <v>0.19314737323946163</v>
      </c>
      <c r="O540" s="343">
        <f t="shared" si="256"/>
        <v>1.1047917007520742</v>
      </c>
      <c r="P540" s="691">
        <f t="shared" si="257"/>
        <v>0.43906857471230476</v>
      </c>
      <c r="Q540" s="336">
        <f t="shared" si="272"/>
        <v>7.1015391268067356</v>
      </c>
      <c r="R540" s="692">
        <f t="shared" si="258"/>
        <v>0.48048273347505716</v>
      </c>
      <c r="S540" s="329">
        <f t="shared" si="259"/>
        <v>1.1021147547405954</v>
      </c>
      <c r="T540" s="330">
        <f t="shared" si="260"/>
        <v>0.4464841697280133</v>
      </c>
      <c r="U540" s="331">
        <f t="shared" si="261"/>
        <v>-7.2677176286932745</v>
      </c>
      <c r="V540" s="332">
        <f t="shared" si="262"/>
        <v>-124.90191225071969</v>
      </c>
      <c r="W540" s="334">
        <f t="shared" si="263"/>
        <v>55.09808774928031</v>
      </c>
      <c r="Y540" s="307">
        <f t="shared" si="264"/>
        <v>80820.5</v>
      </c>
      <c r="Z540" s="307">
        <f t="shared" si="265"/>
        <v>6531953220.25</v>
      </c>
      <c r="AB540" s="333">
        <f t="shared" si="266"/>
        <v>23.085205370911584</v>
      </c>
      <c r="AC540" s="334">
        <f t="shared" si="267"/>
        <v>-13.889380799892614</v>
      </c>
      <c r="AE540" s="333">
        <f t="shared" si="268"/>
        <v>12.553361987709927</v>
      </c>
      <c r="AF540" s="334">
        <f t="shared" si="269"/>
        <v>-108.63967493892524</v>
      </c>
      <c r="AH540">
        <f t="shared" si="270"/>
        <v>0</v>
      </c>
      <c r="AI540">
        <f t="shared" si="275"/>
        <v>0</v>
      </c>
    </row>
    <row r="541" spans="1:35" x14ac:dyDescent="0.2">
      <c r="A541" s="335">
        <v>81283</v>
      </c>
      <c r="B541" s="352">
        <f t="shared" si="271"/>
        <v>81.283000000000001</v>
      </c>
      <c r="C541" s="325">
        <f t="shared" si="246"/>
        <v>50.426784925057454</v>
      </c>
      <c r="D541" s="326">
        <f t="shared" si="247"/>
        <v>1.550964295939292</v>
      </c>
      <c r="E541" s="326">
        <f t="shared" si="248"/>
        <v>1.0052030836925756</v>
      </c>
      <c r="F541" s="327">
        <f t="shared" si="249"/>
        <v>0.10179020915848527</v>
      </c>
      <c r="G541" s="326">
        <f t="shared" si="250"/>
        <v>1</v>
      </c>
      <c r="H541" s="327">
        <f t="shared" si="251"/>
        <v>0</v>
      </c>
      <c r="I541" s="325">
        <f t="shared" si="252"/>
        <v>107883.64393680058</v>
      </c>
      <c r="J541" s="328">
        <f t="shared" si="253"/>
        <v>1.5707870575492211</v>
      </c>
      <c r="K541" s="336">
        <f t="shared" si="273"/>
        <v>20.417399519754085</v>
      </c>
      <c r="L541" s="337">
        <f t="shared" si="274"/>
        <v>1.5217988902737578</v>
      </c>
      <c r="M541" s="325">
        <f t="shared" si="254"/>
        <v>1.019162794624892</v>
      </c>
      <c r="N541" s="337">
        <f t="shared" si="255"/>
        <v>0.19422515759648004</v>
      </c>
      <c r="O541" s="343">
        <f t="shared" si="256"/>
        <v>1.1059368488469852</v>
      </c>
      <c r="P541" s="691">
        <f t="shared" si="257"/>
        <v>0.4412681955661476</v>
      </c>
      <c r="Q541" s="336">
        <f t="shared" si="272"/>
        <v>7.1101347393629544</v>
      </c>
      <c r="R541" s="692">
        <f t="shared" si="258"/>
        <v>0.48283318646754358</v>
      </c>
      <c r="S541" s="329">
        <f t="shared" si="259"/>
        <v>1.1032321347518601</v>
      </c>
      <c r="T541" s="330">
        <f t="shared" si="260"/>
        <v>0.44873728504868277</v>
      </c>
      <c r="U541" s="331">
        <f t="shared" si="261"/>
        <v>-7.3290189095868374</v>
      </c>
      <c r="V541" s="332">
        <f t="shared" si="262"/>
        <v>-125.05890722927086</v>
      </c>
      <c r="W541" s="334">
        <f t="shared" si="263"/>
        <v>54.941092770729142</v>
      </c>
      <c r="Y541" s="307">
        <f t="shared" si="264"/>
        <v>81283</v>
      </c>
      <c r="Z541" s="307">
        <f t="shared" si="265"/>
        <v>6606926089</v>
      </c>
      <c r="AB541" s="333">
        <f t="shared" si="266"/>
        <v>23.083249580042192</v>
      </c>
      <c r="AC541" s="334">
        <f t="shared" si="267"/>
        <v>-13.93509705242969</v>
      </c>
      <c r="AE541" s="333">
        <f t="shared" si="268"/>
        <v>12.495524921045224</v>
      </c>
      <c r="AF541" s="334">
        <f t="shared" si="269"/>
        <v>-108.74231161997024</v>
      </c>
      <c r="AH541">
        <f t="shared" si="270"/>
        <v>0</v>
      </c>
      <c r="AI541">
        <f t="shared" si="275"/>
        <v>0</v>
      </c>
    </row>
    <row r="542" spans="1:35" x14ac:dyDescent="0.2">
      <c r="A542" s="335">
        <v>81756.25</v>
      </c>
      <c r="B542" s="352">
        <f t="shared" si="271"/>
        <v>81.756249999999994</v>
      </c>
      <c r="C542" s="325">
        <f t="shared" si="246"/>
        <v>50.720267181177896</v>
      </c>
      <c r="D542" s="326">
        <f t="shared" si="247"/>
        <v>1.5510790647695023</v>
      </c>
      <c r="E542" s="326">
        <f t="shared" si="248"/>
        <v>1.0052636882967192</v>
      </c>
      <c r="F542" s="327">
        <f t="shared" si="249"/>
        <v>0.10237873658087908</v>
      </c>
      <c r="G542" s="326">
        <f t="shared" si="250"/>
        <v>1</v>
      </c>
      <c r="H542" s="327">
        <f t="shared" si="251"/>
        <v>0</v>
      </c>
      <c r="I542" s="325">
        <f t="shared" si="252"/>
        <v>108511.76955333438</v>
      </c>
      <c r="J542" s="328">
        <f t="shared" si="253"/>
        <v>1.5707871112046972</v>
      </c>
      <c r="K542" s="336">
        <f t="shared" si="273"/>
        <v>20.535990399625284</v>
      </c>
      <c r="L542" s="337">
        <f t="shared" si="274"/>
        <v>1.5220820645028639</v>
      </c>
      <c r="M542" s="325">
        <f t="shared" si="254"/>
        <v>1.0193844573871604</v>
      </c>
      <c r="N542" s="337">
        <f t="shared" si="255"/>
        <v>0.19532752029175071</v>
      </c>
      <c r="O542" s="343">
        <f t="shared" si="256"/>
        <v>1.1071141411829946</v>
      </c>
      <c r="P542" s="691">
        <f t="shared" si="257"/>
        <v>0.44351422133166568</v>
      </c>
      <c r="Q542" s="336">
        <f t="shared" si="272"/>
        <v>7.1189700790488581</v>
      </c>
      <c r="R542" s="692">
        <f t="shared" si="258"/>
        <v>0.48523242883041906</v>
      </c>
      <c r="S542" s="329">
        <f t="shared" si="259"/>
        <v>1.1043809102764368</v>
      </c>
      <c r="T542" s="330">
        <f t="shared" si="260"/>
        <v>0.45103819716312538</v>
      </c>
      <c r="U542" s="331">
        <f t="shared" si="261"/>
        <v>-7.3914945997779471</v>
      </c>
      <c r="V542" s="332">
        <f t="shared" si="262"/>
        <v>-125.21931319515133</v>
      </c>
      <c r="W542" s="334">
        <f t="shared" si="263"/>
        <v>54.780686804848671</v>
      </c>
      <c r="Y542" s="307">
        <f t="shared" si="264"/>
        <v>81756.25</v>
      </c>
      <c r="Z542" s="307">
        <f t="shared" si="265"/>
        <v>6684084414.0625</v>
      </c>
      <c r="AB542" s="333">
        <f t="shared" si="266"/>
        <v>23.081240385782777</v>
      </c>
      <c r="AC542" s="334">
        <f t="shared" si="267"/>
        <v>-13.982036168452691</v>
      </c>
      <c r="AE542" s="333">
        <f t="shared" si="268"/>
        <v>12.436603771893564</v>
      </c>
      <c r="AF542" s="334">
        <f t="shared" si="269"/>
        <v>-108.84699980543778</v>
      </c>
      <c r="AH542">
        <f t="shared" si="270"/>
        <v>0</v>
      </c>
      <c r="AI542">
        <f t="shared" si="275"/>
        <v>0</v>
      </c>
    </row>
    <row r="543" spans="1:35" x14ac:dyDescent="0.2">
      <c r="A543" s="335">
        <v>82229.5</v>
      </c>
      <c r="B543" s="352">
        <f t="shared" si="271"/>
        <v>82.229500000000002</v>
      </c>
      <c r="C543" s="325">
        <f t="shared" si="246"/>
        <v>51.013750097692878</v>
      </c>
      <c r="D543" s="326">
        <f t="shared" si="247"/>
        <v>1.5511925130673774</v>
      </c>
      <c r="E543" s="326">
        <f t="shared" si="248"/>
        <v>1.0053246410464944</v>
      </c>
      <c r="F543" s="327">
        <f t="shared" si="249"/>
        <v>0.10296719284233491</v>
      </c>
      <c r="G543" s="326">
        <f t="shared" si="250"/>
        <v>1</v>
      </c>
      <c r="H543" s="327">
        <f t="shared" si="251"/>
        <v>0</v>
      </c>
      <c r="I543" s="325">
        <f t="shared" si="252"/>
        <v>109139.89516986848</v>
      </c>
      <c r="J543" s="328">
        <f t="shared" si="253"/>
        <v>1.5707871642425737</v>
      </c>
      <c r="K543" s="336">
        <f t="shared" si="273"/>
        <v>20.654582907319252</v>
      </c>
      <c r="L543" s="337">
        <f t="shared" si="274"/>
        <v>1.5223619869488185</v>
      </c>
      <c r="M543" s="325">
        <f t="shared" si="254"/>
        <v>1.0196073583695109</v>
      </c>
      <c r="N543" s="337">
        <f t="shared" si="255"/>
        <v>0.19642940234054299</v>
      </c>
      <c r="O543" s="343">
        <f t="shared" si="256"/>
        <v>1.1082970066203892</v>
      </c>
      <c r="P543" s="691">
        <f t="shared" si="257"/>
        <v>0.44575546409765976</v>
      </c>
      <c r="Q543" s="336">
        <f t="shared" si="272"/>
        <v>7.1278456657054035</v>
      </c>
      <c r="R543" s="692">
        <f t="shared" si="258"/>
        <v>0.48762575637415329</v>
      </c>
      <c r="S543" s="329">
        <f t="shared" si="259"/>
        <v>1.1055351551931858</v>
      </c>
      <c r="T543" s="330">
        <f t="shared" si="260"/>
        <v>0.4533344762670124</v>
      </c>
      <c r="U543" s="331">
        <f t="shared" si="261"/>
        <v>-7.453720061184085</v>
      </c>
      <c r="V543" s="332">
        <f t="shared" si="262"/>
        <v>-125.37947601593487</v>
      </c>
      <c r="W543" s="334">
        <f t="shared" si="263"/>
        <v>54.62052398406513</v>
      </c>
      <c r="Y543" s="307">
        <f t="shared" si="264"/>
        <v>82229.5</v>
      </c>
      <c r="Z543" s="307">
        <f t="shared" si="265"/>
        <v>6761690670.25</v>
      </c>
      <c r="AB543" s="333">
        <f t="shared" si="266"/>
        <v>23.079223121186967</v>
      </c>
      <c r="AC543" s="334">
        <f t="shared" si="267"/>
        <v>-14.029134023525831</v>
      </c>
      <c r="AE543" s="333">
        <f t="shared" si="268"/>
        <v>12.377942731905966</v>
      </c>
      <c r="AF543" s="334">
        <f t="shared" si="269"/>
        <v>-108.95135095524552</v>
      </c>
      <c r="AH543">
        <f t="shared" si="270"/>
        <v>0</v>
      </c>
      <c r="AI543">
        <f t="shared" si="275"/>
        <v>0</v>
      </c>
    </row>
    <row r="544" spans="1:35" x14ac:dyDescent="0.2">
      <c r="A544" s="335">
        <v>82702.75</v>
      </c>
      <c r="B544" s="352">
        <f t="shared" si="271"/>
        <v>82.702749999999995</v>
      </c>
      <c r="C544" s="325">
        <f t="shared" si="246"/>
        <v>51.307233663269812</v>
      </c>
      <c r="D544" s="326">
        <f t="shared" si="247"/>
        <v>1.551304663490785</v>
      </c>
      <c r="E544" s="326">
        <f t="shared" si="248"/>
        <v>1.0053859418785807</v>
      </c>
      <c r="F544" s="327">
        <f t="shared" si="249"/>
        <v>0.10355557754829046</v>
      </c>
      <c r="G544" s="326">
        <f t="shared" si="250"/>
        <v>1</v>
      </c>
      <c r="H544" s="327">
        <f t="shared" si="251"/>
        <v>0</v>
      </c>
      <c r="I544" s="325">
        <f t="shared" si="252"/>
        <v>109768.02078640291</v>
      </c>
      <c r="J544" s="328">
        <f t="shared" si="253"/>
        <v>1.5707872166734529</v>
      </c>
      <c r="K544" s="336">
        <f t="shared" si="273"/>
        <v>20.773177014956637</v>
      </c>
      <c r="L544" s="337">
        <f t="shared" si="274"/>
        <v>1.5226387132606833</v>
      </c>
      <c r="M544" s="325">
        <f t="shared" si="254"/>
        <v>1.0198314967600428</v>
      </c>
      <c r="N544" s="337">
        <f t="shared" si="255"/>
        <v>0.19753080138321041</v>
      </c>
      <c r="O544" s="343">
        <f t="shared" si="256"/>
        <v>1.1094854273340711</v>
      </c>
      <c r="P544" s="691">
        <f t="shared" si="257"/>
        <v>0.44799191668194294</v>
      </c>
      <c r="Q544" s="336">
        <f t="shared" si="272"/>
        <v>7.1367613492110618</v>
      </c>
      <c r="R544" s="692">
        <f t="shared" si="258"/>
        <v>0.49001316443460302</v>
      </c>
      <c r="S544" s="329">
        <f t="shared" si="259"/>
        <v>1.1066948524664655</v>
      </c>
      <c r="T544" s="330">
        <f t="shared" si="260"/>
        <v>0.45562611495325939</v>
      </c>
      <c r="U544" s="331">
        <f t="shared" si="261"/>
        <v>-7.5156983382862643</v>
      </c>
      <c r="V544" s="332">
        <f t="shared" si="262"/>
        <v>-125.5393934092604</v>
      </c>
      <c r="W544" s="334">
        <f t="shared" si="263"/>
        <v>54.460606590739602</v>
      </c>
      <c r="Y544" s="307">
        <f t="shared" si="264"/>
        <v>82702.75</v>
      </c>
      <c r="Z544" s="307">
        <f t="shared" si="265"/>
        <v>6839744857.5625</v>
      </c>
      <c r="AB544" s="333">
        <f t="shared" si="266"/>
        <v>23.077197752818527</v>
      </c>
      <c r="AC544" s="334">
        <f t="shared" si="267"/>
        <v>-14.076387294602435</v>
      </c>
      <c r="AE544" s="333">
        <f t="shared" si="268"/>
        <v>12.319538715886711</v>
      </c>
      <c r="AF544" s="334">
        <f t="shared" si="269"/>
        <v>-109.05536596580581</v>
      </c>
      <c r="AH544">
        <f t="shared" si="270"/>
        <v>0</v>
      </c>
      <c r="AI544">
        <f t="shared" si="275"/>
        <v>0</v>
      </c>
    </row>
    <row r="545" spans="1:35" x14ac:dyDescent="0.2">
      <c r="A545" s="335">
        <v>83176</v>
      </c>
      <c r="B545" s="352">
        <f t="shared" si="271"/>
        <v>83.176000000000002</v>
      </c>
      <c r="C545" s="325">
        <f t="shared" si="246"/>
        <v>51.600717866833918</v>
      </c>
      <c r="D545" s="326">
        <f t="shared" si="247"/>
        <v>1.5514155381822485</v>
      </c>
      <c r="E545" s="326">
        <f t="shared" si="248"/>
        <v>1.0054475907293117</v>
      </c>
      <c r="F545" s="327">
        <f t="shared" si="249"/>
        <v>0.1041438903044776</v>
      </c>
      <c r="G545" s="326">
        <f t="shared" si="250"/>
        <v>1</v>
      </c>
      <c r="H545" s="327">
        <f t="shared" si="251"/>
        <v>0</v>
      </c>
      <c r="I545" s="325">
        <f t="shared" si="252"/>
        <v>110396.14640293761</v>
      </c>
      <c r="J545" s="328">
        <f t="shared" si="253"/>
        <v>1.5707872685076956</v>
      </c>
      <c r="K545" s="336">
        <f t="shared" si="273"/>
        <v>20.891772695290744</v>
      </c>
      <c r="L545" s="337">
        <f t="shared" si="274"/>
        <v>1.5229122978258975</v>
      </c>
      <c r="M545" s="325">
        <f t="shared" si="254"/>
        <v>1.0200568717430645</v>
      </c>
      <c r="N545" s="337">
        <f t="shared" si="255"/>
        <v>0.19863171506686197</v>
      </c>
      <c r="O545" s="343">
        <f t="shared" si="256"/>
        <v>1.1106793854916968</v>
      </c>
      <c r="P545" s="691">
        <f t="shared" si="257"/>
        <v>0.45022357212466779</v>
      </c>
      <c r="Q545" s="336">
        <f t="shared" si="272"/>
        <v>7.1457169795170676</v>
      </c>
      <c r="R545" s="692">
        <f t="shared" si="258"/>
        <v>0.49239464863655408</v>
      </c>
      <c r="S545" s="329">
        <f t="shared" si="259"/>
        <v>1.1078599850517425</v>
      </c>
      <c r="T545" s="330">
        <f t="shared" si="260"/>
        <v>0.45791310602810548</v>
      </c>
      <c r="U545" s="331">
        <f t="shared" si="261"/>
        <v>-7.5774324181217665</v>
      </c>
      <c r="V545" s="332">
        <f t="shared" si="262"/>
        <v>-125.69906315191947</v>
      </c>
      <c r="W545" s="334">
        <f t="shared" si="263"/>
        <v>54.300936848080525</v>
      </c>
      <c r="Y545" s="307">
        <f t="shared" si="264"/>
        <v>83176</v>
      </c>
      <c r="Z545" s="307">
        <f t="shared" si="265"/>
        <v>6918246976</v>
      </c>
      <c r="AB545" s="333">
        <f t="shared" si="266"/>
        <v>23.075164248632582</v>
      </c>
      <c r="AC545" s="334">
        <f t="shared" si="267"/>
        <v>-14.12379273129468</v>
      </c>
      <c r="AE545" s="333">
        <f t="shared" si="268"/>
        <v>12.261388695240253</v>
      </c>
      <c r="AF545" s="334">
        <f t="shared" si="269"/>
        <v>-109.15904571620949</v>
      </c>
      <c r="AH545">
        <f t="shared" si="270"/>
        <v>0</v>
      </c>
      <c r="AI545">
        <f t="shared" si="275"/>
        <v>0</v>
      </c>
    </row>
    <row r="546" spans="1:35" x14ac:dyDescent="0.2">
      <c r="A546" s="335">
        <v>83660.5</v>
      </c>
      <c r="B546" s="352">
        <f t="shared" si="271"/>
        <v>83.660499999999999</v>
      </c>
      <c r="C546" s="325">
        <f t="shared" si="246"/>
        <v>51.901179365106614</v>
      </c>
      <c r="D546" s="326">
        <f t="shared" si="247"/>
        <v>1.5515277495758051</v>
      </c>
      <c r="E546" s="326">
        <f t="shared" si="248"/>
        <v>1.0055110655433024</v>
      </c>
      <c r="F546" s="327">
        <f t="shared" si="249"/>
        <v>0.10474611336141046</v>
      </c>
      <c r="G546" s="326">
        <f t="shared" si="250"/>
        <v>1</v>
      </c>
      <c r="H546" s="327">
        <f t="shared" si="251"/>
        <v>0</v>
      </c>
      <c r="I546" s="325">
        <f t="shared" si="252"/>
        <v>111039.20369023019</v>
      </c>
      <c r="J546" s="328">
        <f t="shared" si="253"/>
        <v>1.5707873209666234</v>
      </c>
      <c r="K546" s="336">
        <f t="shared" si="273"/>
        <v>21.013189208744439</v>
      </c>
      <c r="L546" s="337">
        <f t="shared" si="274"/>
        <v>1.5231891868253249</v>
      </c>
      <c r="M546" s="325">
        <f t="shared" si="254"/>
        <v>1.0202888844732791</v>
      </c>
      <c r="N546" s="337">
        <f t="shared" si="255"/>
        <v>0.19975829418771843</v>
      </c>
      <c r="O546" s="343">
        <f t="shared" si="256"/>
        <v>1.1119074440076084</v>
      </c>
      <c r="P546" s="691">
        <f t="shared" si="257"/>
        <v>0.45250330142673301</v>
      </c>
      <c r="Q546" s="336">
        <f t="shared" si="272"/>
        <v>7.1549267271025538</v>
      </c>
      <c r="R546" s="692">
        <f t="shared" si="258"/>
        <v>0.49482660395186362</v>
      </c>
      <c r="S546" s="329">
        <f t="shared" si="259"/>
        <v>1.1090584277780504</v>
      </c>
      <c r="T546" s="330">
        <f t="shared" si="260"/>
        <v>0.46024964104008903</v>
      </c>
      <c r="U546" s="331">
        <f t="shared" si="261"/>
        <v>-7.6403841138191755</v>
      </c>
      <c r="V546" s="332">
        <f t="shared" si="262"/>
        <v>-125.86226971837151</v>
      </c>
      <c r="W546" s="334">
        <f t="shared" si="263"/>
        <v>54.137730281628492</v>
      </c>
      <c r="Y546" s="307">
        <f t="shared" si="264"/>
        <v>83660.5</v>
      </c>
      <c r="Z546" s="307">
        <f t="shared" si="265"/>
        <v>6999079260.25</v>
      </c>
      <c r="AB546" s="333">
        <f t="shared" si="266"/>
        <v>23.073073944143804</v>
      </c>
      <c r="AC546" s="334">
        <f t="shared" si="267"/>
        <v>-14.172479394877328</v>
      </c>
      <c r="AE546" s="333">
        <f t="shared" si="268"/>
        <v>12.202116364261853</v>
      </c>
      <c r="AF546" s="334">
        <f t="shared" si="269"/>
        <v>-109.26484371097794</v>
      </c>
      <c r="AH546">
        <f t="shared" si="270"/>
        <v>0</v>
      </c>
      <c r="AI546">
        <f t="shared" si="275"/>
        <v>0</v>
      </c>
    </row>
    <row r="547" spans="1:35" x14ac:dyDescent="0.2">
      <c r="A547" s="335">
        <v>84145</v>
      </c>
      <c r="B547" s="352">
        <f t="shared" si="271"/>
        <v>84.144999999999996</v>
      </c>
      <c r="C547" s="325">
        <f t="shared" si="246"/>
        <v>52.201641509364727</v>
      </c>
      <c r="D547" s="326">
        <f t="shared" si="247"/>
        <v>1.5516386692383417</v>
      </c>
      <c r="E547" s="326">
        <f t="shared" si="248"/>
        <v>1.0055749049825005</v>
      </c>
      <c r="F547" s="327">
        <f t="shared" si="249"/>
        <v>0.1053482601718224</v>
      </c>
      <c r="G547" s="326">
        <f t="shared" si="250"/>
        <v>1</v>
      </c>
      <c r="H547" s="327">
        <f t="shared" si="251"/>
        <v>0</v>
      </c>
      <c r="I547" s="325">
        <f t="shared" si="252"/>
        <v>111682.26097752305</v>
      </c>
      <c r="J547" s="328">
        <f t="shared" si="253"/>
        <v>1.5707873728214432</v>
      </c>
      <c r="K547" s="336">
        <f t="shared" si="273"/>
        <v>21.134607314716671</v>
      </c>
      <c r="L547" s="337">
        <f t="shared" si="274"/>
        <v>1.5234628943965152</v>
      </c>
      <c r="M547" s="325">
        <f t="shared" si="254"/>
        <v>1.0205221915445102</v>
      </c>
      <c r="N547" s="337">
        <f t="shared" si="255"/>
        <v>0.20088435963057863</v>
      </c>
      <c r="O547" s="343">
        <f t="shared" si="256"/>
        <v>1.1131412685225439</v>
      </c>
      <c r="P547" s="691">
        <f t="shared" si="257"/>
        <v>0.454777988748294</v>
      </c>
      <c r="Q547" s="336">
        <f t="shared" si="272"/>
        <v>7.1641780252706448</v>
      </c>
      <c r="R547" s="692">
        <f t="shared" si="258"/>
        <v>0.49725234205623886</v>
      </c>
      <c r="S547" s="329">
        <f t="shared" si="259"/>
        <v>1.1102625311235697</v>
      </c>
      <c r="T547" s="330">
        <f t="shared" si="260"/>
        <v>0.46258129027084383</v>
      </c>
      <c r="U547" s="331">
        <f t="shared" si="261"/>
        <v>-7.7030860214839691</v>
      </c>
      <c r="V547" s="332">
        <f t="shared" si="262"/>
        <v>-126.02521218852054</v>
      </c>
      <c r="W547" s="334">
        <f t="shared" si="263"/>
        <v>53.974787811479459</v>
      </c>
      <c r="Y547" s="307">
        <f t="shared" si="264"/>
        <v>84145</v>
      </c>
      <c r="Z547" s="307">
        <f t="shared" si="265"/>
        <v>7080381025</v>
      </c>
      <c r="AB547" s="333">
        <f t="shared" si="266"/>
        <v>23.070975048736976</v>
      </c>
      <c r="AC547" s="334">
        <f t="shared" si="267"/>
        <v>-14.221318874676896</v>
      </c>
      <c r="AE547" s="333">
        <f t="shared" si="268"/>
        <v>12.143104000144673</v>
      </c>
      <c r="AF547" s="334">
        <f t="shared" si="269"/>
        <v>-109.37029212897011</v>
      </c>
      <c r="AH547">
        <f t="shared" si="270"/>
        <v>0</v>
      </c>
      <c r="AI547">
        <f t="shared" si="275"/>
        <v>0</v>
      </c>
    </row>
    <row r="548" spans="1:35" x14ac:dyDescent="0.2">
      <c r="A548" s="335">
        <v>84629.5</v>
      </c>
      <c r="B548" s="352">
        <f t="shared" si="271"/>
        <v>84.629499999999993</v>
      </c>
      <c r="C548" s="325">
        <f t="shared" si="246"/>
        <v>52.502104288517636</v>
      </c>
      <c r="D548" s="326">
        <f t="shared" si="247"/>
        <v>1.551748319344336</v>
      </c>
      <c r="E548" s="326">
        <f t="shared" si="248"/>
        <v>1.005639108977465</v>
      </c>
      <c r="F548" s="327">
        <f t="shared" si="249"/>
        <v>0.10595033031362222</v>
      </c>
      <c r="G548" s="326">
        <f t="shared" si="250"/>
        <v>1</v>
      </c>
      <c r="H548" s="327">
        <f t="shared" si="251"/>
        <v>0</v>
      </c>
      <c r="I548" s="325">
        <f t="shared" si="252"/>
        <v>112325.31826481623</v>
      </c>
      <c r="J548" s="328">
        <f t="shared" si="253"/>
        <v>1.5707874240825299</v>
      </c>
      <c r="K548" s="336">
        <f t="shared" si="273"/>
        <v>21.256026985917227</v>
      </c>
      <c r="L548" s="337">
        <f t="shared" si="274"/>
        <v>1.5237334750174123</v>
      </c>
      <c r="M548" s="325">
        <f t="shared" si="254"/>
        <v>1.0207567920692431</v>
      </c>
      <c r="N548" s="337">
        <f t="shared" si="255"/>
        <v>0.20200990889289427</v>
      </c>
      <c r="O548" s="343">
        <f t="shared" si="256"/>
        <v>1.1143808398844395</v>
      </c>
      <c r="P548" s="691">
        <f t="shared" si="257"/>
        <v>0.45704762733632304</v>
      </c>
      <c r="Q548" s="336">
        <f t="shared" si="272"/>
        <v>7.1734707133042095</v>
      </c>
      <c r="R548" s="692">
        <f t="shared" si="258"/>
        <v>0.49967185917961521</v>
      </c>
      <c r="S548" s="329">
        <f t="shared" si="259"/>
        <v>1.1114722767759186</v>
      </c>
      <c r="T548" s="330">
        <f t="shared" si="260"/>
        <v>0.46490804668779062</v>
      </c>
      <c r="U548" s="331">
        <f t="shared" si="261"/>
        <v>-7.7655411679024251</v>
      </c>
      <c r="V548" s="332">
        <f t="shared" si="262"/>
        <v>-126.18788836088139</v>
      </c>
      <c r="W548" s="334">
        <f t="shared" si="263"/>
        <v>53.812111639118612</v>
      </c>
      <c r="Y548" s="307">
        <f t="shared" si="264"/>
        <v>84629.5</v>
      </c>
      <c r="Z548" s="307">
        <f t="shared" si="265"/>
        <v>7162152270.25</v>
      </c>
      <c r="AB548" s="333">
        <f t="shared" si="266"/>
        <v>23.068867532269039</v>
      </c>
      <c r="AC548" s="334">
        <f t="shared" si="267"/>
        <v>-14.270307906546114</v>
      </c>
      <c r="AE548" s="333">
        <f t="shared" si="268"/>
        <v>12.08434852907355</v>
      </c>
      <c r="AF548" s="334">
        <f t="shared" si="269"/>
        <v>-109.47539186193688</v>
      </c>
      <c r="AH548">
        <f t="shared" si="270"/>
        <v>0</v>
      </c>
      <c r="AI548">
        <f t="shared" si="275"/>
        <v>0</v>
      </c>
    </row>
    <row r="549" spans="1:35" x14ac:dyDescent="0.2">
      <c r="A549" s="335">
        <v>85114</v>
      </c>
      <c r="B549" s="352">
        <f t="shared" si="271"/>
        <v>85.114000000000004</v>
      </c>
      <c r="C549" s="325">
        <f t="shared" si="246"/>
        <v>52.802567691727084</v>
      </c>
      <c r="D549" s="326">
        <f t="shared" si="247"/>
        <v>1.55185672156367</v>
      </c>
      <c r="E549" s="326">
        <f t="shared" si="248"/>
        <v>1.0057036774583767</v>
      </c>
      <c r="F549" s="327">
        <f t="shared" si="249"/>
        <v>0.10655232336504848</v>
      </c>
      <c r="G549" s="326">
        <f t="shared" si="250"/>
        <v>1</v>
      </c>
      <c r="H549" s="327">
        <f t="shared" si="251"/>
        <v>0</v>
      </c>
      <c r="I549" s="325">
        <f t="shared" si="252"/>
        <v>112968.37555210969</v>
      </c>
      <c r="J549" s="328">
        <f t="shared" si="253"/>
        <v>1.570787474760023</v>
      </c>
      <c r="K549" s="336">
        <f t="shared" si="273"/>
        <v>21.377448195675537</v>
      </c>
      <c r="L549" s="337">
        <f t="shared" si="274"/>
        <v>1.5240009819301044</v>
      </c>
      <c r="M549" s="325">
        <f t="shared" si="254"/>
        <v>1.0209926851558606</v>
      </c>
      <c r="N549" s="337">
        <f t="shared" si="255"/>
        <v>0.20313493947964215</v>
      </c>
      <c r="O549" s="343">
        <f t="shared" si="256"/>
        <v>1.1156261389373434</v>
      </c>
      <c r="P549" s="691">
        <f t="shared" si="257"/>
        <v>0.45931221067579303</v>
      </c>
      <c r="Q549" s="336">
        <f t="shared" si="272"/>
        <v>7.1828046306006952</v>
      </c>
      <c r="R549" s="692">
        <f t="shared" si="258"/>
        <v>0.50208515185814651</v>
      </c>
      <c r="S549" s="329">
        <f t="shared" si="259"/>
        <v>1.1126876464168227</v>
      </c>
      <c r="T549" s="330">
        <f t="shared" si="260"/>
        <v>0.46722990348699528</v>
      </c>
      <c r="U549" s="331">
        <f t="shared" si="261"/>
        <v>-7.8277525225220499</v>
      </c>
      <c r="V549" s="332">
        <f t="shared" si="262"/>
        <v>-126.35029609327466</v>
      </c>
      <c r="W549" s="334">
        <f t="shared" si="263"/>
        <v>53.649703906725335</v>
      </c>
      <c r="Y549" s="307">
        <f t="shared" si="264"/>
        <v>85114</v>
      </c>
      <c r="Z549" s="307">
        <f t="shared" si="265"/>
        <v>7244392996</v>
      </c>
      <c r="AB549" s="333">
        <f t="shared" si="266"/>
        <v>23.066751365935545</v>
      </c>
      <c r="AC549" s="334">
        <f t="shared" si="267"/>
        <v>-14.319443297564677</v>
      </c>
      <c r="AE549" s="333">
        <f t="shared" si="268"/>
        <v>12.025846933849289</v>
      </c>
      <c r="AF549" s="334">
        <f t="shared" si="269"/>
        <v>-109.58014378579952</v>
      </c>
      <c r="AH549">
        <f t="shared" si="270"/>
        <v>0</v>
      </c>
      <c r="AI549">
        <f t="shared" si="275"/>
        <v>0</v>
      </c>
    </row>
    <row r="550" spans="1:35" x14ac:dyDescent="0.2">
      <c r="A550" s="335">
        <v>85609.5</v>
      </c>
      <c r="B550" s="352">
        <f t="shared" si="271"/>
        <v>85.609499999999997</v>
      </c>
      <c r="C550" s="325">
        <f t="shared" si="246"/>
        <v>53.109853395901801</v>
      </c>
      <c r="D550" s="326">
        <f t="shared" si="247"/>
        <v>1.5519663162905859</v>
      </c>
      <c r="E550" s="326">
        <f t="shared" si="248"/>
        <v>1.0057700888099139</v>
      </c>
      <c r="F550" s="327">
        <f t="shared" si="249"/>
        <v>0.10716790378257558</v>
      </c>
      <c r="G550" s="326">
        <f t="shared" si="250"/>
        <v>1</v>
      </c>
      <c r="H550" s="327">
        <f t="shared" si="251"/>
        <v>0</v>
      </c>
      <c r="I550" s="325">
        <f t="shared" si="252"/>
        <v>113626.03269525533</v>
      </c>
      <c r="J550" s="328">
        <f t="shared" si="253"/>
        <v>1.5707875259947957</v>
      </c>
      <c r="K550" s="336">
        <f t="shared" si="273"/>
        <v>21.50162769471395</v>
      </c>
      <c r="L550" s="337">
        <f t="shared" si="274"/>
        <v>1.524271437320565</v>
      </c>
      <c r="M550" s="325">
        <f t="shared" si="254"/>
        <v>1.0212352698969518</v>
      </c>
      <c r="N550" s="337">
        <f t="shared" si="255"/>
        <v>0.2042849734911186</v>
      </c>
      <c r="O550" s="343">
        <f t="shared" si="256"/>
        <v>1.1169056152954395</v>
      </c>
      <c r="P550" s="691">
        <f t="shared" si="257"/>
        <v>0.46162297345062342</v>
      </c>
      <c r="Q550" s="336">
        <f t="shared" si="272"/>
        <v>7.1923929402001985</v>
      </c>
      <c r="R550" s="692">
        <f t="shared" si="258"/>
        <v>0.50454679417636039</v>
      </c>
      <c r="S550" s="329">
        <f t="shared" si="259"/>
        <v>1.1139364074609701</v>
      </c>
      <c r="T550" s="330">
        <f t="shared" si="260"/>
        <v>0.46959940070809408</v>
      </c>
      <c r="U550" s="331">
        <f t="shared" si="261"/>
        <v>-7.8911271912151628</v>
      </c>
      <c r="V550" s="332">
        <f t="shared" si="262"/>
        <v>-126.51611127855617</v>
      </c>
      <c r="W550" s="334">
        <f t="shared" si="263"/>
        <v>53.483888721443833</v>
      </c>
      <c r="Y550" s="307">
        <f t="shared" si="264"/>
        <v>85609.5</v>
      </c>
      <c r="Z550" s="307">
        <f t="shared" si="265"/>
        <v>7328986490.25</v>
      </c>
      <c r="AB550" s="333">
        <f t="shared" si="266"/>
        <v>23.064578179212525</v>
      </c>
      <c r="AC550" s="334">
        <f t="shared" si="267"/>
        <v>-14.369842375892635</v>
      </c>
      <c r="AE550" s="333">
        <f t="shared" si="268"/>
        <v>11.966276629849158</v>
      </c>
      <c r="AF550" s="334">
        <f t="shared" si="269"/>
        <v>-109.68691513169243</v>
      </c>
      <c r="AH550">
        <f t="shared" si="270"/>
        <v>0</v>
      </c>
      <c r="AI550">
        <f t="shared" si="275"/>
        <v>0</v>
      </c>
    </row>
    <row r="551" spans="1:35" x14ac:dyDescent="0.2">
      <c r="A551" s="335">
        <v>86105</v>
      </c>
      <c r="B551" s="352">
        <f t="shared" si="271"/>
        <v>86.105000000000004</v>
      </c>
      <c r="C551" s="325">
        <f t="shared" si="246"/>
        <v>53.417139730640038</v>
      </c>
      <c r="D551" s="326">
        <f t="shared" si="247"/>
        <v>1.5520746501140656</v>
      </c>
      <c r="E551" s="326">
        <f t="shared" si="248"/>
        <v>1.0058368812368019</v>
      </c>
      <c r="F551" s="327">
        <f t="shared" si="249"/>
        <v>0.10778340267828797</v>
      </c>
      <c r="G551" s="326">
        <f t="shared" si="250"/>
        <v>1</v>
      </c>
      <c r="H551" s="327">
        <f t="shared" si="251"/>
        <v>0</v>
      </c>
      <c r="I551" s="325">
        <f t="shared" si="252"/>
        <v>114283.68983840125</v>
      </c>
      <c r="J551" s="328">
        <f t="shared" si="253"/>
        <v>1.5707875766398971</v>
      </c>
      <c r="K551" s="336">
        <f t="shared" si="273"/>
        <v>21.625808748450719</v>
      </c>
      <c r="L551" s="337">
        <f t="shared" si="274"/>
        <v>1.5245387866791238</v>
      </c>
      <c r="M551" s="325">
        <f t="shared" si="254"/>
        <v>1.0214792046590131</v>
      </c>
      <c r="N551" s="337">
        <f t="shared" si="255"/>
        <v>0.20543445975358574</v>
      </c>
      <c r="O551" s="343">
        <f t="shared" si="256"/>
        <v>1.1181910418435457</v>
      </c>
      <c r="P551" s="691">
        <f t="shared" si="257"/>
        <v>0.46392843579605691</v>
      </c>
      <c r="Q551" s="336">
        <f t="shared" si="272"/>
        <v>7.2020240330717584</v>
      </c>
      <c r="R551" s="692">
        <f t="shared" si="258"/>
        <v>0.50700191984390142</v>
      </c>
      <c r="S551" s="329">
        <f t="shared" si="259"/>
        <v>1.1151910119959016</v>
      </c>
      <c r="T551" s="330">
        <f t="shared" si="260"/>
        <v>0.47196375963709541</v>
      </c>
      <c r="U551" s="331">
        <f t="shared" si="261"/>
        <v>-7.9542529767983519</v>
      </c>
      <c r="V551" s="332">
        <f t="shared" si="262"/>
        <v>-126.68164134847775</v>
      </c>
      <c r="W551" s="334">
        <f t="shared" si="263"/>
        <v>53.318358651522246</v>
      </c>
      <c r="Y551" s="307">
        <f t="shared" si="264"/>
        <v>86105</v>
      </c>
      <c r="Z551" s="307">
        <f t="shared" si="265"/>
        <v>7414071025</v>
      </c>
      <c r="AB551" s="333">
        <f t="shared" si="266"/>
        <v>23.062395888557376</v>
      </c>
      <c r="AC551" s="334">
        <f t="shared" si="267"/>
        <v>-14.420387999247652</v>
      </c>
      <c r="AE551" s="333">
        <f t="shared" si="268"/>
        <v>11.906965652958837</v>
      </c>
      <c r="AF551" s="334">
        <f t="shared" si="269"/>
        <v>-109.79332450154449</v>
      </c>
      <c r="AH551">
        <f t="shared" si="270"/>
        <v>0</v>
      </c>
      <c r="AI551">
        <f t="shared" si="275"/>
        <v>0</v>
      </c>
    </row>
    <row r="552" spans="1:35" x14ac:dyDescent="0.2">
      <c r="A552" s="335">
        <v>86600.5</v>
      </c>
      <c r="B552" s="352">
        <f t="shared" si="271"/>
        <v>86.600499999999997</v>
      </c>
      <c r="C552" s="325">
        <f t="shared" si="246"/>
        <v>53.724426685121919</v>
      </c>
      <c r="D552" s="326">
        <f t="shared" si="247"/>
        <v>1.5521817446674666</v>
      </c>
      <c r="E552" s="326">
        <f t="shared" si="248"/>
        <v>1.0059040546631302</v>
      </c>
      <c r="F552" s="327">
        <f t="shared" si="249"/>
        <v>0.10839881960212165</v>
      </c>
      <c r="G552" s="326">
        <f t="shared" si="250"/>
        <v>1</v>
      </c>
      <c r="H552" s="327">
        <f t="shared" si="251"/>
        <v>0</v>
      </c>
      <c r="I552" s="325">
        <f t="shared" si="252"/>
        <v>114941.34698154747</v>
      </c>
      <c r="J552" s="328">
        <f t="shared" si="253"/>
        <v>1.5707876267054486</v>
      </c>
      <c r="K552" s="336">
        <f t="shared" si="273"/>
        <v>21.749991330256304</v>
      </c>
      <c r="L552" s="337">
        <f t="shared" si="274"/>
        <v>1.5248030831693296</v>
      </c>
      <c r="M552" s="325">
        <f t="shared" si="254"/>
        <v>1.0217244884750998</v>
      </c>
      <c r="N552" s="337">
        <f t="shared" si="255"/>
        <v>0.20658339562278272</v>
      </c>
      <c r="O552" s="343">
        <f t="shared" si="256"/>
        <v>1.1194823980850497</v>
      </c>
      <c r="P552" s="691">
        <f t="shared" si="257"/>
        <v>0.46622859150496537</v>
      </c>
      <c r="Q552" s="336">
        <f t="shared" si="272"/>
        <v>7.2116977378506473</v>
      </c>
      <c r="R552" s="692">
        <f t="shared" si="258"/>
        <v>0.50945052613069564</v>
      </c>
      <c r="S552" s="329">
        <f t="shared" si="259"/>
        <v>1.1164514404142327</v>
      </c>
      <c r="T552" s="330">
        <f t="shared" si="260"/>
        <v>0.47432297372837934</v>
      </c>
      <c r="U552" s="331">
        <f t="shared" si="261"/>
        <v>-8.0171328782246469</v>
      </c>
      <c r="V552" s="332">
        <f t="shared" si="262"/>
        <v>-126.84688419553824</v>
      </c>
      <c r="W552" s="334">
        <f t="shared" si="263"/>
        <v>53.153115804461763</v>
      </c>
      <c r="Y552" s="307">
        <f t="shared" si="264"/>
        <v>86600.5</v>
      </c>
      <c r="Z552" s="307">
        <f t="shared" si="265"/>
        <v>7499646600.25</v>
      </c>
      <c r="AB552" s="333">
        <f t="shared" si="266"/>
        <v>23.06020446722604</v>
      </c>
      <c r="AC552" s="334">
        <f t="shared" si="267"/>
        <v>-14.47107697065764</v>
      </c>
      <c r="AE552" s="333">
        <f t="shared" si="268"/>
        <v>11.847910951097941</v>
      </c>
      <c r="AF552" s="334">
        <f t="shared" si="269"/>
        <v>-109.89937278560616</v>
      </c>
      <c r="AH552">
        <f t="shared" si="270"/>
        <v>0</v>
      </c>
      <c r="AI552">
        <f t="shared" si="275"/>
        <v>0</v>
      </c>
    </row>
    <row r="553" spans="1:35" x14ac:dyDescent="0.2">
      <c r="A553" s="335">
        <v>87096</v>
      </c>
      <c r="B553" s="352">
        <f t="shared" si="271"/>
        <v>87.096000000000004</v>
      </c>
      <c r="C553" s="325">
        <f t="shared" si="246"/>
        <v>54.03171424877371</v>
      </c>
      <c r="D553" s="326">
        <f t="shared" si="247"/>
        <v>1.5522876210921313</v>
      </c>
      <c r="E553" s="326">
        <f t="shared" si="248"/>
        <v>1.0059716090125754</v>
      </c>
      <c r="F553" s="327">
        <f t="shared" si="249"/>
        <v>0.10901415410438096</v>
      </c>
      <c r="G553" s="326">
        <f t="shared" si="250"/>
        <v>1</v>
      </c>
      <c r="H553" s="327">
        <f t="shared" si="251"/>
        <v>0</v>
      </c>
      <c r="I553" s="325">
        <f t="shared" si="252"/>
        <v>115599.00412469395</v>
      </c>
      <c r="J553" s="328">
        <f t="shared" si="253"/>
        <v>1.570787676201342</v>
      </c>
      <c r="K553" s="336">
        <f t="shared" si="273"/>
        <v>21.874175414105558</v>
      </c>
      <c r="L553" s="337">
        <f t="shared" si="274"/>
        <v>1.5250643787491798</v>
      </c>
      <c r="M553" s="325">
        <f t="shared" si="254"/>
        <v>1.02197112037385</v>
      </c>
      <c r="N553" s="337">
        <f t="shared" si="255"/>
        <v>0.20773177846279262</v>
      </c>
      <c r="O553" s="343">
        <f t="shared" si="256"/>
        <v>1.1207796635234699</v>
      </c>
      <c r="P553" s="691">
        <f t="shared" si="257"/>
        <v>0.46852343462336793</v>
      </c>
      <c r="Q553" s="336">
        <f t="shared" si="272"/>
        <v>7.2214138833342645</v>
      </c>
      <c r="R553" s="692">
        <f t="shared" si="258"/>
        <v>0.51189261062899016</v>
      </c>
      <c r="S553" s="329">
        <f t="shared" si="259"/>
        <v>1.1177176731063145</v>
      </c>
      <c r="T553" s="330">
        <f t="shared" si="260"/>
        <v>0.47667703667985023</v>
      </c>
      <c r="U553" s="331">
        <f t="shared" si="261"/>
        <v>-8.0797698374681044</v>
      </c>
      <c r="V553" s="332">
        <f t="shared" si="262"/>
        <v>-127.01183777147936</v>
      </c>
      <c r="W553" s="334">
        <f t="shared" si="263"/>
        <v>52.988162228520636</v>
      </c>
      <c r="Y553" s="307">
        <f t="shared" si="264"/>
        <v>87096</v>
      </c>
      <c r="Z553" s="307">
        <f t="shared" si="265"/>
        <v>7585713216</v>
      </c>
      <c r="AB553" s="333">
        <f t="shared" si="266"/>
        <v>23.058003889757654</v>
      </c>
      <c r="AC553" s="334">
        <f t="shared" si="267"/>
        <v>-14.521906162688486</v>
      </c>
      <c r="AE553" s="333">
        <f t="shared" si="268"/>
        <v>11.789109528568215</v>
      </c>
      <c r="AF553" s="334">
        <f t="shared" si="269"/>
        <v>-110.00506085986929</v>
      </c>
      <c r="AH553">
        <f t="shared" si="270"/>
        <v>0</v>
      </c>
      <c r="AI553">
        <f t="shared" si="275"/>
        <v>0</v>
      </c>
    </row>
    <row r="554" spans="1:35" x14ac:dyDescent="0.2">
      <c r="A554" s="335">
        <v>87603.25</v>
      </c>
      <c r="B554" s="352">
        <f t="shared" si="271"/>
        <v>87.603250000000003</v>
      </c>
      <c r="C554" s="325">
        <f t="shared" si="246"/>
        <v>54.346289271946198</v>
      </c>
      <c r="D554" s="326">
        <f t="shared" si="247"/>
        <v>1.552394767979111</v>
      </c>
      <c r="E554" s="326">
        <f t="shared" si="248"/>
        <v>1.0060411598063213</v>
      </c>
      <c r="F554" s="327">
        <f t="shared" si="249"/>
        <v>0.10964399444701148</v>
      </c>
      <c r="G554" s="326">
        <f t="shared" si="250"/>
        <v>1</v>
      </c>
      <c r="H554" s="327">
        <f t="shared" si="251"/>
        <v>0</v>
      </c>
      <c r="I554" s="325">
        <f t="shared" si="252"/>
        <v>116272.25656840981</v>
      </c>
      <c r="J554" s="328">
        <f t="shared" si="253"/>
        <v>1.5707877262909629</v>
      </c>
      <c r="K554" s="336">
        <f t="shared" si="273"/>
        <v>22.001305856729573</v>
      </c>
      <c r="L554" s="337">
        <f t="shared" si="274"/>
        <v>1.5253288150600923</v>
      </c>
      <c r="M554" s="325">
        <f t="shared" si="254"/>
        <v>1.0222249961530085</v>
      </c>
      <c r="N554" s="337">
        <f t="shared" si="255"/>
        <v>0.2089068177891048</v>
      </c>
      <c r="O554" s="343">
        <f t="shared" si="256"/>
        <v>1.1221137912145269</v>
      </c>
      <c r="P554" s="691">
        <f t="shared" si="257"/>
        <v>0.47086718731624061</v>
      </c>
      <c r="Q554" s="336">
        <f t="shared" si="272"/>
        <v>7.2314042155606302</v>
      </c>
      <c r="R554" s="692">
        <f t="shared" si="258"/>
        <v>0.51438584752285488</v>
      </c>
      <c r="S554" s="329">
        <f t="shared" si="259"/>
        <v>1.1190199243969832</v>
      </c>
      <c r="T554" s="330">
        <f t="shared" si="260"/>
        <v>0.47908158037613263</v>
      </c>
      <c r="U554" s="331">
        <f t="shared" si="261"/>
        <v>-8.1436434944290266</v>
      </c>
      <c r="V554" s="332">
        <f t="shared" si="262"/>
        <v>-127.18040124147474</v>
      </c>
      <c r="W554" s="334">
        <f t="shared" si="263"/>
        <v>52.81959875852526</v>
      </c>
      <c r="Y554" s="307">
        <f t="shared" si="264"/>
        <v>87603.25</v>
      </c>
      <c r="Z554" s="307">
        <f t="shared" si="265"/>
        <v>7674329410.5625</v>
      </c>
      <c r="AB554" s="333">
        <f t="shared" si="266"/>
        <v>23.055741619395125</v>
      </c>
      <c r="AC554" s="334">
        <f t="shared" si="267"/>
        <v>-14.574082742266276</v>
      </c>
      <c r="AE554" s="333">
        <f t="shared" si="268"/>
        <v>11.729173013095204</v>
      </c>
      <c r="AF554" s="334">
        <f t="shared" si="269"/>
        <v>-110.11288293645637</v>
      </c>
      <c r="AH554">
        <f t="shared" si="270"/>
        <v>0</v>
      </c>
      <c r="AI554">
        <f t="shared" si="275"/>
        <v>0</v>
      </c>
    </row>
    <row r="555" spans="1:35" x14ac:dyDescent="0.2">
      <c r="A555" s="335">
        <v>88110.5</v>
      </c>
      <c r="B555" s="352">
        <f t="shared" si="271"/>
        <v>88.110500000000002</v>
      </c>
      <c r="C555" s="325">
        <f t="shared" si="246"/>
        <v>54.660864911857459</v>
      </c>
      <c r="D555" s="326">
        <f t="shared" si="247"/>
        <v>1.5525006815973643</v>
      </c>
      <c r="E555" s="326">
        <f t="shared" si="248"/>
        <v>1.0061111096401756</v>
      </c>
      <c r="F555" s="327">
        <f t="shared" si="249"/>
        <v>0.11027374746018716</v>
      </c>
      <c r="G555" s="326">
        <f t="shared" si="250"/>
        <v>1</v>
      </c>
      <c r="H555" s="327">
        <f t="shared" si="251"/>
        <v>0</v>
      </c>
      <c r="I555" s="325">
        <f t="shared" si="252"/>
        <v>116945.50901212596</v>
      </c>
      <c r="J555" s="328">
        <f t="shared" si="253"/>
        <v>1.5707877758038542</v>
      </c>
      <c r="K555" s="336">
        <f t="shared" si="273"/>
        <v>22.12843782015177</v>
      </c>
      <c r="L555" s="337">
        <f t="shared" si="274"/>
        <v>1.5255902129181895</v>
      </c>
      <c r="M555" s="325">
        <f t="shared" si="254"/>
        <v>1.0224802826340018</v>
      </c>
      <c r="N555" s="337">
        <f t="shared" si="255"/>
        <v>0.21008127198339588</v>
      </c>
      <c r="O555" s="343">
        <f t="shared" si="256"/>
        <v>1.1234540682154635</v>
      </c>
      <c r="P555" s="691">
        <f t="shared" si="257"/>
        <v>0.47320536064916202</v>
      </c>
      <c r="Q555" s="336">
        <f t="shared" si="272"/>
        <v>7.2414386626534073</v>
      </c>
      <c r="R555" s="692">
        <f t="shared" si="258"/>
        <v>0.51687224556752076</v>
      </c>
      <c r="S555" s="329">
        <f t="shared" si="259"/>
        <v>1.1203282169121078</v>
      </c>
      <c r="T555" s="330">
        <f t="shared" si="260"/>
        <v>0.48148071314252155</v>
      </c>
      <c r="U555" s="331">
        <f t="shared" si="261"/>
        <v>-8.2072686128890098</v>
      </c>
      <c r="V555" s="332">
        <f t="shared" si="262"/>
        <v>-127.34865739900468</v>
      </c>
      <c r="W555" s="334">
        <f t="shared" si="263"/>
        <v>52.651342600995321</v>
      </c>
      <c r="Y555" s="307">
        <f t="shared" si="264"/>
        <v>88110.5</v>
      </c>
      <c r="Z555" s="307">
        <f t="shared" si="265"/>
        <v>7763460210.25</v>
      </c>
      <c r="AB555" s="333">
        <f t="shared" si="266"/>
        <v>23.053469703444748</v>
      </c>
      <c r="AC555" s="334">
        <f t="shared" si="267"/>
        <v>-14.626399853727349</v>
      </c>
      <c r="AE555" s="333">
        <f t="shared" si="268"/>
        <v>11.669495753675152</v>
      </c>
      <c r="AF555" s="334">
        <f t="shared" si="269"/>
        <v>-110.22032933211304</v>
      </c>
      <c r="AH555">
        <f t="shared" si="270"/>
        <v>0</v>
      </c>
      <c r="AI555">
        <f t="shared" si="275"/>
        <v>0</v>
      </c>
    </row>
    <row r="556" spans="1:35" x14ac:dyDescent="0.2">
      <c r="A556" s="335">
        <v>88617.75</v>
      </c>
      <c r="B556" s="352">
        <f t="shared" si="271"/>
        <v>88.617750000000001</v>
      </c>
      <c r="C556" s="325">
        <f t="shared" si="246"/>
        <v>54.975441157920365</v>
      </c>
      <c r="D556" s="326">
        <f t="shared" si="247"/>
        <v>1.5526053831152413</v>
      </c>
      <c r="E556" s="326">
        <f t="shared" si="248"/>
        <v>1.0061814584309143</v>
      </c>
      <c r="F556" s="327">
        <f t="shared" si="249"/>
        <v>0.11090341266266775</v>
      </c>
      <c r="G556" s="326">
        <f t="shared" si="250"/>
        <v>1</v>
      </c>
      <c r="H556" s="327">
        <f t="shared" si="251"/>
        <v>0</v>
      </c>
      <c r="I556" s="325">
        <f t="shared" si="252"/>
        <v>117618.76145584237</v>
      </c>
      <c r="J556" s="328">
        <f t="shared" si="253"/>
        <v>1.5707878247499198</v>
      </c>
      <c r="K556" s="336">
        <f t="shared" si="273"/>
        <v>22.255571278310086</v>
      </c>
      <c r="L556" s="337">
        <f t="shared" si="274"/>
        <v>1.5258486243583129</v>
      </c>
      <c r="M556" s="325">
        <f t="shared" si="254"/>
        <v>1.0227369787604494</v>
      </c>
      <c r="N556" s="337">
        <f t="shared" si="255"/>
        <v>0.21125513824510073</v>
      </c>
      <c r="O556" s="343">
        <f t="shared" si="256"/>
        <v>1.1248004725443044</v>
      </c>
      <c r="P556" s="691">
        <f t="shared" si="257"/>
        <v>0.47553794904662205</v>
      </c>
      <c r="Q556" s="336">
        <f t="shared" si="272"/>
        <v>7.2515170415260304</v>
      </c>
      <c r="R556" s="692">
        <f t="shared" si="258"/>
        <v>0.51935180320833763</v>
      </c>
      <c r="S556" s="329">
        <f t="shared" si="259"/>
        <v>1.1216425296130246</v>
      </c>
      <c r="T556" s="330">
        <f t="shared" si="260"/>
        <v>0.48387442899971228</v>
      </c>
      <c r="U556" s="331">
        <f t="shared" si="261"/>
        <v>-8.2706481722712919</v>
      </c>
      <c r="V556" s="332">
        <f t="shared" si="262"/>
        <v>-127.5166042310188</v>
      </c>
      <c r="W556" s="334">
        <f t="shared" si="263"/>
        <v>52.483395768981197</v>
      </c>
      <c r="Y556" s="307">
        <f t="shared" si="264"/>
        <v>88617.75</v>
      </c>
      <c r="Z556" s="307">
        <f t="shared" si="265"/>
        <v>7853105615.0625</v>
      </c>
      <c r="AB556" s="333">
        <f t="shared" si="266"/>
        <v>23.051188118504477</v>
      </c>
      <c r="AC556" s="334">
        <f t="shared" si="267"/>
        <v>-14.678854355801782</v>
      </c>
      <c r="AE556" s="333">
        <f t="shared" si="268"/>
        <v>11.6100747115863</v>
      </c>
      <c r="AF556" s="334">
        <f t="shared" si="269"/>
        <v>-110.32740094468052</v>
      </c>
      <c r="AH556">
        <f t="shared" si="270"/>
        <v>0</v>
      </c>
      <c r="AI556">
        <f t="shared" si="275"/>
        <v>0</v>
      </c>
    </row>
    <row r="557" spans="1:35" x14ac:dyDescent="0.2">
      <c r="A557" s="335">
        <v>89125</v>
      </c>
      <c r="B557" s="352">
        <f t="shared" si="271"/>
        <v>89.125</v>
      </c>
      <c r="C557" s="325">
        <f t="shared" si="246"/>
        <v>55.290017999788681</v>
      </c>
      <c r="D557" s="326">
        <f t="shared" si="247"/>
        <v>1.5527088932194435</v>
      </c>
      <c r="E557" s="326">
        <f t="shared" si="248"/>
        <v>1.0062522060948624</v>
      </c>
      <c r="F557" s="327">
        <f t="shared" si="249"/>
        <v>0.11153298957362567</v>
      </c>
      <c r="G557" s="326">
        <f t="shared" si="250"/>
        <v>1</v>
      </c>
      <c r="H557" s="327">
        <f t="shared" si="251"/>
        <v>0</v>
      </c>
      <c r="I557" s="325">
        <f t="shared" si="252"/>
        <v>118292.01389955907</v>
      </c>
      <c r="J557" s="328">
        <f t="shared" si="253"/>
        <v>1.5707878731388378</v>
      </c>
      <c r="K557" s="336">
        <f t="shared" si="273"/>
        <v>22.38270620573428</v>
      </c>
      <c r="L557" s="337">
        <f t="shared" si="274"/>
        <v>1.5261041002346789</v>
      </c>
      <c r="M557" s="325">
        <f t="shared" si="254"/>
        <v>1.0229950834712014</v>
      </c>
      <c r="N557" s="337">
        <f t="shared" si="255"/>
        <v>0.21242841378293856</v>
      </c>
      <c r="O557" s="343">
        <f t="shared" si="256"/>
        <v>1.1261529822239453</v>
      </c>
      <c r="P557" s="691">
        <f t="shared" si="257"/>
        <v>0.47786494720281097</v>
      </c>
      <c r="Q557" s="336">
        <f t="shared" si="272"/>
        <v>7.2616391693090696</v>
      </c>
      <c r="R557" s="692">
        <f t="shared" si="258"/>
        <v>0.52182451923030082</v>
      </c>
      <c r="S557" s="329">
        <f t="shared" si="259"/>
        <v>1.1229628414630963</v>
      </c>
      <c r="T557" s="330">
        <f t="shared" si="260"/>
        <v>0.48626272222821715</v>
      </c>
      <c r="U557" s="331">
        <f t="shared" si="261"/>
        <v>-8.3337850951715744</v>
      </c>
      <c r="V557" s="332">
        <f t="shared" si="262"/>
        <v>-127.68423978390447</v>
      </c>
      <c r="W557" s="334">
        <f t="shared" si="263"/>
        <v>52.315760216095526</v>
      </c>
      <c r="Y557" s="307">
        <f t="shared" si="264"/>
        <v>89125</v>
      </c>
      <c r="Z557" s="307">
        <f t="shared" si="265"/>
        <v>7943265625</v>
      </c>
      <c r="AB557" s="333">
        <f t="shared" si="266"/>
        <v>23.048896842407874</v>
      </c>
      <c r="AC557" s="334">
        <f t="shared" si="267"/>
        <v>-14.731443175383529</v>
      </c>
      <c r="AE557" s="333">
        <f t="shared" si="268"/>
        <v>11.550906904463469</v>
      </c>
      <c r="AF557" s="334">
        <f t="shared" si="269"/>
        <v>-110.43409865926641</v>
      </c>
      <c r="AH557">
        <f t="shared" si="270"/>
        <v>0</v>
      </c>
      <c r="AI557">
        <f t="shared" si="275"/>
        <v>0</v>
      </c>
    </row>
    <row r="558" spans="1:35" x14ac:dyDescent="0.2">
      <c r="A558" s="335">
        <v>89644</v>
      </c>
      <c r="B558" s="352">
        <f t="shared" si="271"/>
        <v>89.644000000000005</v>
      </c>
      <c r="C558" s="325">
        <f t="shared" si="246"/>
        <v>55.611882343573505</v>
      </c>
      <c r="D558" s="326">
        <f t="shared" si="247"/>
        <v>1.552813588999195</v>
      </c>
      <c r="E558" s="326">
        <f t="shared" si="248"/>
        <v>1.006325005318002</v>
      </c>
      <c r="F558" s="327">
        <f t="shared" si="249"/>
        <v>0.11217705819578525</v>
      </c>
      <c r="G558" s="326">
        <f t="shared" si="250"/>
        <v>1</v>
      </c>
      <c r="H558" s="327">
        <f t="shared" si="251"/>
        <v>0</v>
      </c>
      <c r="I558" s="325">
        <f t="shared" si="252"/>
        <v>118980.86164384514</v>
      </c>
      <c r="J558" s="328">
        <f t="shared" si="253"/>
        <v>1.5707879220818513</v>
      </c>
      <c r="K558" s="336">
        <f t="shared" si="273"/>
        <v>22.512787596655183</v>
      </c>
      <c r="L558" s="337">
        <f t="shared" si="274"/>
        <v>1.5263625074717986</v>
      </c>
      <c r="M558" s="325">
        <f t="shared" si="254"/>
        <v>1.0232606237438782</v>
      </c>
      <c r="N558" s="337">
        <f t="shared" si="255"/>
        <v>0.21362825290712709</v>
      </c>
      <c r="O558" s="343">
        <f t="shared" si="256"/>
        <v>1.1275431178109447</v>
      </c>
      <c r="P558" s="691">
        <f t="shared" si="257"/>
        <v>0.4802400569902126</v>
      </c>
      <c r="Q558" s="336">
        <f t="shared" si="272"/>
        <v>7.2720408575364592</v>
      </c>
      <c r="R558" s="692">
        <f t="shared" si="258"/>
        <v>0.52434743145426277</v>
      </c>
      <c r="S558" s="329">
        <f t="shared" si="259"/>
        <v>1.1243199244437723</v>
      </c>
      <c r="T558" s="330">
        <f t="shared" si="260"/>
        <v>0.48870071997415621</v>
      </c>
      <c r="U558" s="331">
        <f t="shared" si="261"/>
        <v>-8.3981363871732757</v>
      </c>
      <c r="V558" s="332">
        <f t="shared" si="262"/>
        <v>-127.85543431182373</v>
      </c>
      <c r="W558" s="334">
        <f t="shared" si="263"/>
        <v>52.144565688176272</v>
      </c>
      <c r="Y558" s="307">
        <f t="shared" si="264"/>
        <v>89644</v>
      </c>
      <c r="Z558" s="307">
        <f t="shared" si="265"/>
        <v>8036046736</v>
      </c>
      <c r="AB558" s="333">
        <f t="shared" si="266"/>
        <v>23.046542438563826</v>
      </c>
      <c r="AC558" s="334">
        <f t="shared" si="267"/>
        <v>-14.785386053501355</v>
      </c>
      <c r="AE558" s="333">
        <f t="shared" si="268"/>
        <v>11.49062757610897</v>
      </c>
      <c r="AF558" s="334">
        <f t="shared" si="269"/>
        <v>-110.54288185324148</v>
      </c>
      <c r="AH558">
        <f t="shared" si="270"/>
        <v>0</v>
      </c>
      <c r="AI558">
        <f t="shared" si="275"/>
        <v>0</v>
      </c>
    </row>
    <row r="559" spans="1:35" x14ac:dyDescent="0.2">
      <c r="A559" s="335">
        <v>90163</v>
      </c>
      <c r="B559" s="352">
        <f t="shared" si="271"/>
        <v>90.162999999999997</v>
      </c>
      <c r="C559" s="325">
        <f t="shared" si="246"/>
        <v>55.933747289916198</v>
      </c>
      <c r="D559" s="326">
        <f t="shared" si="247"/>
        <v>1.5529170798580627</v>
      </c>
      <c r="E559" s="326">
        <f t="shared" si="248"/>
        <v>1.0063982219288037</v>
      </c>
      <c r="F559" s="327">
        <f t="shared" si="249"/>
        <v>0.11282103337160525</v>
      </c>
      <c r="G559" s="326">
        <f t="shared" si="250"/>
        <v>1</v>
      </c>
      <c r="H559" s="327">
        <f t="shared" si="251"/>
        <v>0</v>
      </c>
      <c r="I559" s="325">
        <f t="shared" si="252"/>
        <v>119669.70938813149</v>
      </c>
      <c r="J559" s="328">
        <f t="shared" si="253"/>
        <v>1.5707879704614089</v>
      </c>
      <c r="K559" s="336">
        <f t="shared" si="273"/>
        <v>22.642870473579279</v>
      </c>
      <c r="L559" s="337">
        <f t="shared" si="274"/>
        <v>1.5266179456361058</v>
      </c>
      <c r="M559" s="325">
        <f t="shared" si="254"/>
        <v>1.0235276363512085</v>
      </c>
      <c r="N559" s="337">
        <f t="shared" si="255"/>
        <v>0.21482746774129666</v>
      </c>
      <c r="O559" s="343">
        <f t="shared" si="256"/>
        <v>1.128939598348442</v>
      </c>
      <c r="P559" s="691">
        <f t="shared" si="257"/>
        <v>0.48260930416845421</v>
      </c>
      <c r="Q559" s="336">
        <f t="shared" si="272"/>
        <v>7.282487958382144</v>
      </c>
      <c r="R559" s="692">
        <f t="shared" si="258"/>
        <v>0.52686317992788001</v>
      </c>
      <c r="S559" s="329">
        <f t="shared" si="259"/>
        <v>1.1256832431787478</v>
      </c>
      <c r="T559" s="330">
        <f t="shared" si="260"/>
        <v>0.49113302967154993</v>
      </c>
      <c r="U559" s="331">
        <f t="shared" si="261"/>
        <v>-8.4622396851920456</v>
      </c>
      <c r="V559" s="332">
        <f t="shared" si="262"/>
        <v>-128.02629901974268</v>
      </c>
      <c r="W559" s="334">
        <f t="shared" si="263"/>
        <v>51.97370098025732</v>
      </c>
      <c r="Y559" s="307">
        <f t="shared" si="264"/>
        <v>90163</v>
      </c>
      <c r="Z559" s="307">
        <f t="shared" si="265"/>
        <v>8129366569</v>
      </c>
      <c r="AB559" s="333">
        <f t="shared" si="266"/>
        <v>23.044177846232579</v>
      </c>
      <c r="AC559" s="334">
        <f t="shared" si="267"/>
        <v>-14.839463245493642</v>
      </c>
      <c r="AE559" s="333">
        <f t="shared" si="268"/>
        <v>11.430607208996085</v>
      </c>
      <c r="AF559" s="334">
        <f t="shared" si="269"/>
        <v>-110.65127546324035</v>
      </c>
      <c r="AH559">
        <f t="shared" si="270"/>
        <v>0</v>
      </c>
      <c r="AI559">
        <f t="shared" si="275"/>
        <v>0</v>
      </c>
    </row>
    <row r="560" spans="1:35" x14ac:dyDescent="0.2">
      <c r="A560" s="335">
        <v>90682</v>
      </c>
      <c r="B560" s="352">
        <f t="shared" si="271"/>
        <v>90.682000000000002</v>
      </c>
      <c r="C560" s="325">
        <f t="shared" si="246"/>
        <v>56.255612828474206</v>
      </c>
      <c r="D560" s="326">
        <f t="shared" si="247"/>
        <v>1.5530193864756137</v>
      </c>
      <c r="E560" s="326">
        <f t="shared" si="248"/>
        <v>1.006471855836178</v>
      </c>
      <c r="F560" s="327">
        <f t="shared" si="249"/>
        <v>0.11346491458741954</v>
      </c>
      <c r="G560" s="326">
        <f t="shared" si="250"/>
        <v>1</v>
      </c>
      <c r="H560" s="327">
        <f t="shared" si="251"/>
        <v>0</v>
      </c>
      <c r="I560" s="325">
        <f t="shared" si="252"/>
        <v>120358.55713241814</v>
      </c>
      <c r="J560" s="328">
        <f t="shared" si="253"/>
        <v>1.5707880182871856</v>
      </c>
      <c r="K560" s="336">
        <f t="shared" si="273"/>
        <v>22.772954811041682</v>
      </c>
      <c r="L560" s="337">
        <f t="shared" si="274"/>
        <v>1.5268704655740506</v>
      </c>
      <c r="M560" s="325">
        <f t="shared" si="254"/>
        <v>1.0237961201412094</v>
      </c>
      <c r="N560" s="337">
        <f t="shared" si="255"/>
        <v>0.21602605532603802</v>
      </c>
      <c r="O560" s="343">
        <f t="shared" si="256"/>
        <v>1.1303424003198466</v>
      </c>
      <c r="P560" s="691">
        <f t="shared" si="257"/>
        <v>0.48497268391701531</v>
      </c>
      <c r="Q560" s="336">
        <f t="shared" si="272"/>
        <v>7.292980276739673</v>
      </c>
      <c r="R560" s="692">
        <f t="shared" si="258"/>
        <v>0.52937176442986489</v>
      </c>
      <c r="S560" s="329">
        <f t="shared" si="259"/>
        <v>1.1270527751492183</v>
      </c>
      <c r="T560" s="330">
        <f t="shared" si="260"/>
        <v>0.49355964602578167</v>
      </c>
      <c r="U560" s="331">
        <f t="shared" si="261"/>
        <v>-8.5260979436499333</v>
      </c>
      <c r="V560" s="332">
        <f t="shared" si="262"/>
        <v>-128.19683199980739</v>
      </c>
      <c r="W560" s="334">
        <f t="shared" si="263"/>
        <v>51.803168000192613</v>
      </c>
      <c r="Y560" s="307">
        <f t="shared" si="264"/>
        <v>90682</v>
      </c>
      <c r="Z560" s="307">
        <f t="shared" si="265"/>
        <v>8223225124</v>
      </c>
      <c r="AB560" s="333">
        <f t="shared" si="266"/>
        <v>23.041803045433689</v>
      </c>
      <c r="AC560" s="334">
        <f t="shared" si="267"/>
        <v>-14.893671669066052</v>
      </c>
      <c r="AE560" s="333">
        <f t="shared" si="268"/>
        <v>11.370842783419825</v>
      </c>
      <c r="AF560" s="334">
        <f t="shared" si="269"/>
        <v>-110.7592804001867</v>
      </c>
      <c r="AH560">
        <f t="shared" si="270"/>
        <v>0</v>
      </c>
      <c r="AI560">
        <f t="shared" si="275"/>
        <v>0</v>
      </c>
    </row>
    <row r="561" spans="1:35" x14ac:dyDescent="0.2">
      <c r="A561" s="335">
        <v>91201</v>
      </c>
      <c r="B561" s="352">
        <f t="shared" si="271"/>
        <v>91.200999999999993</v>
      </c>
      <c r="C561" s="325">
        <f t="shared" si="246"/>
        <v>56.577478949140307</v>
      </c>
      <c r="D561" s="326">
        <f t="shared" si="247"/>
        <v>1.5531205290609367</v>
      </c>
      <c r="E561" s="326">
        <f t="shared" si="248"/>
        <v>1.0065459069485427</v>
      </c>
      <c r="F561" s="327">
        <f t="shared" si="249"/>
        <v>0.11410870133002347</v>
      </c>
      <c r="G561" s="326">
        <f t="shared" si="250"/>
        <v>1</v>
      </c>
      <c r="H561" s="327">
        <f t="shared" si="251"/>
        <v>0</v>
      </c>
      <c r="I561" s="325">
        <f t="shared" si="252"/>
        <v>121047.40487670504</v>
      </c>
      <c r="J561" s="328">
        <f t="shared" si="253"/>
        <v>1.5707880655686355</v>
      </c>
      <c r="K561" s="336">
        <f t="shared" si="273"/>
        <v>22.903040584155768</v>
      </c>
      <c r="L561" s="337">
        <f t="shared" si="274"/>
        <v>1.5271201169783915</v>
      </c>
      <c r="M561" s="325">
        <f t="shared" si="254"/>
        <v>1.024066073956762</v>
      </c>
      <c r="N561" s="337">
        <f t="shared" si="255"/>
        <v>0.21722401271224592</v>
      </c>
      <c r="O561" s="343">
        <f t="shared" si="256"/>
        <v>1.1317515002189737</v>
      </c>
      <c r="P561" s="691">
        <f t="shared" si="257"/>
        <v>0.48733019170140263</v>
      </c>
      <c r="Q561" s="336">
        <f t="shared" si="272"/>
        <v>7.3035176177817931</v>
      </c>
      <c r="R561" s="692">
        <f t="shared" si="258"/>
        <v>0.53187318509499026</v>
      </c>
      <c r="S561" s="329">
        <f t="shared" si="259"/>
        <v>1.1284284978434542</v>
      </c>
      <c r="T561" s="330">
        <f t="shared" si="260"/>
        <v>0.49598056401819074</v>
      </c>
      <c r="U561" s="331">
        <f t="shared" si="261"/>
        <v>-8.5897140604345381</v>
      </c>
      <c r="V561" s="332">
        <f t="shared" si="262"/>
        <v>-128.36703140368394</v>
      </c>
      <c r="W561" s="334">
        <f t="shared" si="263"/>
        <v>51.632968596316061</v>
      </c>
      <c r="Y561" s="307">
        <f t="shared" si="264"/>
        <v>91201</v>
      </c>
      <c r="Z561" s="307">
        <f t="shared" si="265"/>
        <v>8317622401</v>
      </c>
      <c r="AB561" s="333">
        <f t="shared" si="266"/>
        <v>23.039418017374679</v>
      </c>
      <c r="AC561" s="334">
        <f t="shared" si="267"/>
        <v>-14.948008308603663</v>
      </c>
      <c r="AE561" s="333">
        <f t="shared" si="268"/>
        <v>11.311331335868211</v>
      </c>
      <c r="AF561" s="334">
        <f t="shared" si="269"/>
        <v>-110.86689756383237</v>
      </c>
      <c r="AH561">
        <f t="shared" si="270"/>
        <v>0</v>
      </c>
      <c r="AI561">
        <f t="shared" si="275"/>
        <v>0</v>
      </c>
    </row>
    <row r="562" spans="1:35" x14ac:dyDescent="0.2">
      <c r="A562" s="335">
        <v>91732</v>
      </c>
      <c r="B562" s="352">
        <f t="shared" si="271"/>
        <v>91.731999999999999</v>
      </c>
      <c r="C562" s="325">
        <f t="shared" si="246"/>
        <v>56.906787653186854</v>
      </c>
      <c r="D562" s="326">
        <f t="shared" si="247"/>
        <v>1.5532228260857988</v>
      </c>
      <c r="E562" s="326">
        <f t="shared" si="248"/>
        <v>1.0066221019153723</v>
      </c>
      <c r="F562" s="327">
        <f t="shared" si="249"/>
        <v>0.11476727500549261</v>
      </c>
      <c r="G562" s="326">
        <f t="shared" si="250"/>
        <v>1</v>
      </c>
      <c r="H562" s="327">
        <f t="shared" si="251"/>
        <v>0</v>
      </c>
      <c r="I562" s="325">
        <f t="shared" si="252"/>
        <v>121752.17973646706</v>
      </c>
      <c r="J562" s="328">
        <f t="shared" si="253"/>
        <v>1.5707881133895829</v>
      </c>
      <c r="K562" s="336">
        <f t="shared" si="273"/>
        <v>23.036135581271346</v>
      </c>
      <c r="L562" s="337">
        <f t="shared" si="274"/>
        <v>1.5273726225324162</v>
      </c>
      <c r="M562" s="325">
        <f t="shared" si="254"/>
        <v>1.0243437896689147</v>
      </c>
      <c r="N562" s="337">
        <f t="shared" si="255"/>
        <v>0.218449013246691</v>
      </c>
      <c r="O562" s="343">
        <f t="shared" si="256"/>
        <v>1.1331996739960017</v>
      </c>
      <c r="P562" s="691">
        <f t="shared" si="257"/>
        <v>0.48973612671893052</v>
      </c>
      <c r="Q562" s="336">
        <f t="shared" si="272"/>
        <v>7.3143449900796362</v>
      </c>
      <c r="R562" s="692">
        <f t="shared" si="258"/>
        <v>0.53442502837729366</v>
      </c>
      <c r="S562" s="329">
        <f t="shared" si="259"/>
        <v>1.1298424127712359</v>
      </c>
      <c r="T562" s="330">
        <f t="shared" si="260"/>
        <v>0.49845155453004819</v>
      </c>
      <c r="U562" s="331">
        <f t="shared" si="261"/>
        <v>-8.6545534301210871</v>
      </c>
      <c r="V562" s="332">
        <f t="shared" si="262"/>
        <v>-128.54081895278927</v>
      </c>
      <c r="W562" s="334">
        <f t="shared" si="263"/>
        <v>51.459181047210734</v>
      </c>
      <c r="Y562" s="307">
        <f t="shared" si="264"/>
        <v>91732</v>
      </c>
      <c r="Z562" s="307">
        <f t="shared" si="265"/>
        <v>8414759824</v>
      </c>
      <c r="AB562" s="333">
        <f t="shared" si="266"/>
        <v>23.036967241068599</v>
      </c>
      <c r="AC562" s="334">
        <f t="shared" si="267"/>
        <v>-15.003730906581529</v>
      </c>
      <c r="AE562" s="333">
        <f t="shared" si="268"/>
        <v>11.250702687379038</v>
      </c>
      <c r="AF562" s="334">
        <f t="shared" si="269"/>
        <v>-110.97660258718257</v>
      </c>
      <c r="AH562">
        <f t="shared" si="270"/>
        <v>0</v>
      </c>
      <c r="AI562">
        <f t="shared" si="275"/>
        <v>0</v>
      </c>
    </row>
    <row r="563" spans="1:35" x14ac:dyDescent="0.2">
      <c r="A563" s="335">
        <v>92263</v>
      </c>
      <c r="B563" s="352">
        <f t="shared" si="271"/>
        <v>92.263000000000005</v>
      </c>
      <c r="C563" s="325">
        <f t="shared" si="246"/>
        <v>57.236096945892228</v>
      </c>
      <c r="D563" s="326">
        <f t="shared" si="247"/>
        <v>1.5533239459748074</v>
      </c>
      <c r="E563" s="326">
        <f t="shared" si="248"/>
        <v>1.0066987334074213</v>
      </c>
      <c r="F563" s="327">
        <f t="shared" si="249"/>
        <v>0.1154257487031889</v>
      </c>
      <c r="G563" s="326">
        <f t="shared" si="250"/>
        <v>1</v>
      </c>
      <c r="H563" s="327">
        <f t="shared" si="251"/>
        <v>0</v>
      </c>
      <c r="I563" s="325">
        <f t="shared" si="252"/>
        <v>122456.95459622936</v>
      </c>
      <c r="J563" s="328">
        <f t="shared" si="253"/>
        <v>1.5707881606600838</v>
      </c>
      <c r="K563" s="336">
        <f t="shared" si="273"/>
        <v>23.169232030274571</v>
      </c>
      <c r="L563" s="337">
        <f t="shared" si="274"/>
        <v>1.5276222270485516</v>
      </c>
      <c r="M563" s="325">
        <f t="shared" si="254"/>
        <v>1.0246230417036948</v>
      </c>
      <c r="N563" s="337">
        <f t="shared" si="255"/>
        <v>0.21967334789124207</v>
      </c>
      <c r="O563" s="343">
        <f t="shared" si="256"/>
        <v>1.1346543905595587</v>
      </c>
      <c r="P563" s="691">
        <f t="shared" si="257"/>
        <v>0.49213590640052102</v>
      </c>
      <c r="Q563" s="336">
        <f t="shared" si="272"/>
        <v>7.325219079445902</v>
      </c>
      <c r="R563" s="692">
        <f t="shared" si="258"/>
        <v>0.5369693741263214</v>
      </c>
      <c r="S563" s="329">
        <f t="shared" si="259"/>
        <v>1.1312627603619876</v>
      </c>
      <c r="T563" s="330">
        <f t="shared" si="260"/>
        <v>0.5009165703721693</v>
      </c>
      <c r="U563" s="331">
        <f t="shared" si="261"/>
        <v>-8.7191452929743587</v>
      </c>
      <c r="V563" s="332">
        <f t="shared" si="262"/>
        <v>-128.71425359268815</v>
      </c>
      <c r="W563" s="334">
        <f t="shared" si="263"/>
        <v>51.285746407311848</v>
      </c>
      <c r="Y563" s="307">
        <f t="shared" si="264"/>
        <v>92263</v>
      </c>
      <c r="Z563" s="307">
        <f t="shared" si="265"/>
        <v>8512461169</v>
      </c>
      <c r="AB563" s="333">
        <f t="shared" si="266"/>
        <v>23.034505722945681</v>
      </c>
      <c r="AC563" s="334">
        <f t="shared" si="267"/>
        <v>-15.059581537568009</v>
      </c>
      <c r="AE563" s="333">
        <f t="shared" si="268"/>
        <v>11.190332749068405</v>
      </c>
      <c r="AF563" s="334">
        <f t="shared" si="269"/>
        <v>-111.08590357056055</v>
      </c>
      <c r="AH563">
        <f t="shared" si="270"/>
        <v>0</v>
      </c>
      <c r="AI563">
        <f t="shared" si="275"/>
        <v>0</v>
      </c>
    </row>
    <row r="564" spans="1:35" x14ac:dyDescent="0.2">
      <c r="A564" s="335">
        <v>92794</v>
      </c>
      <c r="B564" s="352">
        <f t="shared" si="271"/>
        <v>92.793999999999997</v>
      </c>
      <c r="C564" s="325">
        <f t="shared" si="246"/>
        <v>57.565406817153971</v>
      </c>
      <c r="D564" s="326">
        <f t="shared" si="247"/>
        <v>1.5534239089277211</v>
      </c>
      <c r="E564" s="326">
        <f t="shared" si="248"/>
        <v>1.0067758013250103</v>
      </c>
      <c r="F564" s="327">
        <f t="shared" si="249"/>
        <v>0.11608412187499544</v>
      </c>
      <c r="G564" s="326">
        <f t="shared" si="250"/>
        <v>1</v>
      </c>
      <c r="H564" s="327">
        <f t="shared" si="251"/>
        <v>0</v>
      </c>
      <c r="I564" s="325">
        <f t="shared" si="252"/>
        <v>123161.72945599194</v>
      </c>
      <c r="J564" s="328">
        <f t="shared" si="253"/>
        <v>1.5707882073895876</v>
      </c>
      <c r="K564" s="336">
        <f t="shared" si="273"/>
        <v>23.30232990628711</v>
      </c>
      <c r="L564" s="337">
        <f t="shared" si="274"/>
        <v>1.5278689802057321</v>
      </c>
      <c r="M564" s="325">
        <f t="shared" si="254"/>
        <v>1.0249038288053129</v>
      </c>
      <c r="N564" s="337">
        <f t="shared" si="255"/>
        <v>0.22089701352115967</v>
      </c>
      <c r="O564" s="343">
        <f t="shared" si="256"/>
        <v>1.1361156247769038</v>
      </c>
      <c r="P564" s="691">
        <f t="shared" si="257"/>
        <v>0.49452952680336787</v>
      </c>
      <c r="Q564" s="336">
        <f t="shared" si="272"/>
        <v>7.3361396781968571</v>
      </c>
      <c r="R564" s="692">
        <f t="shared" si="258"/>
        <v>0.53950622361680056</v>
      </c>
      <c r="S564" s="329">
        <f t="shared" si="259"/>
        <v>1.1326895165368527</v>
      </c>
      <c r="T564" s="330">
        <f t="shared" si="260"/>
        <v>0.50337560705172835</v>
      </c>
      <c r="U564" s="331">
        <f t="shared" si="261"/>
        <v>-8.7834925775266584</v>
      </c>
      <c r="V564" s="332">
        <f t="shared" si="262"/>
        <v>-128.88733352878265</v>
      </c>
      <c r="W564" s="334">
        <f t="shared" si="263"/>
        <v>51.112666471217352</v>
      </c>
      <c r="Y564" s="307">
        <f t="shared" si="264"/>
        <v>92794</v>
      </c>
      <c r="Z564" s="307">
        <f t="shared" si="265"/>
        <v>8610726436</v>
      </c>
      <c r="AB564" s="333">
        <f t="shared" si="266"/>
        <v>23.032033446497437</v>
      </c>
      <c r="AC564" s="334">
        <f t="shared" si="267"/>
        <v>-15.115557176676839</v>
      </c>
      <c r="AE564" s="333">
        <f t="shared" si="268"/>
        <v>11.130218521264513</v>
      </c>
      <c r="AF564" s="334">
        <f t="shared" si="269"/>
        <v>-111.19480144531202</v>
      </c>
      <c r="AH564">
        <f t="shared" si="270"/>
        <v>0</v>
      </c>
      <c r="AI564">
        <f t="shared" si="275"/>
        <v>0</v>
      </c>
    </row>
    <row r="565" spans="1:35" x14ac:dyDescent="0.2">
      <c r="A565" s="335">
        <v>93325</v>
      </c>
      <c r="B565" s="352">
        <f t="shared" si="271"/>
        <v>93.325000000000003</v>
      </c>
      <c r="C565" s="325">
        <f t="shared" si="246"/>
        <v>57.894717257099444</v>
      </c>
      <c r="D565" s="326">
        <f t="shared" si="247"/>
        <v>1.5535227346847988</v>
      </c>
      <c r="E565" s="326">
        <f t="shared" si="248"/>
        <v>1.0068533055679232</v>
      </c>
      <c r="F565" s="327">
        <f t="shared" si="249"/>
        <v>0.11674239397331121</v>
      </c>
      <c r="G565" s="326">
        <f t="shared" si="250"/>
        <v>1</v>
      </c>
      <c r="H565" s="327">
        <f t="shared" si="251"/>
        <v>0</v>
      </c>
      <c r="I565" s="325">
        <f t="shared" si="252"/>
        <v>123866.50431575476</v>
      </c>
      <c r="J565" s="328">
        <f t="shared" si="253"/>
        <v>1.570788253587329</v>
      </c>
      <c r="K565" s="336">
        <f t="shared" si="273"/>
        <v>23.435429184995527</v>
      </c>
      <c r="L565" s="337">
        <f t="shared" si="274"/>
        <v>1.528112930555712</v>
      </c>
      <c r="M565" s="325">
        <f t="shared" si="254"/>
        <v>1.0251861497124559</v>
      </c>
      <c r="N565" s="337">
        <f t="shared" si="255"/>
        <v>0.22212000702313245</v>
      </c>
      <c r="O565" s="343">
        <f t="shared" si="256"/>
        <v>1.1375833515321141</v>
      </c>
      <c r="P565" s="691">
        <f t="shared" si="257"/>
        <v>0.49691698428718889</v>
      </c>
      <c r="Q565" s="336">
        <f t="shared" si="272"/>
        <v>7.3471065789979955</v>
      </c>
      <c r="R565" s="692">
        <f t="shared" si="258"/>
        <v>0.54203557849548445</v>
      </c>
      <c r="S565" s="329">
        <f t="shared" si="259"/>
        <v>1.1341226572299219</v>
      </c>
      <c r="T565" s="330">
        <f t="shared" si="260"/>
        <v>0.50582866036822649</v>
      </c>
      <c r="U565" s="331">
        <f t="shared" si="261"/>
        <v>-8.8475981560971029</v>
      </c>
      <c r="V565" s="332">
        <f t="shared" si="262"/>
        <v>-129.0600570260745</v>
      </c>
      <c r="W565" s="334">
        <f t="shared" si="263"/>
        <v>50.939942973925497</v>
      </c>
      <c r="Y565" s="307">
        <f t="shared" si="264"/>
        <v>93325</v>
      </c>
      <c r="Z565" s="307">
        <f t="shared" si="265"/>
        <v>8709555625</v>
      </c>
      <c r="AB565" s="333">
        <f t="shared" si="266"/>
        <v>23.02955039635809</v>
      </c>
      <c r="AC565" s="334">
        <f t="shared" si="267"/>
        <v>-15.171654864246927</v>
      </c>
      <c r="AE565" s="333">
        <f t="shared" si="268"/>
        <v>11.070357060299203</v>
      </c>
      <c r="AF565" s="334">
        <f t="shared" si="269"/>
        <v>-111.30329713317495</v>
      </c>
      <c r="AH565">
        <f t="shared" si="270"/>
        <v>0</v>
      </c>
      <c r="AI565">
        <f t="shared" si="275"/>
        <v>0</v>
      </c>
    </row>
    <row r="566" spans="1:35" x14ac:dyDescent="0.2">
      <c r="A566" s="335">
        <v>93868.5</v>
      </c>
      <c r="B566" s="352">
        <f t="shared" si="271"/>
        <v>93.868499999999997</v>
      </c>
      <c r="C566" s="325">
        <f t="shared" si="246"/>
        <v>58.231780404897698</v>
      </c>
      <c r="D566" s="326">
        <f t="shared" si="247"/>
        <v>1.5536227293169169</v>
      </c>
      <c r="E566" s="326">
        <f t="shared" si="248"/>
        <v>1.0069330860466903</v>
      </c>
      <c r="F566" s="327">
        <f t="shared" si="249"/>
        <v>0.11741605687766957</v>
      </c>
      <c r="G566" s="326">
        <f t="shared" si="250"/>
        <v>1</v>
      </c>
      <c r="H566" s="327">
        <f t="shared" si="251"/>
        <v>0</v>
      </c>
      <c r="I566" s="325">
        <f t="shared" si="252"/>
        <v>124587.86992080419</v>
      </c>
      <c r="J566" s="328">
        <f t="shared" si="253"/>
        <v>1.5707883003313199</v>
      </c>
      <c r="K566" s="336">
        <f t="shared" si="273"/>
        <v>23.57166311371051</v>
      </c>
      <c r="L566" s="337">
        <f t="shared" si="274"/>
        <v>1.5283597705876721</v>
      </c>
      <c r="M566" s="325">
        <f t="shared" si="254"/>
        <v>1.0254767036600749</v>
      </c>
      <c r="N566" s="337">
        <f t="shared" si="255"/>
        <v>0.22337109110609005</v>
      </c>
      <c r="O566" s="343">
        <f t="shared" si="256"/>
        <v>1.1390923266921016</v>
      </c>
      <c r="P566" s="691">
        <f t="shared" si="257"/>
        <v>0.49935425796061367</v>
      </c>
      <c r="Q566" s="336">
        <f t="shared" si="272"/>
        <v>7.358379379832475</v>
      </c>
      <c r="R566" s="692">
        <f t="shared" si="258"/>
        <v>0.54461671640234954</v>
      </c>
      <c r="S566" s="329">
        <f t="shared" si="259"/>
        <v>1.1355961213828818</v>
      </c>
      <c r="T566" s="330">
        <f t="shared" si="260"/>
        <v>0.50833325938313034</v>
      </c>
      <c r="U566" s="331">
        <f t="shared" si="261"/>
        <v>-8.9129654438924319</v>
      </c>
      <c r="V566" s="332">
        <f t="shared" si="262"/>
        <v>-129.23647564571849</v>
      </c>
      <c r="W566" s="334">
        <f t="shared" si="263"/>
        <v>50.763524354281515</v>
      </c>
      <c r="Y566" s="307">
        <f t="shared" si="264"/>
        <v>93868.5</v>
      </c>
      <c r="Z566" s="307">
        <f t="shared" si="265"/>
        <v>8811295292.25</v>
      </c>
      <c r="AB566" s="333">
        <f t="shared" si="266"/>
        <v>23.026997722023292</v>
      </c>
      <c r="AC566" s="334">
        <f t="shared" si="267"/>
        <v>-15.229196488269345</v>
      </c>
      <c r="AE566" s="333">
        <f t="shared" si="268"/>
        <v>11.009345178555218</v>
      </c>
      <c r="AF566" s="334">
        <f t="shared" si="269"/>
        <v>-111.41393131538806</v>
      </c>
      <c r="AH566">
        <f t="shared" si="270"/>
        <v>0</v>
      </c>
      <c r="AI566">
        <f t="shared" si="275"/>
        <v>0</v>
      </c>
    </row>
    <row r="567" spans="1:35" x14ac:dyDescent="0.2">
      <c r="A567" s="335">
        <v>94412</v>
      </c>
      <c r="B567" s="352">
        <f t="shared" si="271"/>
        <v>94.412000000000006</v>
      </c>
      <c r="C567" s="325">
        <f t="shared" si="246"/>
        <v>58.568844128249495</v>
      </c>
      <c r="D567" s="326">
        <f t="shared" si="247"/>
        <v>1.5537215730117113</v>
      </c>
      <c r="E567" s="326">
        <f t="shared" si="248"/>
        <v>1.0070133234210237</v>
      </c>
      <c r="F567" s="327">
        <f t="shared" si="249"/>
        <v>0.11808961273467765</v>
      </c>
      <c r="G567" s="326">
        <f t="shared" si="250"/>
        <v>1</v>
      </c>
      <c r="H567" s="327">
        <f t="shared" si="251"/>
        <v>0</v>
      </c>
      <c r="I567" s="325">
        <f t="shared" si="252"/>
        <v>125309.23552585389</v>
      </c>
      <c r="J567" s="328">
        <f t="shared" si="253"/>
        <v>1.5707883465371302</v>
      </c>
      <c r="K567" s="336">
        <f t="shared" si="273"/>
        <v>23.707898462140847</v>
      </c>
      <c r="L567" s="337">
        <f t="shared" si="274"/>
        <v>1.5286037737453928</v>
      </c>
      <c r="M567" s="325">
        <f t="shared" si="254"/>
        <v>1.0257688617847402</v>
      </c>
      <c r="N567" s="337">
        <f t="shared" si="255"/>
        <v>0.22462146448100634</v>
      </c>
      <c r="O567" s="343">
        <f t="shared" si="256"/>
        <v>1.1406080504784804</v>
      </c>
      <c r="P567" s="691">
        <f t="shared" si="257"/>
        <v>0.50178506838520542</v>
      </c>
      <c r="Q567" s="336">
        <f t="shared" si="272"/>
        <v>7.3697002499520909</v>
      </c>
      <c r="R567" s="692">
        <f t="shared" si="258"/>
        <v>0.54719000735570678</v>
      </c>
      <c r="S567" s="329">
        <f t="shared" si="259"/>
        <v>1.1370762232103568</v>
      </c>
      <c r="T567" s="330">
        <f t="shared" si="260"/>
        <v>0.51083158203890588</v>
      </c>
      <c r="U567" s="331">
        <f t="shared" si="261"/>
        <v>-8.9780854265105656</v>
      </c>
      <c r="V567" s="332">
        <f t="shared" si="262"/>
        <v>-129.41251735505978</v>
      </c>
      <c r="W567" s="334">
        <f t="shared" si="263"/>
        <v>50.587482644940224</v>
      </c>
      <c r="Y567" s="307">
        <f t="shared" si="264"/>
        <v>94412</v>
      </c>
      <c r="Z567" s="307">
        <f t="shared" si="265"/>
        <v>8913625744</v>
      </c>
      <c r="AB567" s="333">
        <f t="shared" si="266"/>
        <v>23.024433731728429</v>
      </c>
      <c r="AC567" s="334">
        <f t="shared" si="267"/>
        <v>-15.286859901806128</v>
      </c>
      <c r="AE567" s="333">
        <f t="shared" si="268"/>
        <v>10.948592037961578</v>
      </c>
      <c r="AF567" s="334">
        <f t="shared" si="269"/>
        <v>-111.52414607822217</v>
      </c>
      <c r="AH567">
        <f t="shared" si="270"/>
        <v>0</v>
      </c>
      <c r="AI567">
        <f t="shared" si="275"/>
        <v>0</v>
      </c>
    </row>
    <row r="568" spans="1:35" x14ac:dyDescent="0.2">
      <c r="A568" s="335">
        <v>94955.5</v>
      </c>
      <c r="B568" s="352">
        <f t="shared" si="271"/>
        <v>94.955500000000001</v>
      </c>
      <c r="C568" s="325">
        <f t="shared" si="246"/>
        <v>58.905908417274759</v>
      </c>
      <c r="D568" s="326">
        <f t="shared" si="247"/>
        <v>1.5538192855244986</v>
      </c>
      <c r="E568" s="326">
        <f t="shared" si="248"/>
        <v>1.0070940175817178</v>
      </c>
      <c r="F568" s="327">
        <f t="shared" si="249"/>
        <v>0.11876306095884065</v>
      </c>
      <c r="G568" s="326">
        <f t="shared" si="250"/>
        <v>1</v>
      </c>
      <c r="H568" s="327">
        <f t="shared" si="251"/>
        <v>0</v>
      </c>
      <c r="I568" s="325">
        <f t="shared" si="252"/>
        <v>126030.60113090384</v>
      </c>
      <c r="J568" s="328">
        <f t="shared" si="253"/>
        <v>1.5707883922140009</v>
      </c>
      <c r="K568" s="336">
        <f t="shared" si="273"/>
        <v>23.844135205951563</v>
      </c>
      <c r="L568" s="337">
        <f t="shared" si="274"/>
        <v>1.5288449886261799</v>
      </c>
      <c r="M568" s="325">
        <f t="shared" si="254"/>
        <v>1.026062622716146</v>
      </c>
      <c r="N568" s="337">
        <f t="shared" si="255"/>
        <v>0.22587112384690133</v>
      </c>
      <c r="O568" s="343">
        <f t="shared" si="256"/>
        <v>1.1421304960229024</v>
      </c>
      <c r="P568" s="691">
        <f t="shared" si="257"/>
        <v>0.50420941262384478</v>
      </c>
      <c r="Q568" s="336">
        <f t="shared" si="272"/>
        <v>7.3810689682374235</v>
      </c>
      <c r="R568" s="692">
        <f t="shared" si="258"/>
        <v>0.54975545430217043</v>
      </c>
      <c r="S568" s="329">
        <f t="shared" si="259"/>
        <v>1.1385629369569923</v>
      </c>
      <c r="T568" s="330">
        <f t="shared" si="260"/>
        <v>0.51332362476590832</v>
      </c>
      <c r="U568" s="331">
        <f t="shared" si="261"/>
        <v>-9.0429610096613846</v>
      </c>
      <c r="V568" s="332">
        <f t="shared" si="262"/>
        <v>-129.5881804791052</v>
      </c>
      <c r="W568" s="334">
        <f t="shared" si="263"/>
        <v>50.411819520894795</v>
      </c>
      <c r="Y568" s="307">
        <f t="shared" si="264"/>
        <v>94955.5</v>
      </c>
      <c r="Z568" s="307">
        <f t="shared" si="265"/>
        <v>9016546980.25</v>
      </c>
      <c r="AB568" s="333">
        <f t="shared" si="266"/>
        <v>23.021858412483045</v>
      </c>
      <c r="AC568" s="334">
        <f t="shared" si="267"/>
        <v>-15.344642131833997</v>
      </c>
      <c r="AE568" s="333">
        <f t="shared" si="268"/>
        <v>10.888094655856369</v>
      </c>
      <c r="AF568" s="334">
        <f t="shared" si="269"/>
        <v>-111.63394238259436</v>
      </c>
      <c r="AH568">
        <f t="shared" si="270"/>
        <v>0</v>
      </c>
      <c r="AI568">
        <f t="shared" si="275"/>
        <v>0</v>
      </c>
    </row>
    <row r="569" spans="1:35" x14ac:dyDescent="0.2">
      <c r="A569" s="335">
        <v>95499</v>
      </c>
      <c r="B569" s="352">
        <f t="shared" si="271"/>
        <v>95.498999999999995</v>
      </c>
      <c r="C569" s="325">
        <f t="shared" si="246"/>
        <v>59.242973262318245</v>
      </c>
      <c r="D569" s="326">
        <f t="shared" si="247"/>
        <v>1.5539158861610882</v>
      </c>
      <c r="E569" s="326">
        <f t="shared" si="248"/>
        <v>1.0071751684189802</v>
      </c>
      <c r="F569" s="327">
        <f t="shared" si="249"/>
        <v>0.11943640096524137</v>
      </c>
      <c r="G569" s="326">
        <f t="shared" si="250"/>
        <v>1</v>
      </c>
      <c r="H569" s="327">
        <f t="shared" si="251"/>
        <v>0</v>
      </c>
      <c r="I569" s="325">
        <f t="shared" si="252"/>
        <v>126751.96673595408</v>
      </c>
      <c r="J569" s="328">
        <f t="shared" si="253"/>
        <v>1.5707884373709629</v>
      </c>
      <c r="K569" s="336">
        <f t="shared" si="273"/>
        <v>23.980373321360446</v>
      </c>
      <c r="L569" s="337">
        <f t="shared" si="274"/>
        <v>1.5290834627242835</v>
      </c>
      <c r="M569" s="325">
        <f t="shared" si="254"/>
        <v>1.0263579850780411</v>
      </c>
      <c r="N569" s="337">
        <f t="shared" si="255"/>
        <v>0.22712006591548414</v>
      </c>
      <c r="O569" s="343">
        <f t="shared" si="256"/>
        <v>1.1436596364812519</v>
      </c>
      <c r="P569" s="691">
        <f t="shared" si="257"/>
        <v>0.50662728805905299</v>
      </c>
      <c r="Q569" s="336">
        <f t="shared" si="272"/>
        <v>7.3924853139976587</v>
      </c>
      <c r="R569" s="692">
        <f t="shared" si="258"/>
        <v>0.5523130605763894</v>
      </c>
      <c r="S569" s="329">
        <f t="shared" si="259"/>
        <v>1.1400562368871971</v>
      </c>
      <c r="T569" s="330">
        <f t="shared" si="260"/>
        <v>0.51580938430386924</v>
      </c>
      <c r="U569" s="331">
        <f t="shared" si="261"/>
        <v>-9.1075950430920951</v>
      </c>
      <c r="V569" s="332">
        <f t="shared" si="262"/>
        <v>-129.76346340263396</v>
      </c>
      <c r="W569" s="334">
        <f t="shared" si="263"/>
        <v>50.23653659736604</v>
      </c>
      <c r="Y569" s="307">
        <f t="shared" si="264"/>
        <v>95499</v>
      </c>
      <c r="Z569" s="307">
        <f t="shared" si="265"/>
        <v>9120059001</v>
      </c>
      <c r="AB569" s="333">
        <f t="shared" si="266"/>
        <v>23.019271752398424</v>
      </c>
      <c r="AC569" s="334">
        <f t="shared" si="267"/>
        <v>-15.402540269245099</v>
      </c>
      <c r="AE569" s="333">
        <f t="shared" si="268"/>
        <v>10.827850105464847</v>
      </c>
      <c r="AF569" s="334">
        <f t="shared" si="269"/>
        <v>-111.74332118135968</v>
      </c>
      <c r="AH569">
        <f t="shared" si="270"/>
        <v>0</v>
      </c>
      <c r="AI569">
        <f t="shared" si="275"/>
        <v>0</v>
      </c>
    </row>
    <row r="570" spans="1:35" x14ac:dyDescent="0.2">
      <c r="A570" s="335">
        <v>96611.5</v>
      </c>
      <c r="B570" s="352">
        <f t="shared" si="271"/>
        <v>96.611500000000007</v>
      </c>
      <c r="C570" s="325">
        <f t="shared" si="246"/>
        <v>59.93291909677842</v>
      </c>
      <c r="D570" s="326">
        <f t="shared" si="247"/>
        <v>1.5541102313923154</v>
      </c>
      <c r="E570" s="326">
        <f t="shared" si="248"/>
        <v>1.0073427011718954</v>
      </c>
      <c r="F570" s="327">
        <f t="shared" si="249"/>
        <v>0.12081433290418955</v>
      </c>
      <c r="G570" s="326">
        <f t="shared" si="250"/>
        <v>1</v>
      </c>
      <c r="H570" s="327">
        <f t="shared" si="251"/>
        <v>0</v>
      </c>
      <c r="I570" s="325">
        <f t="shared" si="252"/>
        <v>128228.54306643944</v>
      </c>
      <c r="J570" s="328">
        <f t="shared" si="253"/>
        <v>1.5707885282191967</v>
      </c>
      <c r="K570" s="336">
        <f t="shared" si="273"/>
        <v>24.259245768849262</v>
      </c>
      <c r="L570" s="337">
        <f t="shared" si="274"/>
        <v>1.5295632469666132</v>
      </c>
      <c r="M570" s="325">
        <f t="shared" si="254"/>
        <v>1.0269675557231732</v>
      </c>
      <c r="N570" s="337">
        <f t="shared" si="255"/>
        <v>0.22967429748849538</v>
      </c>
      <c r="O570" s="343">
        <f t="shared" si="256"/>
        <v>1.1468104264054153</v>
      </c>
      <c r="P570" s="691">
        <f t="shared" si="257"/>
        <v>0.51155629948220993</v>
      </c>
      <c r="Q570" s="336">
        <f t="shared" si="272"/>
        <v>7.4160012343413948</v>
      </c>
      <c r="R570" s="692">
        <f t="shared" si="258"/>
        <v>0.5575238369450185</v>
      </c>
      <c r="S570" s="329">
        <f t="shared" si="259"/>
        <v>1.143133329759535</v>
      </c>
      <c r="T570" s="330">
        <f t="shared" si="260"/>
        <v>0.52087792498942198</v>
      </c>
      <c r="U570" s="331">
        <f t="shared" si="261"/>
        <v>-9.239154069245501</v>
      </c>
      <c r="V570" s="332">
        <f t="shared" si="262"/>
        <v>-130.12106109385579</v>
      </c>
      <c r="W570" s="334">
        <f t="shared" si="263"/>
        <v>49.878938906144214</v>
      </c>
      <c r="Y570" s="307">
        <f t="shared" si="264"/>
        <v>96611.5</v>
      </c>
      <c r="Z570" s="307">
        <f t="shared" si="265"/>
        <v>9333781932.25</v>
      </c>
      <c r="AB570" s="333">
        <f t="shared" si="266"/>
        <v>23.013941661378709</v>
      </c>
      <c r="AC570" s="334">
        <f t="shared" si="267"/>
        <v>-15.521402551471523</v>
      </c>
      <c r="AE570" s="333">
        <f t="shared" si="268"/>
        <v>10.705310849213721</v>
      </c>
      <c r="AF570" s="334">
        <f t="shared" si="269"/>
        <v>-111.96591264814633</v>
      </c>
      <c r="AH570">
        <f t="shared" si="270"/>
        <v>0</v>
      </c>
      <c r="AI570">
        <f t="shared" si="275"/>
        <v>0</v>
      </c>
    </row>
    <row r="571" spans="1:35" x14ac:dyDescent="0.2">
      <c r="A571" s="335">
        <v>97724</v>
      </c>
      <c r="B571" s="352">
        <f t="shared" si="271"/>
        <v>97.724000000000004</v>
      </c>
      <c r="C571" s="325">
        <f t="shared" si="246"/>
        <v>60.62286714338358</v>
      </c>
      <c r="D571" s="326">
        <f t="shared" si="247"/>
        <v>1.5543001529495846</v>
      </c>
      <c r="E571" s="326">
        <f t="shared" si="248"/>
        <v>1.0075121459246008</v>
      </c>
      <c r="F571" s="327">
        <f t="shared" si="249"/>
        <v>0.12219180397290079</v>
      </c>
      <c r="G571" s="326">
        <f t="shared" si="250"/>
        <v>1</v>
      </c>
      <c r="H571" s="327">
        <f t="shared" si="251"/>
        <v>0</v>
      </c>
      <c r="I571" s="325">
        <f t="shared" si="252"/>
        <v>129705.11939692585</v>
      </c>
      <c r="J571" s="328">
        <f t="shared" si="253"/>
        <v>1.5707886169989791</v>
      </c>
      <c r="K571" s="336">
        <f t="shared" si="273"/>
        <v>24.538123673714161</v>
      </c>
      <c r="L571" s="337">
        <f t="shared" si="274"/>
        <v>1.5300321257357448</v>
      </c>
      <c r="M571" s="325">
        <f t="shared" si="254"/>
        <v>1.0275838184317261</v>
      </c>
      <c r="N571" s="337">
        <f t="shared" si="255"/>
        <v>0.23222548204091714</v>
      </c>
      <c r="O571" s="343">
        <f t="shared" si="256"/>
        <v>1.1499889251967439</v>
      </c>
      <c r="P571" s="691">
        <f t="shared" si="257"/>
        <v>0.51645818248155129</v>
      </c>
      <c r="Q571" s="336">
        <f t="shared" si="272"/>
        <v>7.4397139024787151</v>
      </c>
      <c r="R571" s="692">
        <f t="shared" si="258"/>
        <v>0.5627018146684043</v>
      </c>
      <c r="S571" s="329">
        <f t="shared" si="259"/>
        <v>1.1462376899612889</v>
      </c>
      <c r="T571" s="330">
        <f t="shared" si="260"/>
        <v>0.52592010648052012</v>
      </c>
      <c r="U571" s="331">
        <f t="shared" si="261"/>
        <v>-9.3697359686040382</v>
      </c>
      <c r="V571" s="332">
        <f t="shared" si="262"/>
        <v>-130.47704672045157</v>
      </c>
      <c r="W571" s="334">
        <f t="shared" si="263"/>
        <v>49.522953279548432</v>
      </c>
      <c r="Y571" s="307">
        <f t="shared" si="264"/>
        <v>97724</v>
      </c>
      <c r="Z571" s="307">
        <f t="shared" si="265"/>
        <v>9549980176</v>
      </c>
      <c r="AB571" s="333">
        <f t="shared" si="266"/>
        <v>23.008563929950778</v>
      </c>
      <c r="AC571" s="334">
        <f t="shared" si="267"/>
        <v>-15.640714971352905</v>
      </c>
      <c r="AE571" s="333">
        <f t="shared" si="268"/>
        <v>10.58379500612595</v>
      </c>
      <c r="AF571" s="334">
        <f t="shared" si="269"/>
        <v>-112.18676679240914</v>
      </c>
      <c r="AH571">
        <f t="shared" si="270"/>
        <v>0</v>
      </c>
      <c r="AI571">
        <f t="shared" si="275"/>
        <v>0</v>
      </c>
    </row>
    <row r="572" spans="1:35" x14ac:dyDescent="0.2">
      <c r="A572" s="335">
        <v>98862</v>
      </c>
      <c r="B572" s="352">
        <f t="shared" si="271"/>
        <v>98.861999999999995</v>
      </c>
      <c r="C572" s="325">
        <f t="shared" si="246"/>
        <v>61.328631940431322</v>
      </c>
      <c r="D572" s="326">
        <f t="shared" si="247"/>
        <v>1.554490006471954</v>
      </c>
      <c r="E572" s="326">
        <f t="shared" si="248"/>
        <v>1.0076874518143584</v>
      </c>
      <c r="F572" s="327">
        <f t="shared" si="249"/>
        <v>0.12360036649292579</v>
      </c>
      <c r="G572" s="326">
        <f t="shared" si="250"/>
        <v>1</v>
      </c>
      <c r="H572" s="327">
        <f t="shared" si="251"/>
        <v>0</v>
      </c>
      <c r="I572" s="325">
        <f t="shared" si="252"/>
        <v>131215.54084779747</v>
      </c>
      <c r="J572" s="328">
        <f t="shared" si="253"/>
        <v>1.5707887057464023</v>
      </c>
      <c r="K572" s="336">
        <f t="shared" si="273"/>
        <v>24.823399290860433</v>
      </c>
      <c r="L572" s="337">
        <f t="shared" si="274"/>
        <v>1.5305008515281446</v>
      </c>
      <c r="M572" s="325">
        <f t="shared" si="254"/>
        <v>1.0282211180751355</v>
      </c>
      <c r="N572" s="337">
        <f t="shared" si="255"/>
        <v>0.23483196172190057</v>
      </c>
      <c r="O572" s="343">
        <f t="shared" si="256"/>
        <v>1.1532687094353569</v>
      </c>
      <c r="P572" s="691">
        <f t="shared" si="257"/>
        <v>0.52144434428729736</v>
      </c>
      <c r="Q572" s="336">
        <f t="shared" si="272"/>
        <v>7.4641717065739552</v>
      </c>
      <c r="R572" s="692">
        <f t="shared" si="258"/>
        <v>0.56796458879061995</v>
      </c>
      <c r="S572" s="329">
        <f t="shared" si="259"/>
        <v>1.1494411891417087</v>
      </c>
      <c r="T572" s="330">
        <f t="shared" si="260"/>
        <v>0.53105057234690867</v>
      </c>
      <c r="U572" s="331">
        <f t="shared" si="261"/>
        <v>-9.5023233429101861</v>
      </c>
      <c r="V572" s="332">
        <f t="shared" si="262"/>
        <v>-130.83951195852686</v>
      </c>
      <c r="W572" s="334">
        <f t="shared" si="263"/>
        <v>49.160488041473144</v>
      </c>
      <c r="Y572" s="307">
        <f t="shared" si="264"/>
        <v>98862</v>
      </c>
      <c r="Z572" s="307">
        <f t="shared" si="265"/>
        <v>9773695044</v>
      </c>
      <c r="AB572" s="333">
        <f t="shared" si="266"/>
        <v>23.00301357768825</v>
      </c>
      <c r="AC572" s="334">
        <f t="shared" si="267"/>
        <v>-15.763204331799182</v>
      </c>
      <c r="AE572" s="333">
        <f t="shared" si="268"/>
        <v>10.460528696322717</v>
      </c>
      <c r="AF572" s="334">
        <f t="shared" si="269"/>
        <v>-112.41089395172496</v>
      </c>
      <c r="AH572">
        <f t="shared" si="270"/>
        <v>0</v>
      </c>
      <c r="AI572">
        <f t="shared" si="275"/>
        <v>0</v>
      </c>
    </row>
    <row r="573" spans="1:35" x14ac:dyDescent="0.2">
      <c r="A573" s="335">
        <v>100000</v>
      </c>
      <c r="B573" s="352">
        <f t="shared" si="271"/>
        <v>100</v>
      </c>
      <c r="C573" s="325">
        <f t="shared" si="246"/>
        <v>62.034398897731457</v>
      </c>
      <c r="D573" s="326">
        <f t="shared" si="247"/>
        <v>1.5546755400640371</v>
      </c>
      <c r="E573" s="326">
        <f t="shared" si="248"/>
        <v>1.0078647563069434</v>
      </c>
      <c r="F573" s="327">
        <f t="shared" si="249"/>
        <v>0.12500843621459273</v>
      </c>
      <c r="G573" s="326">
        <f t="shared" si="250"/>
        <v>1</v>
      </c>
      <c r="H573" s="327">
        <f t="shared" si="251"/>
        <v>0</v>
      </c>
      <c r="I573" s="325">
        <f t="shared" si="252"/>
        <v>132725.96229867011</v>
      </c>
      <c r="J573" s="328">
        <f t="shared" si="253"/>
        <v>1.5707887924739341</v>
      </c>
      <c r="K573" s="336">
        <f t="shared" si="273"/>
        <v>25.108680237874793</v>
      </c>
      <c r="L573" s="337">
        <f t="shared" si="274"/>
        <v>1.5309589262391643</v>
      </c>
      <c r="M573" s="325">
        <f t="shared" si="254"/>
        <v>1.0288653945001747</v>
      </c>
      <c r="N573" s="337">
        <f t="shared" si="255"/>
        <v>0.23743519471041052</v>
      </c>
      <c r="O573" s="343">
        <f t="shared" si="256"/>
        <v>1.1565770029902722</v>
      </c>
      <c r="P573" s="691">
        <f t="shared" si="257"/>
        <v>0.52640210375433727</v>
      </c>
      <c r="Q573" s="336">
        <f t="shared" si="272"/>
        <v>7.488831422421967</v>
      </c>
      <c r="R573" s="692">
        <f t="shared" si="258"/>
        <v>0.57319314178504244</v>
      </c>
      <c r="S573" s="329">
        <f t="shared" si="259"/>
        <v>1.1526727552774394</v>
      </c>
      <c r="T573" s="330">
        <f t="shared" si="260"/>
        <v>0.53615342813641254</v>
      </c>
      <c r="U573" s="331">
        <f t="shared" si="261"/>
        <v>-9.6339347613253583</v>
      </c>
      <c r="V573" s="332">
        <f t="shared" si="262"/>
        <v>-131.20026670966192</v>
      </c>
      <c r="W573" s="334">
        <f t="shared" si="263"/>
        <v>48.799733290338082</v>
      </c>
      <c r="Y573" s="307">
        <f t="shared" si="264"/>
        <v>100000</v>
      </c>
      <c r="Z573" s="307">
        <f t="shared" si="265"/>
        <v>10000000000</v>
      </c>
      <c r="AB573" s="333">
        <f t="shared" si="266"/>
        <v>22.997413261018632</v>
      </c>
      <c r="AC573" s="334">
        <f t="shared" si="267"/>
        <v>-15.88611781674892</v>
      </c>
      <c r="AE573" s="333">
        <f t="shared" si="268"/>
        <v>10.338285380361988</v>
      </c>
      <c r="AF573" s="334">
        <f t="shared" si="269"/>
        <v>-112.63321989165406</v>
      </c>
      <c r="AH573">
        <f t="shared" si="270"/>
        <v>0</v>
      </c>
      <c r="AI573">
        <f t="shared" si="275"/>
        <v>0</v>
      </c>
    </row>
    <row r="574" spans="1:35" x14ac:dyDescent="0.2">
      <c r="A574" s="335">
        <v>101165</v>
      </c>
      <c r="B574" s="352">
        <f t="shared" si="271"/>
        <v>101.16500000000001</v>
      </c>
      <c r="C574" s="325">
        <f t="shared" si="246"/>
        <v>62.756912926913131</v>
      </c>
      <c r="D574" s="326">
        <f t="shared" si="247"/>
        <v>1.5548611528635958</v>
      </c>
      <c r="E574" s="326">
        <f t="shared" si="248"/>
        <v>1.0080483366886206</v>
      </c>
      <c r="F574" s="327">
        <f t="shared" si="249"/>
        <v>0.12644939753436873</v>
      </c>
      <c r="G574" s="326">
        <f t="shared" si="250"/>
        <v>1</v>
      </c>
      <c r="H574" s="327">
        <f t="shared" si="251"/>
        <v>0</v>
      </c>
      <c r="I574" s="325">
        <f t="shared" si="252"/>
        <v>134272.21975936234</v>
      </c>
      <c r="J574" s="328">
        <f t="shared" si="253"/>
        <v>1.5707888792379723</v>
      </c>
      <c r="K574" s="336">
        <f t="shared" si="273"/>
        <v>25.400735047065119</v>
      </c>
      <c r="L574" s="337">
        <f t="shared" si="274"/>
        <v>1.5314172105063621</v>
      </c>
      <c r="M574" s="325">
        <f t="shared" si="254"/>
        <v>1.029532170285363</v>
      </c>
      <c r="N574" s="337">
        <f t="shared" si="255"/>
        <v>0.24009679798513225</v>
      </c>
      <c r="O574" s="343">
        <f t="shared" si="256"/>
        <v>1.1599930658368298</v>
      </c>
      <c r="P574" s="691">
        <f t="shared" si="257"/>
        <v>0.53144806947022594</v>
      </c>
      <c r="Q574" s="336">
        <f t="shared" si="272"/>
        <v>7.5142832900657401</v>
      </c>
      <c r="R574" s="692">
        <f t="shared" si="258"/>
        <v>0.57851036031358483</v>
      </c>
      <c r="S574" s="329">
        <f t="shared" si="259"/>
        <v>1.1560098222837738</v>
      </c>
      <c r="T574" s="330">
        <f t="shared" si="260"/>
        <v>0.54134874645928122</v>
      </c>
      <c r="U574" s="331">
        <f t="shared" si="261"/>
        <v>-9.7676809445565933</v>
      </c>
      <c r="V574" s="332">
        <f t="shared" si="262"/>
        <v>-131.56779784379412</v>
      </c>
      <c r="W574" s="334">
        <f t="shared" si="263"/>
        <v>48.432202156205875</v>
      </c>
      <c r="Y574" s="307">
        <f t="shared" si="264"/>
        <v>101165</v>
      </c>
      <c r="Z574" s="307">
        <f t="shared" si="265"/>
        <v>10234357225</v>
      </c>
      <c r="AB574" s="333">
        <f t="shared" si="266"/>
        <v>22.991628280885408</v>
      </c>
      <c r="AC574" s="334">
        <f t="shared" si="267"/>
        <v>-16.01236366815845</v>
      </c>
      <c r="AE574" s="333">
        <f t="shared" si="268"/>
        <v>10.214177559011645</v>
      </c>
      <c r="AF574" s="334">
        <f t="shared" si="269"/>
        <v>-112.85896353301293</v>
      </c>
      <c r="AH574">
        <f t="shared" si="270"/>
        <v>0</v>
      </c>
      <c r="AI574">
        <f t="shared" si="275"/>
        <v>0</v>
      </c>
    </row>
    <row r="575" spans="1:35" x14ac:dyDescent="0.2">
      <c r="A575" s="335">
        <v>102330</v>
      </c>
      <c r="B575" s="352">
        <f t="shared" si="271"/>
        <v>102.33</v>
      </c>
      <c r="C575" s="325">
        <f t="shared" si="246"/>
        <v>63.479429068985283</v>
      </c>
      <c r="D575" s="326">
        <f t="shared" si="247"/>
        <v>1.5550425404188128</v>
      </c>
      <c r="E575" s="326">
        <f t="shared" si="248"/>
        <v>1.0082340093863882</v>
      </c>
      <c r="F575" s="327">
        <f t="shared" si="249"/>
        <v>0.127889831119742</v>
      </c>
      <c r="G575" s="326">
        <f t="shared" si="250"/>
        <v>1</v>
      </c>
      <c r="H575" s="327">
        <f t="shared" si="251"/>
        <v>0</v>
      </c>
      <c r="I575" s="325">
        <f t="shared" si="252"/>
        <v>135818.47722005559</v>
      </c>
      <c r="J575" s="328">
        <f t="shared" si="253"/>
        <v>1.5707889640264392</v>
      </c>
      <c r="K575" s="336">
        <f t="shared" si="273"/>
        <v>25.692795069747909</v>
      </c>
      <c r="L575" s="337">
        <f t="shared" si="274"/>
        <v>1.531865075873823</v>
      </c>
      <c r="M575" s="325">
        <f t="shared" si="254"/>
        <v>1.0302062299413453</v>
      </c>
      <c r="N575" s="337">
        <f t="shared" si="255"/>
        <v>0.24275493711810436</v>
      </c>
      <c r="O575" s="343">
        <f t="shared" si="256"/>
        <v>1.1634384902800019</v>
      </c>
      <c r="P575" s="691">
        <f t="shared" si="257"/>
        <v>0.53646427588111067</v>
      </c>
      <c r="Q575" s="336">
        <f t="shared" si="272"/>
        <v>7.5399425602143531</v>
      </c>
      <c r="R575" s="692">
        <f t="shared" si="258"/>
        <v>0.5837918483103417</v>
      </c>
      <c r="S575" s="329">
        <f t="shared" si="259"/>
        <v>1.1593758079640166</v>
      </c>
      <c r="T575" s="330">
        <f t="shared" si="260"/>
        <v>0.5465151215424221</v>
      </c>
      <c r="U575" s="331">
        <f t="shared" si="261"/>
        <v>-9.9004504071822872</v>
      </c>
      <c r="V575" s="332">
        <f t="shared" si="262"/>
        <v>-131.93351503972357</v>
      </c>
      <c r="W575" s="334">
        <f t="shared" si="263"/>
        <v>48.066484960276426</v>
      </c>
      <c r="Y575" s="307">
        <f t="shared" si="264"/>
        <v>102330</v>
      </c>
      <c r="Z575" s="307">
        <f t="shared" si="265"/>
        <v>10471428900</v>
      </c>
      <c r="AB575" s="333">
        <f t="shared" si="266"/>
        <v>22.985790883519719</v>
      </c>
      <c r="AC575" s="334">
        <f t="shared" si="267"/>
        <v>-16.139007884656749</v>
      </c>
      <c r="AE575" s="333">
        <f t="shared" si="268"/>
        <v>10.091094272514912</v>
      </c>
      <c r="AF575" s="334">
        <f t="shared" si="269"/>
        <v>-113.0828369971736</v>
      </c>
      <c r="AH575">
        <f t="shared" si="270"/>
        <v>0</v>
      </c>
      <c r="AI575">
        <f t="shared" si="275"/>
        <v>0</v>
      </c>
    </row>
    <row r="576" spans="1:35" x14ac:dyDescent="0.2">
      <c r="A576" s="335">
        <v>103520</v>
      </c>
      <c r="B576" s="352">
        <f t="shared" si="271"/>
        <v>103.52</v>
      </c>
      <c r="C576" s="325">
        <f t="shared" si="246"/>
        <v>64.217451956532145</v>
      </c>
      <c r="D576" s="326">
        <f t="shared" si="247"/>
        <v>1.5552236064681821</v>
      </c>
      <c r="E576" s="326">
        <f t="shared" si="248"/>
        <v>1.0084258254220919</v>
      </c>
      <c r="F576" s="327">
        <f t="shared" si="249"/>
        <v>0.12936062454362693</v>
      </c>
      <c r="G576" s="326">
        <f t="shared" si="250"/>
        <v>1</v>
      </c>
      <c r="H576" s="327">
        <f t="shared" si="251"/>
        <v>0</v>
      </c>
      <c r="I576" s="325">
        <f t="shared" si="252"/>
        <v>137397.91617132261</v>
      </c>
      <c r="J576" s="328">
        <f t="shared" si="253"/>
        <v>1.5707890486641369</v>
      </c>
      <c r="K576" s="336">
        <f t="shared" si="273"/>
        <v>25.991127674654575</v>
      </c>
      <c r="L576" s="337">
        <f t="shared" si="274"/>
        <v>1.5323121604406014</v>
      </c>
      <c r="M576" s="325">
        <f t="shared" si="254"/>
        <v>1.0309022595467332</v>
      </c>
      <c r="N576" s="337">
        <f t="shared" si="255"/>
        <v>0.2454665094647363</v>
      </c>
      <c r="O576" s="343">
        <f t="shared" si="256"/>
        <v>1.1669878939167857</v>
      </c>
      <c r="P576" s="691">
        <f t="shared" si="257"/>
        <v>0.54155741493519016</v>
      </c>
      <c r="Q576" s="336">
        <f t="shared" si="272"/>
        <v>7.5663643913259477</v>
      </c>
      <c r="R576" s="692">
        <f t="shared" si="258"/>
        <v>0.58914986518146828</v>
      </c>
      <c r="S576" s="329">
        <f t="shared" si="259"/>
        <v>1.1628436215747662</v>
      </c>
      <c r="T576" s="330">
        <f t="shared" si="260"/>
        <v>0.55176248655490623</v>
      </c>
      <c r="U576" s="331">
        <f t="shared" si="261"/>
        <v>-10.035083474181846</v>
      </c>
      <c r="V576" s="332">
        <f t="shared" si="262"/>
        <v>-132.30519779657686</v>
      </c>
      <c r="W576" s="334">
        <f t="shared" si="263"/>
        <v>47.694802203423137</v>
      </c>
      <c r="Y576" s="307">
        <f t="shared" si="264"/>
        <v>103520</v>
      </c>
      <c r="Z576" s="307">
        <f t="shared" si="265"/>
        <v>10716390400</v>
      </c>
      <c r="AB576" s="333">
        <f t="shared" si="266"/>
        <v>22.979774100359151</v>
      </c>
      <c r="AC576" s="334">
        <f t="shared" si="267"/>
        <v>-16.268758326732442</v>
      </c>
      <c r="AE576" s="333">
        <f t="shared" si="268"/>
        <v>9.9664038321787292</v>
      </c>
      <c r="AF576" s="334">
        <f t="shared" si="269"/>
        <v>-113.30959293093044</v>
      </c>
      <c r="AH576">
        <f t="shared" si="270"/>
        <v>0</v>
      </c>
      <c r="AI576">
        <f t="shared" si="275"/>
        <v>0</v>
      </c>
    </row>
    <row r="577" spans="1:35" x14ac:dyDescent="0.2">
      <c r="A577" s="335">
        <v>104710</v>
      </c>
      <c r="B577" s="352">
        <f t="shared" si="271"/>
        <v>104.71</v>
      </c>
      <c r="C577" s="325">
        <f t="shared" si="246"/>
        <v>64.955476901600434</v>
      </c>
      <c r="D577" s="326">
        <f t="shared" si="247"/>
        <v>1.5554005579737853</v>
      </c>
      <c r="E577" s="326">
        <f t="shared" si="248"/>
        <v>1.0086198220856391</v>
      </c>
      <c r="F577" s="327">
        <f t="shared" si="249"/>
        <v>0.13083085536584821</v>
      </c>
      <c r="G577" s="326">
        <f t="shared" si="250"/>
        <v>1</v>
      </c>
      <c r="H577" s="327">
        <f t="shared" si="251"/>
        <v>0</v>
      </c>
      <c r="I577" s="325">
        <f t="shared" si="252"/>
        <v>138977.35512259058</v>
      </c>
      <c r="J577" s="328">
        <f t="shared" si="253"/>
        <v>1.5707891313780669</v>
      </c>
      <c r="K577" s="336">
        <f t="shared" si="273"/>
        <v>26.289465356876303</v>
      </c>
      <c r="L577" s="337">
        <f t="shared" si="274"/>
        <v>1.5327490978974867</v>
      </c>
      <c r="M577" s="325">
        <f t="shared" si="254"/>
        <v>1.031605858728633</v>
      </c>
      <c r="N577" s="337">
        <f t="shared" si="255"/>
        <v>0.24817440288305886</v>
      </c>
      <c r="O577" s="343">
        <f t="shared" si="256"/>
        <v>1.1705673852590071</v>
      </c>
      <c r="P577" s="691">
        <f t="shared" si="257"/>
        <v>0.54661953589925949</v>
      </c>
      <c r="Q577" s="336">
        <f t="shared" si="272"/>
        <v>7.5929981854440518</v>
      </c>
      <c r="R577" s="692">
        <f t="shared" si="258"/>
        <v>0.59447077319635411</v>
      </c>
      <c r="S577" s="329">
        <f t="shared" si="259"/>
        <v>1.1663410823706948</v>
      </c>
      <c r="T577" s="330">
        <f t="shared" si="260"/>
        <v>0.55697966908590757</v>
      </c>
      <c r="U577" s="331">
        <f t="shared" si="261"/>
        <v>-10.16874292438712</v>
      </c>
      <c r="V577" s="332">
        <f t="shared" si="262"/>
        <v>-132.67496922741532</v>
      </c>
      <c r="W577" s="334">
        <f t="shared" si="263"/>
        <v>47.325030772584682</v>
      </c>
      <c r="Y577" s="307">
        <f t="shared" si="264"/>
        <v>104710</v>
      </c>
      <c r="Z577" s="307">
        <f t="shared" si="265"/>
        <v>10964184100</v>
      </c>
      <c r="AB577" s="333">
        <f t="shared" si="266"/>
        <v>22.973702635557398</v>
      </c>
      <c r="AC577" s="334">
        <f t="shared" si="267"/>
        <v>-16.398879258090641</v>
      </c>
      <c r="AE577" s="333">
        <f t="shared" si="268"/>
        <v>9.8427353384850704</v>
      </c>
      <c r="AF577" s="334">
        <f t="shared" si="269"/>
        <v>-113.53441602458931</v>
      </c>
      <c r="AH577">
        <f t="shared" si="270"/>
        <v>0</v>
      </c>
      <c r="AI577">
        <f t="shared" si="275"/>
        <v>0</v>
      </c>
    </row>
    <row r="578" spans="1:35" x14ac:dyDescent="0.2">
      <c r="A578" s="335">
        <v>105930</v>
      </c>
      <c r="B578" s="352">
        <f t="shared" si="271"/>
        <v>105.93</v>
      </c>
      <c r="C578" s="325">
        <f t="shared" si="246"/>
        <v>65.712109580959876</v>
      </c>
      <c r="D578" s="326">
        <f t="shared" si="247"/>
        <v>1.5555778441165997</v>
      </c>
      <c r="E578" s="326">
        <f t="shared" si="248"/>
        <v>1.0088209718858381</v>
      </c>
      <c r="F578" s="327">
        <f t="shared" si="249"/>
        <v>0.13233756046329484</v>
      </c>
      <c r="G578" s="326">
        <f t="shared" si="250"/>
        <v>1</v>
      </c>
      <c r="H578" s="327">
        <f t="shared" si="251"/>
        <v>0</v>
      </c>
      <c r="I578" s="325">
        <f t="shared" si="252"/>
        <v>140596.61186254697</v>
      </c>
      <c r="J578" s="328">
        <f t="shared" si="253"/>
        <v>1.5707892142479671</v>
      </c>
      <c r="K578" s="336">
        <f t="shared" si="273"/>
        <v>26.595329249191785</v>
      </c>
      <c r="L578" s="337">
        <f t="shared" si="274"/>
        <v>1.5331868738456436</v>
      </c>
      <c r="M578" s="325">
        <f t="shared" si="254"/>
        <v>1.0323350377277523</v>
      </c>
      <c r="N578" s="337">
        <f t="shared" si="255"/>
        <v>0.25094670965212407</v>
      </c>
      <c r="O578" s="343">
        <f t="shared" si="256"/>
        <v>1.1742680628612239</v>
      </c>
      <c r="P578" s="691">
        <f t="shared" si="257"/>
        <v>0.55177709911954487</v>
      </c>
      <c r="Q578" s="336">
        <f t="shared" si="272"/>
        <v>7.6205211395647217</v>
      </c>
      <c r="R578" s="692">
        <f t="shared" si="258"/>
        <v>0.59988739968424265</v>
      </c>
      <c r="S578" s="329">
        <f t="shared" si="259"/>
        <v>1.1699572153611764</v>
      </c>
      <c r="T578" s="330">
        <f t="shared" si="260"/>
        <v>0.562297061830487</v>
      </c>
      <c r="U578" s="331">
        <f t="shared" si="261"/>
        <v>-10.304783873094831</v>
      </c>
      <c r="V578" s="332">
        <f t="shared" si="262"/>
        <v>-133.0520700379563</v>
      </c>
      <c r="W578" s="334">
        <f t="shared" si="263"/>
        <v>46.947929962043702</v>
      </c>
      <c r="Y578" s="307">
        <f t="shared" si="264"/>
        <v>105930</v>
      </c>
      <c r="Z578" s="307">
        <f t="shared" si="265"/>
        <v>11221164900</v>
      </c>
      <c r="AB578" s="333">
        <f t="shared" si="266"/>
        <v>22.967421371044033</v>
      </c>
      <c r="AC578" s="334">
        <f t="shared" si="267"/>
        <v>-16.532642769520283</v>
      </c>
      <c r="AE578" s="333">
        <f t="shared" si="268"/>
        <v>9.7169865790683758</v>
      </c>
      <c r="AF578" s="334">
        <f t="shared" si="269"/>
        <v>-113.76291009182317</v>
      </c>
      <c r="AH578">
        <f t="shared" si="270"/>
        <v>0</v>
      </c>
      <c r="AI578">
        <f t="shared" si="275"/>
        <v>0</v>
      </c>
    </row>
    <row r="579" spans="1:35" x14ac:dyDescent="0.2">
      <c r="A579" s="335">
        <v>107150</v>
      </c>
      <c r="B579" s="352">
        <f t="shared" si="271"/>
        <v>107.15</v>
      </c>
      <c r="C579" s="325">
        <f t="shared" si="246"/>
        <v>66.468744278654555</v>
      </c>
      <c r="D579" s="326">
        <f t="shared" si="247"/>
        <v>1.5557510940565047</v>
      </c>
      <c r="E579" s="326">
        <f t="shared" si="248"/>
        <v>1.0090244109551749</v>
      </c>
      <c r="F579" s="327">
        <f t="shared" si="249"/>
        <v>0.13384366141621684</v>
      </c>
      <c r="G579" s="326">
        <f t="shared" si="250"/>
        <v>1</v>
      </c>
      <c r="H579" s="327">
        <f t="shared" si="251"/>
        <v>0</v>
      </c>
      <c r="I579" s="325">
        <f t="shared" si="252"/>
        <v>142215.86860250426</v>
      </c>
      <c r="J579" s="328">
        <f t="shared" si="253"/>
        <v>1.5707892952307692</v>
      </c>
      <c r="K579" s="336">
        <f t="shared" si="273"/>
        <v>26.901198122539252</v>
      </c>
      <c r="L579" s="337">
        <f t="shared" si="274"/>
        <v>1.5336146947759304</v>
      </c>
      <c r="M579" s="325">
        <f t="shared" si="254"/>
        <v>1.0330721396925773</v>
      </c>
      <c r="N579" s="337">
        <f t="shared" si="255"/>
        <v>0.25371508156429257</v>
      </c>
      <c r="O579" s="343">
        <f t="shared" si="256"/>
        <v>1.1779997797934869</v>
      </c>
      <c r="P579" s="691">
        <f t="shared" si="257"/>
        <v>0.55690212126297012</v>
      </c>
      <c r="Q579" s="336">
        <f t="shared" si="272"/>
        <v>7.648262164139914</v>
      </c>
      <c r="R579" s="692">
        <f t="shared" si="258"/>
        <v>0.60526523712254132</v>
      </c>
      <c r="S579" s="329">
        <f t="shared" si="259"/>
        <v>1.1736039474158966</v>
      </c>
      <c r="T579" s="330">
        <f t="shared" si="260"/>
        <v>0.56758277406765723</v>
      </c>
      <c r="U579" s="331">
        <f t="shared" si="261"/>
        <v>-10.439846712183041</v>
      </c>
      <c r="V579" s="332">
        <f t="shared" si="262"/>
        <v>-133.42714588589214</v>
      </c>
      <c r="W579" s="334">
        <f t="shared" si="263"/>
        <v>46.572854114107855</v>
      </c>
      <c r="Y579" s="307">
        <f t="shared" si="264"/>
        <v>107150</v>
      </c>
      <c r="Z579" s="307">
        <f t="shared" si="265"/>
        <v>11481122500</v>
      </c>
      <c r="AB579" s="333">
        <f t="shared" si="266"/>
        <v>22.961082707960664</v>
      </c>
      <c r="AC579" s="334">
        <f t="shared" si="267"/>
        <v>-16.666751102643314</v>
      </c>
      <c r="AE579" s="333">
        <f t="shared" si="268"/>
        <v>9.5922650828710747</v>
      </c>
      <c r="AF579" s="334">
        <f t="shared" si="269"/>
        <v>-113.98939235722686</v>
      </c>
      <c r="AH579">
        <f t="shared" si="270"/>
        <v>0</v>
      </c>
      <c r="AI579">
        <f t="shared" si="275"/>
        <v>0</v>
      </c>
    </row>
    <row r="580" spans="1:35" x14ac:dyDescent="0.2">
      <c r="A580" s="335">
        <v>108400</v>
      </c>
      <c r="B580" s="352">
        <f t="shared" si="271"/>
        <v>108.4</v>
      </c>
      <c r="C580" s="325">
        <f t="shared" si="246"/>
        <v>67.243986769751956</v>
      </c>
      <c r="D580" s="326">
        <f t="shared" si="247"/>
        <v>1.5559245604026397</v>
      </c>
      <c r="E580" s="326">
        <f t="shared" si="248"/>
        <v>1.0092352255783565</v>
      </c>
      <c r="F580" s="327">
        <f t="shared" si="249"/>
        <v>0.13538616426671921</v>
      </c>
      <c r="G580" s="326">
        <f t="shared" si="250"/>
        <v>1</v>
      </c>
      <c r="H580" s="327">
        <f t="shared" si="251"/>
        <v>0</v>
      </c>
      <c r="I580" s="325">
        <f t="shared" si="252"/>
        <v>143874.94313115004</v>
      </c>
      <c r="J580" s="328">
        <f t="shared" si="253"/>
        <v>1.5707893763143039</v>
      </c>
      <c r="K580" s="336">
        <f t="shared" si="273"/>
        <v>27.21459335226821</v>
      </c>
      <c r="L580" s="337">
        <f t="shared" si="274"/>
        <v>1.5340430615048637</v>
      </c>
      <c r="M580" s="325">
        <f t="shared" si="254"/>
        <v>1.0338355669950614</v>
      </c>
      <c r="N580" s="337">
        <f t="shared" si="255"/>
        <v>0.25654741149030186</v>
      </c>
      <c r="O580" s="343">
        <f t="shared" si="256"/>
        <v>1.1818551463945901</v>
      </c>
      <c r="P580" s="691">
        <f t="shared" si="257"/>
        <v>0.5621194595427611</v>
      </c>
      <c r="Q580" s="336">
        <f t="shared" si="272"/>
        <v>7.6769090536618867</v>
      </c>
      <c r="R580" s="692">
        <f t="shared" si="258"/>
        <v>0.61073520981558871</v>
      </c>
      <c r="S580" s="329">
        <f t="shared" si="259"/>
        <v>1.1773717945416127</v>
      </c>
      <c r="T580" s="330">
        <f t="shared" si="260"/>
        <v>0.57296563680644841</v>
      </c>
      <c r="U580" s="331">
        <f t="shared" si="261"/>
        <v>-10.57723884621759</v>
      </c>
      <c r="V580" s="332">
        <f t="shared" si="262"/>
        <v>-133.80933766594117</v>
      </c>
      <c r="W580" s="334">
        <f t="shared" si="263"/>
        <v>46.190662334058828</v>
      </c>
      <c r="Y580" s="307">
        <f t="shared" si="264"/>
        <v>108400</v>
      </c>
      <c r="Z580" s="307">
        <f t="shared" si="265"/>
        <v>11750560000</v>
      </c>
      <c r="AB580" s="333">
        <f t="shared" si="266"/>
        <v>22.95452870623846</v>
      </c>
      <c r="AC580" s="334">
        <f t="shared" si="267"/>
        <v>-16.804492693842271</v>
      </c>
      <c r="AE580" s="333">
        <f t="shared" si="268"/>
        <v>9.4655187136564969</v>
      </c>
      <c r="AF580" s="334">
        <f t="shared" si="269"/>
        <v>-114.21936766042103</v>
      </c>
      <c r="AH580">
        <f t="shared" si="270"/>
        <v>0</v>
      </c>
      <c r="AI580">
        <f t="shared" si="275"/>
        <v>0</v>
      </c>
    </row>
    <row r="581" spans="1:35" x14ac:dyDescent="0.2">
      <c r="A581" s="335">
        <v>109650</v>
      </c>
      <c r="B581" s="352">
        <f t="shared" si="271"/>
        <v>109.65</v>
      </c>
      <c r="C581" s="325">
        <f t="shared" si="246"/>
        <v>68.019231238136214</v>
      </c>
      <c r="D581" s="326">
        <f t="shared" si="247"/>
        <v>1.5560940726124914</v>
      </c>
      <c r="E581" s="326">
        <f t="shared" si="248"/>
        <v>1.0094484404837842</v>
      </c>
      <c r="F581" s="327">
        <f t="shared" si="249"/>
        <v>0.1369280191720183</v>
      </c>
      <c r="G581" s="326">
        <f t="shared" si="250"/>
        <v>1</v>
      </c>
      <c r="H581" s="327">
        <f t="shared" si="251"/>
        <v>0</v>
      </c>
      <c r="I581" s="325">
        <f t="shared" si="252"/>
        <v>145534.01765979669</v>
      </c>
      <c r="J581" s="328">
        <f t="shared" si="253"/>
        <v>1.5707894555491488</v>
      </c>
      <c r="K581" s="336">
        <f t="shared" si="273"/>
        <v>27.527993462116168</v>
      </c>
      <c r="L581" s="337">
        <f t="shared" si="274"/>
        <v>1.5344616745884556</v>
      </c>
      <c r="M581" s="325">
        <f t="shared" si="254"/>
        <v>1.0346072755442037</v>
      </c>
      <c r="N581" s="337">
        <f t="shared" si="255"/>
        <v>0.25937553883344061</v>
      </c>
      <c r="O581" s="343">
        <f t="shared" si="256"/>
        <v>1.1857424741122984</v>
      </c>
      <c r="P581" s="691">
        <f t="shared" si="257"/>
        <v>0.56730272919525826</v>
      </c>
      <c r="Q581" s="336">
        <f t="shared" si="272"/>
        <v>7.705779864536658</v>
      </c>
      <c r="R581" s="692">
        <f t="shared" si="258"/>
        <v>0.61616472363503194</v>
      </c>
      <c r="S581" s="329">
        <f t="shared" si="259"/>
        <v>1.1811711645033414</v>
      </c>
      <c r="T581" s="330">
        <f t="shared" si="260"/>
        <v>0.57831531466894137</v>
      </c>
      <c r="U581" s="331">
        <f t="shared" si="261"/>
        <v>-10.713649140572535</v>
      </c>
      <c r="V581" s="332">
        <f t="shared" si="262"/>
        <v>-134.18939047422268</v>
      </c>
      <c r="W581" s="334">
        <f t="shared" si="263"/>
        <v>45.810609525777323</v>
      </c>
      <c r="Y581" s="307">
        <f t="shared" si="264"/>
        <v>109650</v>
      </c>
      <c r="Z581" s="307">
        <f t="shared" si="265"/>
        <v>12023122500</v>
      </c>
      <c r="AB581" s="333">
        <f t="shared" si="266"/>
        <v>22.947914591840686</v>
      </c>
      <c r="AC581" s="334">
        <f t="shared" si="267"/>
        <v>-16.942552231570854</v>
      </c>
      <c r="AE581" s="333">
        <f t="shared" si="268"/>
        <v>9.3398040587574354</v>
      </c>
      <c r="AF581" s="334">
        <f t="shared" si="269"/>
        <v>-114.44725217946208</v>
      </c>
      <c r="AH581">
        <f t="shared" si="270"/>
        <v>0</v>
      </c>
      <c r="AI581">
        <f t="shared" si="275"/>
        <v>0</v>
      </c>
    </row>
    <row r="582" spans="1:35" x14ac:dyDescent="0.2">
      <c r="A582" s="335">
        <v>110925</v>
      </c>
      <c r="B582" s="352">
        <f t="shared" si="271"/>
        <v>110.925</v>
      </c>
      <c r="C582" s="325">
        <f t="shared" si="246"/>
        <v>68.809982563580746</v>
      </c>
      <c r="D582" s="326">
        <f t="shared" si="247"/>
        <v>1.556263040106727</v>
      </c>
      <c r="E582" s="326">
        <f t="shared" si="248"/>
        <v>1.0096683908810091</v>
      </c>
      <c r="F582" s="327">
        <f t="shared" si="249"/>
        <v>0.13850003648780504</v>
      </c>
      <c r="G582" s="326">
        <f t="shared" si="250"/>
        <v>1</v>
      </c>
      <c r="H582" s="327">
        <f t="shared" si="251"/>
        <v>0</v>
      </c>
      <c r="I582" s="325">
        <f t="shared" si="252"/>
        <v>147226.27367901721</v>
      </c>
      <c r="J582" s="328">
        <f t="shared" si="253"/>
        <v>1.5707895345289851</v>
      </c>
      <c r="K582" s="336">
        <f t="shared" si="273"/>
        <v>27.847666430788312</v>
      </c>
      <c r="L582" s="337">
        <f t="shared" si="274"/>
        <v>1.5348789530906042</v>
      </c>
      <c r="M582" s="325">
        <f t="shared" si="254"/>
        <v>1.0354029304006485</v>
      </c>
      <c r="N582" s="337">
        <f t="shared" si="255"/>
        <v>0.26225586210525176</v>
      </c>
      <c r="O582" s="343">
        <f t="shared" si="256"/>
        <v>1.1897401498135562</v>
      </c>
      <c r="P582" s="691">
        <f t="shared" si="257"/>
        <v>0.57255462570307458</v>
      </c>
      <c r="Q582" s="336">
        <f t="shared" si="272"/>
        <v>7.7354561760344867</v>
      </c>
      <c r="R582" s="692">
        <f t="shared" si="258"/>
        <v>0.62166129563856987</v>
      </c>
      <c r="S582" s="329">
        <f t="shared" si="259"/>
        <v>1.1850786840909429</v>
      </c>
      <c r="T582" s="330">
        <f t="shared" si="260"/>
        <v>0.58373784745611568</v>
      </c>
      <c r="U582" s="331">
        <f t="shared" si="261"/>
        <v>-10.851798390752458</v>
      </c>
      <c r="V582" s="332">
        <f t="shared" si="262"/>
        <v>-134.57483535293787</v>
      </c>
      <c r="W582" s="334">
        <f t="shared" si="263"/>
        <v>45.425164647062132</v>
      </c>
      <c r="Y582" s="307">
        <f t="shared" si="264"/>
        <v>110925</v>
      </c>
      <c r="Z582" s="307">
        <f t="shared" si="265"/>
        <v>12304355625</v>
      </c>
      <c r="AB582" s="333">
        <f t="shared" si="266"/>
        <v>22.941106365094424</v>
      </c>
      <c r="AC582" s="334">
        <f t="shared" si="267"/>
        <v>-17.083678826996831</v>
      </c>
      <c r="AE582" s="333">
        <f t="shared" si="268"/>
        <v>9.212614854577108</v>
      </c>
      <c r="AF582" s="334">
        <f t="shared" si="269"/>
        <v>-114.67755158948017</v>
      </c>
      <c r="AH582">
        <f t="shared" si="270"/>
        <v>0</v>
      </c>
      <c r="AI582">
        <f t="shared" si="275"/>
        <v>0</v>
      </c>
    </row>
    <row r="583" spans="1:35" x14ac:dyDescent="0.2">
      <c r="A583" s="335">
        <v>112200</v>
      </c>
      <c r="B583" s="352">
        <f t="shared" si="271"/>
        <v>112.2</v>
      </c>
      <c r="C583" s="325">
        <f t="shared" si="246"/>
        <v>69.600735808912262</v>
      </c>
      <c r="D583" s="326">
        <f t="shared" si="247"/>
        <v>1.5564281682325449</v>
      </c>
      <c r="E583" s="326">
        <f t="shared" si="248"/>
        <v>1.0098908353191183</v>
      </c>
      <c r="F583" s="327">
        <f t="shared" si="249"/>
        <v>0.14007136516191915</v>
      </c>
      <c r="G583" s="326">
        <f t="shared" si="250"/>
        <v>1</v>
      </c>
      <c r="H583" s="327">
        <f t="shared" si="251"/>
        <v>0</v>
      </c>
      <c r="I583" s="325">
        <f t="shared" si="252"/>
        <v>148918.52969823862</v>
      </c>
      <c r="J583" s="328">
        <f t="shared" si="253"/>
        <v>1.5707896117138249</v>
      </c>
      <c r="K583" s="336">
        <f t="shared" si="273"/>
        <v>28.16734413827286</v>
      </c>
      <c r="L583" s="337">
        <f t="shared" si="274"/>
        <v>1.5352867600818376</v>
      </c>
      <c r="M583" s="325">
        <f t="shared" si="254"/>
        <v>1.0362071619980244</v>
      </c>
      <c r="N583" s="337">
        <f t="shared" si="255"/>
        <v>0.26513173819403973</v>
      </c>
      <c r="O583" s="343">
        <f t="shared" si="256"/>
        <v>1.1937704211111353</v>
      </c>
      <c r="P583" s="691">
        <f t="shared" si="257"/>
        <v>0.57777120358529255</v>
      </c>
      <c r="Q583" s="336">
        <f t="shared" si="272"/>
        <v>7.7653602074004606</v>
      </c>
      <c r="R583" s="692">
        <f t="shared" si="258"/>
        <v>0.62711608295690635</v>
      </c>
      <c r="S583" s="329">
        <f t="shared" si="259"/>
        <v>1.1890183680812245</v>
      </c>
      <c r="T583" s="330">
        <f t="shared" si="260"/>
        <v>0.58912595959104253</v>
      </c>
      <c r="U583" s="331">
        <f t="shared" si="261"/>
        <v>-10.98897033216986</v>
      </c>
      <c r="V583" s="332">
        <f t="shared" si="262"/>
        <v>-134.95804484221583</v>
      </c>
      <c r="W583" s="334">
        <f t="shared" si="263"/>
        <v>45.041955157784173</v>
      </c>
      <c r="Y583" s="307">
        <f t="shared" si="264"/>
        <v>112200</v>
      </c>
      <c r="Z583" s="307">
        <f t="shared" si="265"/>
        <v>12588840000</v>
      </c>
      <c r="AB583" s="333">
        <f t="shared" si="266"/>
        <v>22.93423581014228</v>
      </c>
      <c r="AC583" s="334">
        <f t="shared" si="267"/>
        <v>-17.225093192360521</v>
      </c>
      <c r="AE583" s="333">
        <f t="shared" si="268"/>
        <v>9.0864530647886514</v>
      </c>
      <c r="AF583" s="334">
        <f t="shared" si="269"/>
        <v>-114.90569831804905</v>
      </c>
      <c r="AH583">
        <f t="shared" si="270"/>
        <v>0</v>
      </c>
      <c r="AI583">
        <f t="shared" si="275"/>
        <v>0</v>
      </c>
    </row>
    <row r="584" spans="1:35" x14ac:dyDescent="0.2">
      <c r="A584" s="335">
        <v>113510</v>
      </c>
      <c r="B584" s="352">
        <f t="shared" si="271"/>
        <v>113.51</v>
      </c>
      <c r="C584" s="325">
        <f t="shared" si="246"/>
        <v>70.413197937754688</v>
      </c>
      <c r="D584" s="326">
        <f t="shared" si="247"/>
        <v>1.5565939663295245</v>
      </c>
      <c r="E584" s="326">
        <f t="shared" si="248"/>
        <v>1.0101219820195397</v>
      </c>
      <c r="F584" s="327">
        <f t="shared" si="249"/>
        <v>0.1416851034169048</v>
      </c>
      <c r="G584" s="326">
        <f t="shared" si="250"/>
        <v>1</v>
      </c>
      <c r="H584" s="327">
        <f t="shared" si="251"/>
        <v>0</v>
      </c>
      <c r="I584" s="325">
        <f t="shared" si="252"/>
        <v>150657.23980426311</v>
      </c>
      <c r="J584" s="328">
        <f t="shared" si="253"/>
        <v>1.5707896892114568</v>
      </c>
      <c r="K584" s="336">
        <f t="shared" si="273"/>
        <v>28.495802080329792</v>
      </c>
      <c r="L584" s="337">
        <f t="shared" si="274"/>
        <v>1.5356962316015044</v>
      </c>
      <c r="M584" s="325">
        <f t="shared" si="254"/>
        <v>1.0370423826988171</v>
      </c>
      <c r="N584" s="337">
        <f t="shared" si="255"/>
        <v>0.26808188885889006</v>
      </c>
      <c r="O584" s="343">
        <f t="shared" si="256"/>
        <v>1.1979449315451685</v>
      </c>
      <c r="P584" s="691">
        <f t="shared" si="257"/>
        <v>0.58309427326594065</v>
      </c>
      <c r="Q584" s="336">
        <f t="shared" si="272"/>
        <v>7.7963195626940562</v>
      </c>
      <c r="R584" s="692">
        <f t="shared" si="258"/>
        <v>0.63267726408571312</v>
      </c>
      <c r="S584" s="329">
        <f t="shared" si="259"/>
        <v>1.193099368287257</v>
      </c>
      <c r="T584" s="330">
        <f t="shared" si="260"/>
        <v>0.59462619599639632</v>
      </c>
      <c r="U584" s="331">
        <f t="shared" si="261"/>
        <v>-11.12891196551557</v>
      </c>
      <c r="V584" s="332">
        <f t="shared" si="262"/>
        <v>-135.34944172840915</v>
      </c>
      <c r="W584" s="334">
        <f t="shared" si="263"/>
        <v>44.650558271590853</v>
      </c>
      <c r="Y584" s="307">
        <f t="shared" si="264"/>
        <v>113510</v>
      </c>
      <c r="Z584" s="307">
        <f t="shared" si="265"/>
        <v>12884520100</v>
      </c>
      <c r="AB584" s="333">
        <f t="shared" si="266"/>
        <v>22.927111868697008</v>
      </c>
      <c r="AC584" s="334">
        <f t="shared" si="267"/>
        <v>-17.37066782493002</v>
      </c>
      <c r="AE584" s="333">
        <f t="shared" si="268"/>
        <v>8.9578750858911746</v>
      </c>
      <c r="AF584" s="334">
        <f t="shared" si="269"/>
        <v>-115.1378777906241</v>
      </c>
      <c r="AH584">
        <f t="shared" si="270"/>
        <v>0</v>
      </c>
      <c r="AI584">
        <f t="shared" si="275"/>
        <v>0</v>
      </c>
    </row>
    <row r="585" spans="1:35" x14ac:dyDescent="0.2">
      <c r="A585" s="335">
        <v>114820</v>
      </c>
      <c r="B585" s="352">
        <f t="shared" si="271"/>
        <v>114.82</v>
      </c>
      <c r="C585" s="325">
        <f t="shared" si="246"/>
        <v>71.225661958028084</v>
      </c>
      <c r="D585" s="326">
        <f t="shared" si="247"/>
        <v>1.5567559819461698</v>
      </c>
      <c r="E585" s="326">
        <f t="shared" si="248"/>
        <v>1.0103557580226896</v>
      </c>
      <c r="F585" s="327">
        <f t="shared" si="249"/>
        <v>0.14329809909760685</v>
      </c>
      <c r="G585" s="326">
        <f t="shared" si="250"/>
        <v>1</v>
      </c>
      <c r="H585" s="327">
        <f t="shared" si="251"/>
        <v>0</v>
      </c>
      <c r="I585" s="325">
        <f t="shared" si="252"/>
        <v>152395.94991028847</v>
      </c>
      <c r="J585" s="328">
        <f t="shared" si="253"/>
        <v>1.5707897649407228</v>
      </c>
      <c r="K585" s="336">
        <f t="shared" si="273"/>
        <v>28.824264691301838</v>
      </c>
      <c r="L585" s="337">
        <f t="shared" si="274"/>
        <v>1.5360963710436817</v>
      </c>
      <c r="M585" s="325">
        <f t="shared" si="254"/>
        <v>1.0378866146103629</v>
      </c>
      <c r="N585" s="337">
        <f t="shared" si="255"/>
        <v>0.27102726573389635</v>
      </c>
      <c r="O585" s="343">
        <f t="shared" si="256"/>
        <v>1.2021531495329281</v>
      </c>
      <c r="P585" s="691">
        <f t="shared" si="257"/>
        <v>0.58838022432773263</v>
      </c>
      <c r="Q585" s="336">
        <f t="shared" si="272"/>
        <v>7.8275137276675792</v>
      </c>
      <c r="R585" s="692">
        <f t="shared" si="258"/>
        <v>0.63819470003613832</v>
      </c>
      <c r="S585" s="329">
        <f t="shared" si="259"/>
        <v>1.1972136469443659</v>
      </c>
      <c r="T585" s="330">
        <f t="shared" si="260"/>
        <v>0.60009023799694672</v>
      </c>
      <c r="U585" s="331">
        <f t="shared" si="261"/>
        <v>-11.267866037683083</v>
      </c>
      <c r="V585" s="332">
        <f t="shared" si="262"/>
        <v>-135.73847204960626</v>
      </c>
      <c r="W585" s="334">
        <f t="shared" si="263"/>
        <v>44.261527950393742</v>
      </c>
      <c r="Y585" s="307">
        <f t="shared" si="264"/>
        <v>114820</v>
      </c>
      <c r="Z585" s="307">
        <f t="shared" si="265"/>
        <v>13183632400</v>
      </c>
      <c r="AB585" s="333">
        <f t="shared" si="266"/>
        <v>22.919922419357061</v>
      </c>
      <c r="AC585" s="334">
        <f t="shared" si="267"/>
        <v>-17.516503526823801</v>
      </c>
      <c r="AE585" s="333">
        <f t="shared" si="268"/>
        <v>8.8303356965427771</v>
      </c>
      <c r="AF585" s="334">
        <f t="shared" si="269"/>
        <v>-115.3678093027725</v>
      </c>
      <c r="AH585">
        <f t="shared" si="270"/>
        <v>0</v>
      </c>
      <c r="AI585">
        <f t="shared" si="275"/>
        <v>0</v>
      </c>
    </row>
    <row r="586" spans="1:35" x14ac:dyDescent="0.2">
      <c r="A586" s="335">
        <v>116155</v>
      </c>
      <c r="B586" s="352">
        <f t="shared" si="271"/>
        <v>116.155</v>
      </c>
      <c r="C586" s="325">
        <f t="shared" si="246"/>
        <v>72.05363289653144</v>
      </c>
      <c r="D586" s="326">
        <f t="shared" si="247"/>
        <v>1.5569173304841812</v>
      </c>
      <c r="E586" s="326">
        <f t="shared" si="248"/>
        <v>1.0105966985584904</v>
      </c>
      <c r="F586" s="327">
        <f t="shared" si="249"/>
        <v>0.14494110501896534</v>
      </c>
      <c r="G586" s="326">
        <f t="shared" si="250"/>
        <v>1</v>
      </c>
      <c r="H586" s="327">
        <f t="shared" si="251"/>
        <v>0</v>
      </c>
      <c r="I586" s="325">
        <f t="shared" si="252"/>
        <v>154167.84150688772</v>
      </c>
      <c r="J586" s="328">
        <f t="shared" si="253"/>
        <v>1.5707898403578406</v>
      </c>
      <c r="K586" s="336">
        <f t="shared" si="273"/>
        <v>29.159000312772328</v>
      </c>
      <c r="L586" s="337">
        <f t="shared" si="274"/>
        <v>1.5364948722014315</v>
      </c>
      <c r="M586" s="325">
        <f t="shared" si="254"/>
        <v>1.0387562058750888</v>
      </c>
      <c r="N586" s="337">
        <f t="shared" si="255"/>
        <v>0.27402389998581367</v>
      </c>
      <c r="O586" s="343">
        <f t="shared" si="256"/>
        <v>1.2064759904252396</v>
      </c>
      <c r="P586" s="691">
        <f t="shared" si="257"/>
        <v>0.59372896235288053</v>
      </c>
      <c r="Q586" s="336">
        <f t="shared" si="272"/>
        <v>7.8595418814623459</v>
      </c>
      <c r="R586" s="692">
        <f t="shared" si="258"/>
        <v>0.64377262839964755</v>
      </c>
      <c r="S586" s="329">
        <f t="shared" si="259"/>
        <v>1.2014403277101149</v>
      </c>
      <c r="T586" s="330">
        <f t="shared" si="260"/>
        <v>0.60562140385417118</v>
      </c>
      <c r="U586" s="331">
        <f t="shared" si="261"/>
        <v>-11.408477720008214</v>
      </c>
      <c r="V586" s="332">
        <f t="shared" si="262"/>
        <v>-136.13248981579702</v>
      </c>
      <c r="W586" s="334">
        <f t="shared" si="263"/>
        <v>43.867510184202985</v>
      </c>
      <c r="Y586" s="307">
        <f t="shared" si="264"/>
        <v>116155</v>
      </c>
      <c r="Z586" s="307">
        <f t="shared" si="265"/>
        <v>13491984025</v>
      </c>
      <c r="AB586" s="333">
        <f t="shared" si="266"/>
        <v>22.912528544785083</v>
      </c>
      <c r="AC586" s="334">
        <f t="shared" si="267"/>
        <v>-17.665369908985518</v>
      </c>
      <c r="AE586" s="333">
        <f t="shared" si="268"/>
        <v>8.7014080799039792</v>
      </c>
      <c r="AF586" s="334">
        <f t="shared" si="269"/>
        <v>-115.59982904769326</v>
      </c>
      <c r="AH586">
        <f t="shared" si="270"/>
        <v>0</v>
      </c>
      <c r="AI586">
        <f t="shared" si="275"/>
        <v>0</v>
      </c>
    </row>
    <row r="587" spans="1:35" x14ac:dyDescent="0.2">
      <c r="A587" s="335">
        <v>117490</v>
      </c>
      <c r="B587" s="352">
        <f t="shared" si="271"/>
        <v>117.49</v>
      </c>
      <c r="C587" s="325">
        <f t="shared" si="246"/>
        <v>72.881605668212302</v>
      </c>
      <c r="D587" s="326">
        <f t="shared" si="247"/>
        <v>1.5570750130203743</v>
      </c>
      <c r="E587" s="326">
        <f t="shared" si="248"/>
        <v>1.0108403658633984</v>
      </c>
      <c r="F587" s="327">
        <f t="shared" si="249"/>
        <v>0.14658332326474749</v>
      </c>
      <c r="G587" s="326">
        <f t="shared" si="250"/>
        <v>1</v>
      </c>
      <c r="H587" s="327">
        <f t="shared" si="251"/>
        <v>0</v>
      </c>
      <c r="I587" s="325">
        <f t="shared" si="252"/>
        <v>155939.73310348782</v>
      </c>
      <c r="J587" s="328">
        <f t="shared" si="253"/>
        <v>1.5707899140610788</v>
      </c>
      <c r="K587" s="336">
        <f t="shared" si="273"/>
        <v>29.493740459676619</v>
      </c>
      <c r="L587" s="337">
        <f t="shared" si="274"/>
        <v>1.5368843278166948</v>
      </c>
      <c r="M587" s="325">
        <f t="shared" si="254"/>
        <v>1.039635109327133</v>
      </c>
      <c r="N587" s="337">
        <f t="shared" si="255"/>
        <v>0.27701549437830852</v>
      </c>
      <c r="O587" s="343">
        <f t="shared" si="256"/>
        <v>1.2108331003594295</v>
      </c>
      <c r="P587" s="691">
        <f t="shared" si="257"/>
        <v>0.59903935717364698</v>
      </c>
      <c r="Q587" s="336">
        <f t="shared" si="272"/>
        <v>7.8918080573568341</v>
      </c>
      <c r="R587" s="692">
        <f t="shared" si="258"/>
        <v>0.64930554514366456</v>
      </c>
      <c r="S587" s="329">
        <f t="shared" si="259"/>
        <v>1.2057008588299745</v>
      </c>
      <c r="T587" s="330">
        <f t="shared" si="260"/>
        <v>0.611115160657975</v>
      </c>
      <c r="U587" s="331">
        <f t="shared" si="261"/>
        <v>-11.548107133528063</v>
      </c>
      <c r="V587" s="332">
        <f t="shared" si="262"/>
        <v>-136.52404662365632</v>
      </c>
      <c r="W587" s="334">
        <f t="shared" si="263"/>
        <v>43.475953376343682</v>
      </c>
      <c r="Y587" s="307">
        <f t="shared" si="264"/>
        <v>117490</v>
      </c>
      <c r="Z587" s="307">
        <f t="shared" si="265"/>
        <v>13803900100</v>
      </c>
      <c r="AB587" s="333">
        <f t="shared" si="266"/>
        <v>22.905067002137937</v>
      </c>
      <c r="AC587" s="334">
        <f t="shared" si="267"/>
        <v>-17.814465701683076</v>
      </c>
      <c r="AE587" s="333">
        <f t="shared" si="268"/>
        <v>8.5735138149977104</v>
      </c>
      <c r="AF587" s="334">
        <f t="shared" si="269"/>
        <v>-115.82954049578905</v>
      </c>
      <c r="AH587">
        <f t="shared" si="270"/>
        <v>0</v>
      </c>
      <c r="AI587">
        <f t="shared" si="275"/>
        <v>0</v>
      </c>
    </row>
    <row r="588" spans="1:35" x14ac:dyDescent="0.2">
      <c r="A588" s="335">
        <v>118860</v>
      </c>
      <c r="B588" s="352">
        <f t="shared" si="271"/>
        <v>118.86</v>
      </c>
      <c r="C588" s="325">
        <f t="shared" si="246"/>
        <v>73.731287432340849</v>
      </c>
      <c r="D588" s="326">
        <f t="shared" si="247"/>
        <v>1.5572331476418517</v>
      </c>
      <c r="E588" s="326">
        <f t="shared" si="248"/>
        <v>1.0110932543207496</v>
      </c>
      <c r="F588" s="327">
        <f t="shared" si="249"/>
        <v>0.14826776831039359</v>
      </c>
      <c r="G588" s="326">
        <f t="shared" si="250"/>
        <v>1</v>
      </c>
      <c r="H588" s="327">
        <f t="shared" si="251"/>
        <v>0</v>
      </c>
      <c r="I588" s="325">
        <f t="shared" si="252"/>
        <v>157758.07878689104</v>
      </c>
      <c r="J588" s="328">
        <f t="shared" si="253"/>
        <v>1.5707899879753084</v>
      </c>
      <c r="K588" s="336">
        <f t="shared" si="273"/>
        <v>29.837261110707445</v>
      </c>
      <c r="L588" s="337">
        <f t="shared" si="274"/>
        <v>1.5372749086675441</v>
      </c>
      <c r="M588" s="325">
        <f t="shared" si="254"/>
        <v>1.0405467120400891</v>
      </c>
      <c r="N588" s="337">
        <f t="shared" si="255"/>
        <v>0.28008023760706352</v>
      </c>
      <c r="O588" s="343">
        <f t="shared" si="256"/>
        <v>1.2153396835551131</v>
      </c>
      <c r="P588" s="691">
        <f t="shared" si="257"/>
        <v>0.60444923173122311</v>
      </c>
      <c r="Q588" s="336">
        <f t="shared" si="272"/>
        <v>7.9251645792903949</v>
      </c>
      <c r="R588" s="692">
        <f t="shared" si="258"/>
        <v>0.6549369559616206</v>
      </c>
      <c r="S588" s="329">
        <f t="shared" si="259"/>
        <v>1.2101079098361791</v>
      </c>
      <c r="T588" s="330">
        <f t="shared" si="260"/>
        <v>0.6167141619136528</v>
      </c>
      <c r="U588" s="331">
        <f t="shared" si="261"/>
        <v>-11.690397630816383</v>
      </c>
      <c r="V588" s="332">
        <f t="shared" si="262"/>
        <v>-136.92331016570856</v>
      </c>
      <c r="W588" s="334">
        <f t="shared" si="263"/>
        <v>43.076689834291443</v>
      </c>
      <c r="Y588" s="307">
        <f t="shared" si="264"/>
        <v>118860</v>
      </c>
      <c r="Z588" s="307">
        <f t="shared" si="265"/>
        <v>14127699600</v>
      </c>
      <c r="AB588" s="333">
        <f t="shared" si="266"/>
        <v>22.897339699407098</v>
      </c>
      <c r="AC588" s="334">
        <f t="shared" si="267"/>
        <v>-17.967688154818223</v>
      </c>
      <c r="AE588" s="333">
        <f t="shared" si="268"/>
        <v>8.4433182564397242</v>
      </c>
      <c r="AF588" s="334">
        <f t="shared" si="269"/>
        <v>-116.0628884919628</v>
      </c>
      <c r="AH588">
        <f t="shared" si="270"/>
        <v>0</v>
      </c>
      <c r="AI588">
        <f t="shared" si="275"/>
        <v>0</v>
      </c>
    </row>
    <row r="589" spans="1:35" x14ac:dyDescent="0.2">
      <c r="A589" s="335">
        <v>120230</v>
      </c>
      <c r="B589" s="352">
        <f t="shared" si="271"/>
        <v>120.23</v>
      </c>
      <c r="C589" s="325">
        <f t="shared" ref="C589:C613" si="276">SQRT(1+(A589/pole1)^2)</f>
        <v>74.580970998224046</v>
      </c>
      <c r="D589" s="326">
        <f t="shared" ref="D589:D613" si="277">ATAN(A589/pole1)</f>
        <v>1.5573876790855776</v>
      </c>
      <c r="E589" s="326">
        <f t="shared" ref="E589:E613" si="278">SQRT(1+(A589/Zero1)^2)</f>
        <v>1.0113490101692615</v>
      </c>
      <c r="F589" s="327">
        <f t="shared" ref="F589:F613" si="279">ATAN(A589/Zero1)</f>
        <v>0.14995136618638599</v>
      </c>
      <c r="G589" s="326">
        <f t="shared" ref="G589:G613" si="280">IF(VIN_nom&gt;Vout, 1, SQRT(1+(A589/z_RHP)^2))</f>
        <v>1</v>
      </c>
      <c r="H589" s="327">
        <f t="shared" ref="H589:H613" si="281">IF(VIN_nom&gt;Vout, 0, -ATAN(A589/z_RHP))</f>
        <v>0</v>
      </c>
      <c r="I589" s="325">
        <f t="shared" ref="I589:I613" si="282">SQRT(1+(A589/Pole2)^2)</f>
        <v>159576.42447029508</v>
      </c>
      <c r="J589" s="328">
        <f t="shared" ref="J589:J613" si="283">ATAN(A589/Pole2)</f>
        <v>1.5707900602050584</v>
      </c>
      <c r="K589" s="336">
        <f t="shared" si="273"/>
        <v>30.180786209896024</v>
      </c>
      <c r="L589" s="337">
        <f t="shared" si="274"/>
        <v>1.5376565982017456</v>
      </c>
      <c r="M589" s="325">
        <f t="shared" ref="M589:M613" si="284">SQRT(1+(A589/pole4)^2)</f>
        <v>1.0414680710821431</v>
      </c>
      <c r="N589" s="337">
        <f t="shared" ref="N589:N613" si="285">ATAN(A589/pole4)</f>
        <v>0.2831395869357799</v>
      </c>
      <c r="O589" s="343">
        <f t="shared" ref="O589:O613" si="286">IF(VOUT_setting=1,1,SQRT(1+(A589*zterm1)^2))</f>
        <v>1.2198815723761207</v>
      </c>
      <c r="P589" s="691">
        <f t="shared" ref="P589:P613" si="287">IF(VOUT_setting=1,0,ATAN(((A589*zterm1))))</f>
        <v>0.60981897815512776</v>
      </c>
      <c r="Q589" s="336">
        <f t="shared" si="272"/>
        <v>7.9587655946453628</v>
      </c>
      <c r="R589" s="692">
        <f t="shared" ref="R589:R613" si="288">IF(VOUT_setting=1,0,ATAN(A589*$Q$4/(1+Afbr-$Q$5*(A589)^2)))</f>
        <v>0.66052144678672486</v>
      </c>
      <c r="S589" s="329">
        <f t="shared" ref="S589:S613" si="289">SQRT((1-(Z589/pterm2))^2+(A589/pterm1)^2)</f>
        <v>1.2145498537051149</v>
      </c>
      <c r="T589" s="330">
        <f t="shared" ref="T589:T613" si="290">IF((ATAN((A589/pterm1)/(1-A589^2/pterm2))&gt;0),ATAN((A589/pterm1)/(1-A589^2/pterm2)),PI()+ATAN((A589/pterm1)/(1-A589^2/pterm2)))</f>
        <v>0.62227399078109624</v>
      </c>
      <c r="U589" s="331">
        <f t="shared" ref="U589:U613" si="291">20*LOG10(((E589*K589*G589*O589)/(C589*I589*S589*M589*Q589))*Adc)</f>
        <v>-11.831696819487895</v>
      </c>
      <c r="V589" s="332">
        <f t="shared" ref="V589:V613" si="292">((F589+L589+H589+P589)-(D589+J589+T589+N589+R589))*radconv</f>
        <v>-137.31998253343761</v>
      </c>
      <c r="W589" s="334">
        <f t="shared" ref="W589:W613" si="293">IF(V589&gt;0,V589,V589+180)</f>
        <v>42.68001746656239</v>
      </c>
      <c r="Y589" s="307">
        <f t="shared" ref="Y589:Y613" si="294">IF(U589&lt;0,A589,1000000000)</f>
        <v>120230</v>
      </c>
      <c r="Z589" s="307">
        <f t="shared" ref="Z589:Z613" si="295">A589^2</f>
        <v>14455252900</v>
      </c>
      <c r="AB589" s="333">
        <f t="shared" ref="AB589:AB613" si="296">20*LOG10((K589/(I589*M589))*AEA)</f>
        <v>22.889541581145085</v>
      </c>
      <c r="AC589" s="334">
        <f t="shared" ref="AC589:AC613" si="297">(L589-(J589+N589))*radconv</f>
        <v>-18.121110898650929</v>
      </c>
      <c r="AE589" s="333">
        <f t="shared" ref="AE589:AE613" si="298">20*LOG10((E589*G589/(C589*S589))*Acs*Am)</f>
        <v>8.3141658251555643</v>
      </c>
      <c r="AF589" s="334">
        <f t="shared" ref="AF589:AF613" si="299">(F589+H589-(D589+T589))*radconv</f>
        <v>-116.29383416798223</v>
      </c>
      <c r="AH589">
        <f t="shared" ref="AH589:AH613" si="300">SUM((U590&lt;0)*(U589&gt;0))*A589</f>
        <v>0</v>
      </c>
      <c r="AI589">
        <f t="shared" si="275"/>
        <v>0</v>
      </c>
    </row>
    <row r="590" spans="1:35" x14ac:dyDescent="0.2">
      <c r="A590" s="335">
        <v>126030</v>
      </c>
      <c r="B590" s="352">
        <f t="shared" ref="B590:B613" si="301">A590/1000</f>
        <v>126.03</v>
      </c>
      <c r="C590" s="325">
        <f t="shared" si="276"/>
        <v>78.178190104309394</v>
      </c>
      <c r="D590" s="326">
        <f t="shared" si="277"/>
        <v>1.5580046866943043</v>
      </c>
      <c r="E590" s="326">
        <f t="shared" si="278"/>
        <v>1.0124634877134366</v>
      </c>
      <c r="F590" s="327">
        <f t="shared" si="279"/>
        <v>0.15706941726980814</v>
      </c>
      <c r="G590" s="326">
        <f t="shared" si="280"/>
        <v>1</v>
      </c>
      <c r="H590" s="327">
        <f t="shared" si="281"/>
        <v>0</v>
      </c>
      <c r="I590" s="325">
        <f t="shared" si="282"/>
        <v>167274.53028325527</v>
      </c>
      <c r="J590" s="328">
        <f t="shared" si="283"/>
        <v>1.5707903485984651</v>
      </c>
      <c r="K590" s="336">
        <f t="shared" si="273"/>
        <v>31.635171988536925</v>
      </c>
      <c r="L590" s="337">
        <f t="shared" si="274"/>
        <v>1.5391806740848655</v>
      </c>
      <c r="M590" s="325">
        <f t="shared" si="284"/>
        <v>1.0454762006161402</v>
      </c>
      <c r="N590" s="337">
        <f t="shared" si="285"/>
        <v>0.2960308442589607</v>
      </c>
      <c r="O590" s="343">
        <f t="shared" si="286"/>
        <v>1.2394921455286623</v>
      </c>
      <c r="P590" s="691">
        <f t="shared" si="287"/>
        <v>0.63211097568950991</v>
      </c>
      <c r="Q590" s="336">
        <f t="shared" si="272"/>
        <v>8.1036562646363794</v>
      </c>
      <c r="R590" s="692">
        <f t="shared" si="288"/>
        <v>0.68365002792087737</v>
      </c>
      <c r="S590" s="329">
        <f t="shared" si="289"/>
        <v>1.2337330461355112</v>
      </c>
      <c r="T590" s="330">
        <f t="shared" si="290"/>
        <v>0.64538097486066592</v>
      </c>
      <c r="U590" s="331">
        <f t="shared" si="291"/>
        <v>-12.41937545742088</v>
      </c>
      <c r="V590" s="332">
        <f t="shared" si="292"/>
        <v>-138.97067360150464</v>
      </c>
      <c r="W590" s="334">
        <f t="shared" si="293"/>
        <v>41.029326398495357</v>
      </c>
      <c r="Y590" s="307">
        <f t="shared" si="294"/>
        <v>126030</v>
      </c>
      <c r="Z590" s="307">
        <f t="shared" si="295"/>
        <v>15883560900</v>
      </c>
      <c r="AB590" s="333">
        <f t="shared" si="296"/>
        <v>22.855748999631984</v>
      </c>
      <c r="AC590" s="334">
        <f t="shared" si="297"/>
        <v>-18.772418944595145</v>
      </c>
      <c r="AE590" s="333">
        <f t="shared" si="298"/>
        <v>7.778463550929442</v>
      </c>
      <c r="AF590" s="334">
        <f t="shared" si="299"/>
        <v>-117.24528448057363</v>
      </c>
      <c r="AH590">
        <f t="shared" si="300"/>
        <v>0</v>
      </c>
      <c r="AI590">
        <f t="shared" si="275"/>
        <v>0</v>
      </c>
    </row>
    <row r="591" spans="1:35" x14ac:dyDescent="0.2">
      <c r="A591" s="335">
        <v>131830</v>
      </c>
      <c r="B591" s="352">
        <f t="shared" si="301"/>
        <v>131.83000000000001</v>
      </c>
      <c r="C591" s="325">
        <f t="shared" si="276"/>
        <v>81.775436354271378</v>
      </c>
      <c r="D591" s="326">
        <f t="shared" si="277"/>
        <v>1.5585674110053263</v>
      </c>
      <c r="E591" s="326">
        <f t="shared" si="278"/>
        <v>1.0136291490740494</v>
      </c>
      <c r="F591" s="327">
        <f t="shared" si="279"/>
        <v>0.16417145616730736</v>
      </c>
      <c r="G591" s="326">
        <f t="shared" si="280"/>
        <v>1</v>
      </c>
      <c r="H591" s="327">
        <f t="shared" si="281"/>
        <v>0</v>
      </c>
      <c r="I591" s="325">
        <f t="shared" si="282"/>
        <v>174972.63609622812</v>
      </c>
      <c r="J591" s="328">
        <f t="shared" si="283"/>
        <v>1.5707906116155272</v>
      </c>
      <c r="K591" s="336">
        <f t="shared" si="273"/>
        <v>33.089624789958762</v>
      </c>
      <c r="L591" s="337">
        <f t="shared" si="274"/>
        <v>1.5405707716062147</v>
      </c>
      <c r="M591" s="325">
        <f t="shared" si="284"/>
        <v>1.0496567284679119</v>
      </c>
      <c r="N591" s="337">
        <f t="shared" si="285"/>
        <v>0.3088215278742325</v>
      </c>
      <c r="O591" s="343">
        <f t="shared" si="286"/>
        <v>1.2596993106450489</v>
      </c>
      <c r="P591" s="691">
        <f t="shared" si="287"/>
        <v>0.65369823593238052</v>
      </c>
      <c r="Q591" s="336">
        <f t="shared" ref="Q591:Q613" si="302">IF(VOUT_setting=1,1,SQRT((1+Afbr-$Q$5*(A591)^2)^2+(A591*$Q$4)^2))</f>
        <v>8.2526466985514944</v>
      </c>
      <c r="R591" s="692">
        <f t="shared" si="288"/>
        <v>0.70596305774535084</v>
      </c>
      <c r="S591" s="329">
        <f t="shared" si="289"/>
        <v>1.253506690001686</v>
      </c>
      <c r="T591" s="330">
        <f t="shared" si="290"/>
        <v>0.66779900214152299</v>
      </c>
      <c r="U591" s="331">
        <f t="shared" si="291"/>
        <v>-12.99105428535211</v>
      </c>
      <c r="V591" s="332">
        <f t="shared" si="292"/>
        <v>-140.57526089567665</v>
      </c>
      <c r="W591" s="334">
        <f t="shared" si="293"/>
        <v>39.424739104323351</v>
      </c>
      <c r="Y591" s="307">
        <f t="shared" si="294"/>
        <v>131830</v>
      </c>
      <c r="Z591" s="307">
        <f t="shared" si="295"/>
        <v>17379148900</v>
      </c>
      <c r="AB591" s="333">
        <f t="shared" si="296"/>
        <v>22.820712676014018</v>
      </c>
      <c r="AC591" s="334">
        <f t="shared" si="297"/>
        <v>-19.425639482266458</v>
      </c>
      <c r="AE591" s="333">
        <f t="shared" si="298"/>
        <v>7.2596036323665363</v>
      </c>
      <c r="AF591" s="334">
        <f t="shared" si="299"/>
        <v>-118.15506770310195</v>
      </c>
      <c r="AH591">
        <f t="shared" si="300"/>
        <v>0</v>
      </c>
      <c r="AI591">
        <f t="shared" si="275"/>
        <v>0</v>
      </c>
    </row>
    <row r="592" spans="1:35" x14ac:dyDescent="0.2">
      <c r="A592" s="335">
        <v>144540</v>
      </c>
      <c r="B592" s="352">
        <f t="shared" si="301"/>
        <v>144.54</v>
      </c>
      <c r="C592" s="325">
        <f t="shared" si="276"/>
        <v>89.658446314773286</v>
      </c>
      <c r="D592" s="326">
        <f t="shared" si="277"/>
        <v>1.5596426566671586</v>
      </c>
      <c r="E592" s="326">
        <f t="shared" si="278"/>
        <v>1.0163616612401605</v>
      </c>
      <c r="F592" s="327">
        <f t="shared" si="279"/>
        <v>0.17967551642641647</v>
      </c>
      <c r="G592" s="326">
        <f t="shared" si="280"/>
        <v>1</v>
      </c>
      <c r="H592" s="327">
        <f t="shared" si="281"/>
        <v>0</v>
      </c>
      <c r="I592" s="325">
        <f t="shared" si="282"/>
        <v>191842.10590365902</v>
      </c>
      <c r="J592" s="328">
        <f t="shared" si="283"/>
        <v>1.5707911141748865</v>
      </c>
      <c r="K592" s="336">
        <f t="shared" si="273"/>
        <v>36.277077545657583</v>
      </c>
      <c r="L592" s="337">
        <f t="shared" si="274"/>
        <v>1.5432272182874036</v>
      </c>
      <c r="M592" s="325">
        <f t="shared" si="284"/>
        <v>1.0594105934217573</v>
      </c>
      <c r="N592" s="337">
        <f t="shared" si="285"/>
        <v>0.33648487357720169</v>
      </c>
      <c r="O592" s="343">
        <f t="shared" si="286"/>
        <v>1.3059305350734873</v>
      </c>
      <c r="P592" s="691">
        <f t="shared" si="287"/>
        <v>0.69860906362239361</v>
      </c>
      <c r="Q592" s="336">
        <f t="shared" si="302"/>
        <v>8.5924272195861899</v>
      </c>
      <c r="R592" s="692">
        <f t="shared" si="288"/>
        <v>0.75211882574536548</v>
      </c>
      <c r="S592" s="329">
        <f t="shared" si="289"/>
        <v>1.2987709401709633</v>
      </c>
      <c r="T592" s="330">
        <f t="shared" si="290"/>
        <v>0.71458022318975944</v>
      </c>
      <c r="U592" s="331">
        <f t="shared" si="291"/>
        <v>-14.193551304825123</v>
      </c>
      <c r="V592" s="332">
        <f t="shared" si="292"/>
        <v>-143.93306563894222</v>
      </c>
      <c r="W592" s="334">
        <f t="shared" si="293"/>
        <v>36.066934361057776</v>
      </c>
      <c r="Y592" s="307">
        <f t="shared" si="294"/>
        <v>144540</v>
      </c>
      <c r="Z592" s="307">
        <f t="shared" si="295"/>
        <v>20891811600</v>
      </c>
      <c r="AB592" s="333">
        <f t="shared" si="296"/>
        <v>22.739705379040473</v>
      </c>
      <c r="AC592" s="334">
        <f t="shared" si="297"/>
        <v>-20.858458051091766</v>
      </c>
      <c r="AE592" s="333">
        <f t="shared" si="298"/>
        <v>6.1755023948365819</v>
      </c>
      <c r="AF592" s="334">
        <f t="shared" si="299"/>
        <v>-120.00872405195189</v>
      </c>
      <c r="AH592">
        <f t="shared" si="300"/>
        <v>0</v>
      </c>
      <c r="AI592">
        <f t="shared" si="275"/>
        <v>0</v>
      </c>
    </row>
    <row r="593" spans="1:35" x14ac:dyDescent="0.2">
      <c r="A593" s="335">
        <v>158490</v>
      </c>
      <c r="B593" s="352">
        <f t="shared" si="301"/>
        <v>158.49</v>
      </c>
      <c r="C593" s="325">
        <f t="shared" si="276"/>
        <v>98.310629670486676</v>
      </c>
      <c r="D593" s="326">
        <f t="shared" si="277"/>
        <v>1.5606243113318374</v>
      </c>
      <c r="E593" s="326">
        <f t="shared" si="278"/>
        <v>1.0196403587885059</v>
      </c>
      <c r="F593" s="327">
        <f t="shared" si="279"/>
        <v>0.19659197670148859</v>
      </c>
      <c r="G593" s="326">
        <f t="shared" si="280"/>
        <v>1</v>
      </c>
      <c r="H593" s="327">
        <f t="shared" si="281"/>
        <v>0</v>
      </c>
      <c r="I593" s="325">
        <f t="shared" si="282"/>
        <v>210357.37764356856</v>
      </c>
      <c r="J593" s="328">
        <f t="shared" si="283"/>
        <v>1.5707915729801685</v>
      </c>
      <c r="K593" s="336">
        <f t="shared" si="273"/>
        <v>39.775746446519143</v>
      </c>
      <c r="L593" s="337">
        <f t="shared" si="274"/>
        <v>1.5456527289024165</v>
      </c>
      <c r="M593" s="325">
        <f t="shared" si="284"/>
        <v>1.0710309896065753</v>
      </c>
      <c r="N593" s="337">
        <f t="shared" si="285"/>
        <v>0.36624174851399444</v>
      </c>
      <c r="O593" s="343">
        <f t="shared" si="286"/>
        <v>1.3594840534865722</v>
      </c>
      <c r="P593" s="691">
        <f t="shared" si="287"/>
        <v>0.74428395261377089</v>
      </c>
      <c r="Q593" s="336">
        <f t="shared" si="302"/>
        <v>8.9843149276507734</v>
      </c>
      <c r="R593" s="692">
        <f t="shared" si="288"/>
        <v>0.79869741891392598</v>
      </c>
      <c r="S593" s="329">
        <f t="shared" si="289"/>
        <v>1.3512447100856215</v>
      </c>
      <c r="T593" s="330">
        <f t="shared" si="290"/>
        <v>0.76237598596838363</v>
      </c>
      <c r="U593" s="331">
        <f t="shared" si="291"/>
        <v>-15.443401892668531</v>
      </c>
      <c r="V593" s="332">
        <f t="shared" si="292"/>
        <v>-147.37634056672306</v>
      </c>
      <c r="W593" s="334">
        <f t="shared" si="293"/>
        <v>32.623659433276941</v>
      </c>
      <c r="Y593" s="307">
        <f t="shared" si="294"/>
        <v>158490</v>
      </c>
      <c r="Z593" s="307">
        <f t="shared" si="295"/>
        <v>25119080100</v>
      </c>
      <c r="AB593" s="333">
        <f t="shared" si="296"/>
        <v>22.644395466672414</v>
      </c>
      <c r="AC593" s="334">
        <f t="shared" si="297"/>
        <v>-22.424456164459876</v>
      </c>
      <c r="AE593" s="333">
        <f t="shared" si="298"/>
        <v>5.059262989284969</v>
      </c>
      <c r="AF593" s="334">
        <f t="shared" si="299"/>
        <v>-121.83422243102453</v>
      </c>
      <c r="AH593">
        <f t="shared" si="300"/>
        <v>0</v>
      </c>
      <c r="AI593">
        <f t="shared" si="275"/>
        <v>0</v>
      </c>
    </row>
    <row r="594" spans="1:35" x14ac:dyDescent="0.2">
      <c r="A594" s="335">
        <v>173780</v>
      </c>
      <c r="B594" s="352">
        <f t="shared" si="301"/>
        <v>173.78</v>
      </c>
      <c r="C594" s="325">
        <f t="shared" si="276"/>
        <v>107.79400932602429</v>
      </c>
      <c r="D594" s="326">
        <f t="shared" si="277"/>
        <v>1.5615192403366409</v>
      </c>
      <c r="E594" s="326">
        <f t="shared" si="278"/>
        <v>1.0235668617490215</v>
      </c>
      <c r="F594" s="327">
        <f t="shared" si="279"/>
        <v>0.21500303063774104</v>
      </c>
      <c r="G594" s="326">
        <f t="shared" si="280"/>
        <v>1</v>
      </c>
      <c r="H594" s="327">
        <f t="shared" si="281"/>
        <v>0</v>
      </c>
      <c r="I594" s="325">
        <f t="shared" si="282"/>
        <v>230651.17727825008</v>
      </c>
      <c r="J594" s="328">
        <f t="shared" si="283"/>
        <v>1.5707919912436465</v>
      </c>
      <c r="K594" s="336">
        <f t="shared" si="273"/>
        <v>43.610711802044349</v>
      </c>
      <c r="L594" s="337">
        <f t="shared" si="274"/>
        <v>1.5478641706490657</v>
      </c>
      <c r="M594" s="325">
        <f t="shared" si="284"/>
        <v>1.0848319150291255</v>
      </c>
      <c r="N594" s="337">
        <f t="shared" si="285"/>
        <v>0.39809338843040754</v>
      </c>
      <c r="O594" s="343">
        <f t="shared" si="286"/>
        <v>1.4211781111454627</v>
      </c>
      <c r="P594" s="691">
        <f t="shared" si="287"/>
        <v>0.79028677965398197</v>
      </c>
      <c r="Q594" s="336">
        <f t="shared" si="302"/>
        <v>9.4337844979696257</v>
      </c>
      <c r="R594" s="692">
        <f t="shared" si="288"/>
        <v>0.84525116989214544</v>
      </c>
      <c r="S594" s="329">
        <f t="shared" si="289"/>
        <v>1.411744161713957</v>
      </c>
      <c r="T594" s="330">
        <f t="shared" si="290"/>
        <v>0.81076960288800992</v>
      </c>
      <c r="U594" s="331">
        <f t="shared" si="291"/>
        <v>-16.740542708066513</v>
      </c>
      <c r="V594" s="332">
        <f t="shared" si="292"/>
        <v>-150.87533838386432</v>
      </c>
      <c r="W594" s="334">
        <f t="shared" si="293"/>
        <v>29.124661616135683</v>
      </c>
      <c r="Y594" s="307">
        <f t="shared" si="294"/>
        <v>173780</v>
      </c>
      <c r="Z594" s="307">
        <f t="shared" si="295"/>
        <v>30199488400</v>
      </c>
      <c r="AB594" s="333">
        <f t="shared" si="296"/>
        <v>22.532725323593112</v>
      </c>
      <c r="AC594" s="334">
        <f t="shared" si="297"/>
        <v>-24.122738390191333</v>
      </c>
      <c r="AE594" s="333">
        <f t="shared" si="298"/>
        <v>3.9123241596807934</v>
      </c>
      <c r="AF594" s="334">
        <f t="shared" si="299"/>
        <v>-123.60337240591764</v>
      </c>
      <c r="AH594">
        <f t="shared" si="300"/>
        <v>0</v>
      </c>
      <c r="AI594">
        <f t="shared" si="275"/>
        <v>0</v>
      </c>
    </row>
    <row r="595" spans="1:35" x14ac:dyDescent="0.2">
      <c r="A595" s="335">
        <v>190550</v>
      </c>
      <c r="B595" s="352">
        <f t="shared" si="301"/>
        <v>190.55</v>
      </c>
      <c r="C595" s="325">
        <f t="shared" si="276"/>
        <v>118.19541804556725</v>
      </c>
      <c r="D595" s="326">
        <f t="shared" si="277"/>
        <v>1.5623356609999526</v>
      </c>
      <c r="E595" s="326">
        <f t="shared" si="278"/>
        <v>1.0282691049281227</v>
      </c>
      <c r="F595" s="327">
        <f t="shared" si="279"/>
        <v>0.23502694339444388</v>
      </c>
      <c r="G595" s="326">
        <f t="shared" si="280"/>
        <v>1</v>
      </c>
      <c r="H595" s="327">
        <f t="shared" si="281"/>
        <v>0</v>
      </c>
      <c r="I595" s="325">
        <f t="shared" si="282"/>
        <v>252909.32115491453</v>
      </c>
      <c r="J595" s="328">
        <f t="shared" si="283"/>
        <v>1.5707923728085609</v>
      </c>
      <c r="K595" s="336">
        <f t="shared" si="273"/>
        <v>47.817087746034765</v>
      </c>
      <c r="L595" s="337">
        <f t="shared" si="274"/>
        <v>1.54988177607813</v>
      </c>
      <c r="M595" s="325">
        <f t="shared" si="284"/>
        <v>1.1012001630770856</v>
      </c>
      <c r="N595" s="337">
        <f t="shared" si="285"/>
        <v>0.43207181618092522</v>
      </c>
      <c r="O595" s="343">
        <f t="shared" si="286"/>
        <v>1.491997834655534</v>
      </c>
      <c r="P595" s="691">
        <f t="shared" si="287"/>
        <v>0.83626115467578432</v>
      </c>
      <c r="Q595" s="336">
        <f t="shared" si="302"/>
        <v>9.9474733068297958</v>
      </c>
      <c r="R595" s="692">
        <f t="shared" si="288"/>
        <v>0.89143145682509117</v>
      </c>
      <c r="S595" s="329">
        <f t="shared" si="289"/>
        <v>1.4812519707909271</v>
      </c>
      <c r="T595" s="330">
        <f t="shared" si="290"/>
        <v>0.85942785474464267</v>
      </c>
      <c r="U595" s="331">
        <f t="shared" si="291"/>
        <v>-18.086913931113362</v>
      </c>
      <c r="V595" s="332">
        <f t="shared" si="292"/>
        <v>-154.40578260009192</v>
      </c>
      <c r="W595" s="334">
        <f t="shared" si="293"/>
        <v>25.594217399908075</v>
      </c>
      <c r="Y595" s="307">
        <f t="shared" si="294"/>
        <v>190550</v>
      </c>
      <c r="Z595" s="307">
        <f t="shared" si="295"/>
        <v>36309302500</v>
      </c>
      <c r="AB595" s="333">
        <f t="shared" si="296"/>
        <v>22.402264788319755</v>
      </c>
      <c r="AC595" s="334">
        <f t="shared" si="297"/>
        <v>-25.953980483129811</v>
      </c>
      <c r="AE595" s="333">
        <f t="shared" si="298"/>
        <v>2.7345564386499732</v>
      </c>
      <c r="AF595" s="334">
        <f t="shared" si="299"/>
        <v>-125.29077664573325</v>
      </c>
      <c r="AH595">
        <f t="shared" si="300"/>
        <v>0</v>
      </c>
      <c r="AI595">
        <f t="shared" si="275"/>
        <v>0</v>
      </c>
    </row>
    <row r="596" spans="1:35" x14ac:dyDescent="0.2">
      <c r="A596" s="335">
        <v>208930</v>
      </c>
      <c r="B596" s="352">
        <f t="shared" si="301"/>
        <v>208.93</v>
      </c>
      <c r="C596" s="325">
        <f t="shared" si="276"/>
        <v>129.59548688892943</v>
      </c>
      <c r="D596" s="326">
        <f t="shared" si="277"/>
        <v>1.5630799321281819</v>
      </c>
      <c r="E596" s="326">
        <f t="shared" si="278"/>
        <v>1.0338917121320348</v>
      </c>
      <c r="F596" s="327">
        <f t="shared" si="279"/>
        <v>0.25675434041019762</v>
      </c>
      <c r="G596" s="326">
        <f t="shared" si="280"/>
        <v>1</v>
      </c>
      <c r="H596" s="327">
        <f t="shared" si="281"/>
        <v>0</v>
      </c>
      <c r="I596" s="325">
        <f t="shared" si="282"/>
        <v>277304.35302454379</v>
      </c>
      <c r="J596" s="328">
        <f t="shared" si="283"/>
        <v>1.5707927206488368</v>
      </c>
      <c r="K596" s="336">
        <f t="shared" si="273"/>
        <v>52.427481826358452</v>
      </c>
      <c r="L596" s="337">
        <f t="shared" si="274"/>
        <v>1.5517212041469948</v>
      </c>
      <c r="M596" s="325">
        <f t="shared" si="284"/>
        <v>1.1205543622834011</v>
      </c>
      <c r="N596" s="337">
        <f t="shared" si="285"/>
        <v>0.46812600839064289</v>
      </c>
      <c r="O596" s="343">
        <f t="shared" si="286"/>
        <v>1.57289225895781</v>
      </c>
      <c r="P596" s="691">
        <f t="shared" si="287"/>
        <v>0.88178876485254898</v>
      </c>
      <c r="Q596" s="336">
        <f t="shared" si="302"/>
        <v>10.531712953968359</v>
      </c>
      <c r="R596" s="692">
        <f t="shared" si="288"/>
        <v>0.93684434860110222</v>
      </c>
      <c r="S596" s="329">
        <f t="shared" si="289"/>
        <v>1.5607186390595529</v>
      </c>
      <c r="T596" s="330">
        <f t="shared" si="290"/>
        <v>0.90795148901087908</v>
      </c>
      <c r="U596" s="331">
        <f t="shared" si="291"/>
        <v>-19.482008602899377</v>
      </c>
      <c r="V596" s="332">
        <f t="shared" si="292"/>
        <v>-157.93754613176284</v>
      </c>
      <c r="W596" s="334">
        <f t="shared" si="293"/>
        <v>22.062453868237156</v>
      </c>
      <c r="Y596" s="307">
        <f t="shared" si="294"/>
        <v>208930</v>
      </c>
      <c r="Z596" s="307">
        <f t="shared" si="295"/>
        <v>43651744900</v>
      </c>
      <c r="AB596" s="333">
        <f t="shared" si="296"/>
        <v>22.25061201485628</v>
      </c>
      <c r="AC596" s="334">
        <f t="shared" si="297"/>
        <v>-27.914361997456059</v>
      </c>
      <c r="AE596" s="333">
        <f t="shared" si="298"/>
        <v>1.528223522262961</v>
      </c>
      <c r="AF596" s="334">
        <f t="shared" si="299"/>
        <v>-126.86873154328119</v>
      </c>
      <c r="AH596">
        <f t="shared" si="300"/>
        <v>0</v>
      </c>
      <c r="AI596">
        <f t="shared" si="275"/>
        <v>0</v>
      </c>
    </row>
    <row r="597" spans="1:35" x14ac:dyDescent="0.2">
      <c r="A597" s="335">
        <v>229090</v>
      </c>
      <c r="B597" s="352">
        <f t="shared" si="301"/>
        <v>229.09</v>
      </c>
      <c r="C597" s="325">
        <f t="shared" si="276"/>
        <v>142.09965718063279</v>
      </c>
      <c r="D597" s="326">
        <f t="shared" si="277"/>
        <v>1.5637589540524766</v>
      </c>
      <c r="E597" s="326">
        <f t="shared" si="278"/>
        <v>1.0406135750220429</v>
      </c>
      <c r="F597" s="327">
        <f t="shared" si="279"/>
        <v>0.28030353138870584</v>
      </c>
      <c r="G597" s="326">
        <f t="shared" si="280"/>
        <v>1</v>
      </c>
      <c r="H597" s="327">
        <f t="shared" si="281"/>
        <v>0</v>
      </c>
      <c r="I597" s="325">
        <f t="shared" si="282"/>
        <v>304061.90702303749</v>
      </c>
      <c r="J597" s="328">
        <f t="shared" si="283"/>
        <v>1.5707930379909494</v>
      </c>
      <c r="K597" s="336">
        <f t="shared" si="273"/>
        <v>57.484536420140792</v>
      </c>
      <c r="L597" s="337">
        <f t="shared" si="274"/>
        <v>1.5533994665982209</v>
      </c>
      <c r="M597" s="325">
        <f t="shared" si="284"/>
        <v>1.1433970966575173</v>
      </c>
      <c r="N597" s="337">
        <f t="shared" si="285"/>
        <v>0.50621336957961982</v>
      </c>
      <c r="O597" s="343">
        <f t="shared" si="286"/>
        <v>1.6649832749302218</v>
      </c>
      <c r="P597" s="691">
        <f t="shared" si="287"/>
        <v>0.9265367099954146</v>
      </c>
      <c r="Q597" s="336">
        <f t="shared" si="302"/>
        <v>11.19405666924321</v>
      </c>
      <c r="R597" s="692">
        <f t="shared" si="288"/>
        <v>0.9811966789999329</v>
      </c>
      <c r="S597" s="329">
        <f t="shared" si="289"/>
        <v>1.651268060821901</v>
      </c>
      <c r="T597" s="330">
        <f t="shared" si="290"/>
        <v>0.95603068528829183</v>
      </c>
      <c r="U597" s="331">
        <f t="shared" si="291"/>
        <v>-20.926742958648394</v>
      </c>
      <c r="V597" s="332">
        <f t="shared" si="292"/>
        <v>-161.44535582205643</v>
      </c>
      <c r="W597" s="334">
        <f t="shared" si="293"/>
        <v>18.554644177943572</v>
      </c>
      <c r="Y597" s="307">
        <f t="shared" si="294"/>
        <v>229090</v>
      </c>
      <c r="Z597" s="307">
        <f t="shared" si="295"/>
        <v>52482228100</v>
      </c>
      <c r="AB597" s="333">
        <f t="shared" si="296"/>
        <v>22.075063066066676</v>
      </c>
      <c r="AC597" s="334">
        <f t="shared" si="297"/>
        <v>-30.000467875751706</v>
      </c>
      <c r="AE597" s="333">
        <f t="shared" si="298"/>
        <v>0.29458985908455115</v>
      </c>
      <c r="AF597" s="334">
        <f t="shared" si="299"/>
        <v>-128.31310241045134</v>
      </c>
      <c r="AH597">
        <f t="shared" si="300"/>
        <v>0</v>
      </c>
      <c r="AI597">
        <f t="shared" si="275"/>
        <v>0</v>
      </c>
    </row>
    <row r="598" spans="1:35" x14ac:dyDescent="0.2">
      <c r="A598" s="335">
        <v>251190</v>
      </c>
      <c r="B598" s="352">
        <f t="shared" si="301"/>
        <v>251.19</v>
      </c>
      <c r="C598" s="325">
        <f t="shared" si="276"/>
        <v>155.80716837864233</v>
      </c>
      <c r="D598" s="326">
        <f t="shared" si="277"/>
        <v>1.5643780927941089</v>
      </c>
      <c r="E598" s="326">
        <f t="shared" si="278"/>
        <v>1.0486361935092925</v>
      </c>
      <c r="F598" s="327">
        <f t="shared" si="279"/>
        <v>0.30575628071423661</v>
      </c>
      <c r="G598" s="326">
        <f t="shared" si="280"/>
        <v>1</v>
      </c>
      <c r="H598" s="327">
        <f t="shared" si="281"/>
        <v>0</v>
      </c>
      <c r="I598" s="325">
        <f t="shared" si="282"/>
        <v>333394.34469006641</v>
      </c>
      <c r="J598" s="328">
        <f t="shared" si="283"/>
        <v>1.5707933273438983</v>
      </c>
      <c r="K598" s="336">
        <f t="shared" si="273"/>
        <v>63.028386920955612</v>
      </c>
      <c r="L598" s="337">
        <f t="shared" si="274"/>
        <v>1.5549297941435654</v>
      </c>
      <c r="M598" s="325">
        <f t="shared" si="284"/>
        <v>1.1702640092081955</v>
      </c>
      <c r="N598" s="337">
        <f t="shared" si="285"/>
        <v>0.546193334418692</v>
      </c>
      <c r="O598" s="343">
        <f t="shared" si="286"/>
        <v>1.769344222639085</v>
      </c>
      <c r="P598" s="691">
        <f t="shared" si="287"/>
        <v>0.97014350685090234</v>
      </c>
      <c r="Q598" s="336">
        <f t="shared" si="302"/>
        <v>11.941693142622141</v>
      </c>
      <c r="R598" s="692">
        <f t="shared" si="288"/>
        <v>1.0241791123835988</v>
      </c>
      <c r="S598" s="329">
        <f t="shared" si="289"/>
        <v>1.7539806725403377</v>
      </c>
      <c r="T598" s="330">
        <f t="shared" si="290"/>
        <v>1.0033232657159976</v>
      </c>
      <c r="U598" s="331">
        <f t="shared" si="291"/>
        <v>-22.419543729196366</v>
      </c>
      <c r="V598" s="332">
        <f t="shared" si="292"/>
        <v>-164.89940513788963</v>
      </c>
      <c r="W598" s="334">
        <f t="shared" si="293"/>
        <v>15.10059486211037</v>
      </c>
      <c r="Y598" s="307">
        <f t="shared" si="294"/>
        <v>251190</v>
      </c>
      <c r="Z598" s="307">
        <f t="shared" si="295"/>
        <v>63096416100</v>
      </c>
      <c r="AB598" s="333">
        <f t="shared" si="296"/>
        <v>21.873106699809298</v>
      </c>
      <c r="AC598" s="334">
        <f t="shared" si="297"/>
        <v>-32.203486397711202</v>
      </c>
      <c r="AE598" s="333">
        <f t="shared" si="298"/>
        <v>-0.96273556443726571</v>
      </c>
      <c r="AF598" s="334">
        <f t="shared" si="299"/>
        <v>-129.59990659618347</v>
      </c>
      <c r="AH598">
        <f t="shared" si="300"/>
        <v>0</v>
      </c>
      <c r="AI598">
        <f t="shared" si="275"/>
        <v>0</v>
      </c>
    </row>
    <row r="599" spans="1:35" x14ac:dyDescent="0.2">
      <c r="A599" s="335">
        <v>275420</v>
      </c>
      <c r="B599" s="352">
        <f t="shared" si="301"/>
        <v>275.42</v>
      </c>
      <c r="C599" s="325">
        <f t="shared" si="276"/>
        <v>170.83586783885386</v>
      </c>
      <c r="D599" s="326">
        <f t="shared" si="277"/>
        <v>1.5649427216740548</v>
      </c>
      <c r="E599" s="326">
        <f t="shared" si="278"/>
        <v>1.0582000151756785</v>
      </c>
      <c r="F599" s="327">
        <f t="shared" si="279"/>
        <v>0.33319887615448673</v>
      </c>
      <c r="G599" s="326">
        <f t="shared" si="280"/>
        <v>1</v>
      </c>
      <c r="H599" s="327">
        <f t="shared" si="281"/>
        <v>0</v>
      </c>
      <c r="I599" s="325">
        <f t="shared" si="282"/>
        <v>365553.84535398945</v>
      </c>
      <c r="J599" s="328">
        <f t="shared" si="283"/>
        <v>1.5707935912197886</v>
      </c>
      <c r="K599" s="336">
        <f t="shared" ref="K599:K613" si="303">SQRT(1+(A599/Zero2)^2)</f>
        <v>69.106695338126201</v>
      </c>
      <c r="L599" s="337">
        <f t="shared" ref="L599:L613" si="304">ATAN(A599/Zero2)</f>
        <v>1.5563254438068528</v>
      </c>
      <c r="M599" s="325">
        <f t="shared" si="284"/>
        <v>1.2017670787090815</v>
      </c>
      <c r="N599" s="337">
        <f t="shared" si="285"/>
        <v>0.58789856556327758</v>
      </c>
      <c r="O599" s="343">
        <f t="shared" si="286"/>
        <v>1.8871773283120832</v>
      </c>
      <c r="P599" s="691">
        <f t="shared" si="287"/>
        <v>1.0123232207328621</v>
      </c>
      <c r="Q599" s="336">
        <f t="shared" si="302"/>
        <v>12.782738288129249</v>
      </c>
      <c r="R599" s="692">
        <f t="shared" si="288"/>
        <v>1.0655660089793377</v>
      </c>
      <c r="S599" s="329">
        <f t="shared" si="289"/>
        <v>1.870068746685126</v>
      </c>
      <c r="T599" s="330">
        <f t="shared" si="290"/>
        <v>1.0495658616320289</v>
      </c>
      <c r="U599" s="331">
        <f t="shared" si="291"/>
        <v>-23.95923838172234</v>
      </c>
      <c r="V599" s="332">
        <f t="shared" si="292"/>
        <v>-168.27307560302941</v>
      </c>
      <c r="W599" s="334">
        <f t="shared" si="293"/>
        <v>11.726924396970588</v>
      </c>
      <c r="Y599" s="307">
        <f t="shared" si="294"/>
        <v>275420</v>
      </c>
      <c r="Z599" s="307">
        <f t="shared" si="295"/>
        <v>75856176400</v>
      </c>
      <c r="AB599" s="333">
        <f t="shared" si="296"/>
        <v>21.642193723936639</v>
      </c>
      <c r="AC599" s="334">
        <f t="shared" si="297"/>
        <v>-34.513070412142184</v>
      </c>
      <c r="AE599" s="333">
        <f t="shared" si="298"/>
        <v>-2.2403650025323039</v>
      </c>
      <c r="AF599" s="334">
        <f t="shared" si="299"/>
        <v>-130.70941813136957</v>
      </c>
      <c r="AH599">
        <f t="shared" si="300"/>
        <v>0</v>
      </c>
      <c r="AI599">
        <f t="shared" si="275"/>
        <v>0</v>
      </c>
    </row>
    <row r="600" spans="1:35" x14ac:dyDescent="0.2">
      <c r="A600" s="335">
        <v>302000</v>
      </c>
      <c r="B600" s="352">
        <f t="shared" si="301"/>
        <v>302</v>
      </c>
      <c r="C600" s="325">
        <f t="shared" si="276"/>
        <v>187.32221097263607</v>
      </c>
      <c r="D600" s="326">
        <f t="shared" si="277"/>
        <v>1.5654579061953717</v>
      </c>
      <c r="E600" s="326">
        <f t="shared" si="278"/>
        <v>1.0695903812387109</v>
      </c>
      <c r="F600" s="327">
        <f t="shared" si="279"/>
        <v>0.36271386644447046</v>
      </c>
      <c r="G600" s="326">
        <f t="shared" si="280"/>
        <v>1</v>
      </c>
      <c r="H600" s="327">
        <f t="shared" si="281"/>
        <v>0</v>
      </c>
      <c r="I600" s="325">
        <f t="shared" si="282"/>
        <v>400832.40613185428</v>
      </c>
      <c r="J600" s="328">
        <f t="shared" si="283"/>
        <v>1.5707938319866308</v>
      </c>
      <c r="K600" s="336">
        <f t="shared" si="303"/>
        <v>75.774650686852098</v>
      </c>
      <c r="L600" s="337">
        <f t="shared" si="304"/>
        <v>1.5575989181612135</v>
      </c>
      <c r="M600" s="325">
        <f t="shared" si="284"/>
        <v>1.2385988477307734</v>
      </c>
      <c r="N600" s="337">
        <f t="shared" si="285"/>
        <v>0.63112551899226266</v>
      </c>
      <c r="O600" s="343">
        <f t="shared" si="286"/>
        <v>2.0198239493630856</v>
      </c>
      <c r="P600" s="691">
        <f t="shared" si="287"/>
        <v>1.0528548572168501</v>
      </c>
      <c r="Q600" s="336">
        <f t="shared" si="302"/>
        <v>13.726309751293831</v>
      </c>
      <c r="R600" s="692">
        <f t="shared" si="288"/>
        <v>1.1052004573690526</v>
      </c>
      <c r="S600" s="329">
        <f t="shared" si="289"/>
        <v>2.0008881446690205</v>
      </c>
      <c r="T600" s="330">
        <f t="shared" si="290"/>
        <v>1.0945639269166931</v>
      </c>
      <c r="U600" s="331">
        <f t="shared" si="291"/>
        <v>-25.544695219303598</v>
      </c>
      <c r="V600" s="332">
        <f t="shared" si="292"/>
        <v>-171.5420743471455</v>
      </c>
      <c r="W600" s="334">
        <f t="shared" si="293"/>
        <v>8.4579256528544988</v>
      </c>
      <c r="Y600" s="307">
        <f t="shared" si="294"/>
        <v>302000</v>
      </c>
      <c r="Z600" s="307">
        <f t="shared" si="295"/>
        <v>91204000000</v>
      </c>
      <c r="AB600" s="333">
        <f t="shared" si="296"/>
        <v>21.379833313058867</v>
      </c>
      <c r="AC600" s="334">
        <f t="shared" si="297"/>
        <v>-36.91684149667919</v>
      </c>
      <c r="AE600" s="333">
        <f t="shared" si="298"/>
        <v>-3.5348796125820474</v>
      </c>
      <c r="AF600" s="334">
        <f t="shared" si="299"/>
        <v>-131.62605088223867</v>
      </c>
      <c r="AH600">
        <f t="shared" si="300"/>
        <v>0</v>
      </c>
      <c r="AI600">
        <f t="shared" si="275"/>
        <v>0</v>
      </c>
    </row>
    <row r="601" spans="1:35" x14ac:dyDescent="0.2">
      <c r="A601" s="335">
        <v>331130</v>
      </c>
      <c r="B601" s="352">
        <f t="shared" si="301"/>
        <v>331.13</v>
      </c>
      <c r="C601" s="325">
        <f t="shared" si="276"/>
        <v>205.39024851605529</v>
      </c>
      <c r="D601" s="326">
        <f t="shared" si="277"/>
        <v>1.5659275272384223</v>
      </c>
      <c r="E601" s="326">
        <f t="shared" si="278"/>
        <v>1.0831194408939908</v>
      </c>
      <c r="F601" s="327">
        <f t="shared" si="279"/>
        <v>0.39431690222805177</v>
      </c>
      <c r="G601" s="326">
        <f t="shared" si="280"/>
        <v>1</v>
      </c>
      <c r="H601" s="327">
        <f t="shared" si="281"/>
        <v>0</v>
      </c>
      <c r="I601" s="325">
        <f t="shared" si="282"/>
        <v>439495.47894824977</v>
      </c>
      <c r="J601" s="328">
        <f t="shared" si="283"/>
        <v>1.5707940514586352</v>
      </c>
      <c r="K601" s="336">
        <f t="shared" si="303"/>
        <v>83.082425693058624</v>
      </c>
      <c r="L601" s="337">
        <f t="shared" si="304"/>
        <v>1.5587597963444393</v>
      </c>
      <c r="M601" s="325">
        <f t="shared" si="284"/>
        <v>1.2814589892607409</v>
      </c>
      <c r="N601" s="337">
        <f t="shared" si="285"/>
        <v>0.67555419308580544</v>
      </c>
      <c r="O601" s="343">
        <f t="shared" si="286"/>
        <v>2.1685148916128973</v>
      </c>
      <c r="P601" s="691">
        <f t="shared" si="287"/>
        <v>1.0915110606223981</v>
      </c>
      <c r="Q601" s="336">
        <f t="shared" si="302"/>
        <v>14.780759314634658</v>
      </c>
      <c r="R601" s="692">
        <f t="shared" si="288"/>
        <v>1.1429211045004253</v>
      </c>
      <c r="S601" s="329">
        <f t="shared" si="289"/>
        <v>2.1476939187359632</v>
      </c>
      <c r="T601" s="330">
        <f t="shared" si="290"/>
        <v>1.1381125518511312</v>
      </c>
      <c r="U601" s="331">
        <f t="shared" si="291"/>
        <v>-27.171809609675485</v>
      </c>
      <c r="V601" s="332">
        <f t="shared" si="292"/>
        <v>-174.67888473991539</v>
      </c>
      <c r="W601" s="334">
        <f t="shared" si="293"/>
        <v>5.3211152600846106</v>
      </c>
      <c r="Y601" s="307">
        <f t="shared" si="294"/>
        <v>331130</v>
      </c>
      <c r="Z601" s="307">
        <f t="shared" si="295"/>
        <v>109647076900</v>
      </c>
      <c r="AB601" s="333">
        <f t="shared" si="296"/>
        <v>21.084225280180604</v>
      </c>
      <c r="AC601" s="334">
        <f t="shared" si="297"/>
        <v>-39.395916168826091</v>
      </c>
      <c r="AE601" s="333">
        <f t="shared" si="298"/>
        <v>-4.8405047984070757</v>
      </c>
      <c r="AF601" s="334">
        <f t="shared" si="299"/>
        <v>-132.33739002893017</v>
      </c>
      <c r="AH601">
        <f t="shared" si="300"/>
        <v>0</v>
      </c>
      <c r="AI601">
        <f t="shared" si="275"/>
        <v>0</v>
      </c>
    </row>
    <row r="602" spans="1:35" x14ac:dyDescent="0.2">
      <c r="A602" s="335">
        <v>363080</v>
      </c>
      <c r="B602" s="352">
        <f t="shared" si="301"/>
        <v>363.08</v>
      </c>
      <c r="C602" s="325">
        <f t="shared" si="276"/>
        <v>225.20744939400967</v>
      </c>
      <c r="D602" s="326">
        <f t="shared" si="277"/>
        <v>1.5663559617499629</v>
      </c>
      <c r="E602" s="326">
        <f t="shared" si="278"/>
        <v>1.0991692273089033</v>
      </c>
      <c r="F602" s="327">
        <f t="shared" si="279"/>
        <v>0.42804735489158985</v>
      </c>
      <c r="G602" s="326">
        <f t="shared" si="280"/>
        <v>1</v>
      </c>
      <c r="H602" s="327">
        <f t="shared" si="281"/>
        <v>0</v>
      </c>
      <c r="I602" s="325">
        <f t="shared" si="282"/>
        <v>481901.42390137113</v>
      </c>
      <c r="J602" s="328">
        <f t="shared" si="283"/>
        <v>1.5707942516817088</v>
      </c>
      <c r="K602" s="336">
        <f t="shared" si="303"/>
        <v>91.097754599488226</v>
      </c>
      <c r="L602" s="337">
        <f t="shared" si="304"/>
        <v>1.559818887354063</v>
      </c>
      <c r="M602" s="325">
        <f t="shared" si="284"/>
        <v>1.3311769787646417</v>
      </c>
      <c r="N602" s="337">
        <f t="shared" si="285"/>
        <v>0.72089555229482505</v>
      </c>
      <c r="O602" s="343">
        <f t="shared" si="286"/>
        <v>2.334825480189918</v>
      </c>
      <c r="P602" s="691">
        <f t="shared" si="287"/>
        <v>1.1281884045335886</v>
      </c>
      <c r="Q602" s="336">
        <f t="shared" si="302"/>
        <v>15.956910844644728</v>
      </c>
      <c r="R602" s="692">
        <f t="shared" si="288"/>
        <v>1.1786865247842637</v>
      </c>
      <c r="S602" s="329">
        <f t="shared" si="289"/>
        <v>2.3120919002473763</v>
      </c>
      <c r="T602" s="330">
        <f t="shared" si="290"/>
        <v>1.1801423188405959</v>
      </c>
      <c r="U602" s="331">
        <f t="shared" si="291"/>
        <v>-28.838686884659822</v>
      </c>
      <c r="V602" s="332">
        <f t="shared" si="292"/>
        <v>-177.6638970883067</v>
      </c>
      <c r="W602" s="334">
        <f t="shared" si="293"/>
        <v>2.3361029116933025</v>
      </c>
      <c r="Y602" s="307">
        <f t="shared" si="294"/>
        <v>363080</v>
      </c>
      <c r="Z602" s="307">
        <f t="shared" si="295"/>
        <v>131827086400</v>
      </c>
      <c r="AB602" s="333">
        <f t="shared" si="296"/>
        <v>20.753497692605979</v>
      </c>
      <c r="AC602" s="334">
        <f t="shared" si="297"/>
        <v>-41.933114718754126</v>
      </c>
      <c r="AE602" s="333">
        <f t="shared" si="298"/>
        <v>-6.1534533235350715</v>
      </c>
      <c r="AF602" s="334">
        <f t="shared" si="299"/>
        <v>-132.83745320253865</v>
      </c>
      <c r="AH602">
        <f t="shared" si="300"/>
        <v>0</v>
      </c>
      <c r="AI602">
        <f t="shared" ref="AI602:AI613" si="305">IF(AH602&gt;0,W602,0)</f>
        <v>0</v>
      </c>
    </row>
    <row r="603" spans="1:35" x14ac:dyDescent="0.2">
      <c r="A603" s="335">
        <v>398110</v>
      </c>
      <c r="B603" s="352">
        <f t="shared" si="301"/>
        <v>398.11</v>
      </c>
      <c r="C603" s="325">
        <f t="shared" si="276"/>
        <v>246.9350803567576</v>
      </c>
      <c r="D603" s="326">
        <f t="shared" si="277"/>
        <v>1.566746668350866</v>
      </c>
      <c r="E603" s="326">
        <f t="shared" si="278"/>
        <v>1.1181591381522686</v>
      </c>
      <c r="F603" s="327">
        <f t="shared" si="279"/>
        <v>0.46387140791656895</v>
      </c>
      <c r="G603" s="326">
        <f t="shared" si="280"/>
        <v>1</v>
      </c>
      <c r="H603" s="327">
        <f t="shared" si="281"/>
        <v>0</v>
      </c>
      <c r="I603" s="325">
        <f t="shared" si="282"/>
        <v>528395.32849318429</v>
      </c>
      <c r="J603" s="328">
        <f t="shared" si="283"/>
        <v>1.5707944342724875</v>
      </c>
      <c r="K603" s="336">
        <f t="shared" si="303"/>
        <v>99.885863907096109</v>
      </c>
      <c r="L603" s="337">
        <f t="shared" si="304"/>
        <v>1.5607847328974773</v>
      </c>
      <c r="M603" s="325">
        <f t="shared" si="284"/>
        <v>1.3885928283144917</v>
      </c>
      <c r="N603" s="337">
        <f t="shared" si="285"/>
        <v>0.76677277748234796</v>
      </c>
      <c r="O603" s="343">
        <f t="shared" si="286"/>
        <v>2.5202759138143027</v>
      </c>
      <c r="P603" s="691">
        <f t="shared" si="287"/>
        <v>1.1627879785436381</v>
      </c>
      <c r="Q603" s="336">
        <f t="shared" si="302"/>
        <v>17.265222603924407</v>
      </c>
      <c r="R603" s="692">
        <f t="shared" si="288"/>
        <v>1.2124563857314143</v>
      </c>
      <c r="S603" s="329">
        <f t="shared" si="289"/>
        <v>2.4956479236001745</v>
      </c>
      <c r="T603" s="330">
        <f t="shared" si="290"/>
        <v>1.2205867629588443</v>
      </c>
      <c r="U603" s="331">
        <f t="shared" si="291"/>
        <v>-30.540935454094299</v>
      </c>
      <c r="V603" s="332">
        <f t="shared" si="292"/>
        <v>-180.47671575081176</v>
      </c>
      <c r="W603" s="334">
        <f t="shared" si="293"/>
        <v>-0.47671575081176343</v>
      </c>
      <c r="Y603" s="307">
        <f t="shared" si="294"/>
        <v>398110</v>
      </c>
      <c r="Z603" s="307">
        <f t="shared" si="295"/>
        <v>158491572100</v>
      </c>
      <c r="AB603" s="333">
        <f t="shared" si="296"/>
        <v>20.386627257458088</v>
      </c>
      <c r="AC603" s="334">
        <f t="shared" si="297"/>
        <v>-44.506357689092646</v>
      </c>
      <c r="AE603" s="333">
        <f t="shared" si="298"/>
        <v>-7.4682374800927054</v>
      </c>
      <c r="AF603" s="334">
        <f t="shared" si="299"/>
        <v>-133.12456795147051</v>
      </c>
      <c r="AH603">
        <f t="shared" si="300"/>
        <v>0</v>
      </c>
      <c r="AI603">
        <f t="shared" si="305"/>
        <v>0</v>
      </c>
    </row>
    <row r="604" spans="1:35" x14ac:dyDescent="0.2">
      <c r="A604" s="335">
        <v>436520</v>
      </c>
      <c r="B604" s="352">
        <f t="shared" si="301"/>
        <v>436.52</v>
      </c>
      <c r="C604" s="325">
        <f t="shared" si="276"/>
        <v>270.75921874273371</v>
      </c>
      <c r="D604" s="326">
        <f t="shared" si="277"/>
        <v>1.567103000015144</v>
      </c>
      <c r="E604" s="326">
        <f t="shared" si="278"/>
        <v>1.1405718043923219</v>
      </c>
      <c r="F604" s="327">
        <f t="shared" si="279"/>
        <v>0.50172714049044975</v>
      </c>
      <c r="G604" s="326">
        <f t="shared" si="280"/>
        <v>1</v>
      </c>
      <c r="H604" s="327">
        <f t="shared" si="281"/>
        <v>0</v>
      </c>
      <c r="I604" s="325">
        <f t="shared" si="282"/>
        <v>579375.37061057333</v>
      </c>
      <c r="J604" s="328">
        <f t="shared" si="283"/>
        <v>1.5707946007981581</v>
      </c>
      <c r="K604" s="336">
        <f t="shared" si="303"/>
        <v>109.52201575025374</v>
      </c>
      <c r="L604" s="337">
        <f t="shared" si="304"/>
        <v>1.5616656156016635</v>
      </c>
      <c r="M604" s="325">
        <f t="shared" si="284"/>
        <v>1.4546254926910087</v>
      </c>
      <c r="N604" s="337">
        <f t="shared" si="285"/>
        <v>0.81280765215527495</v>
      </c>
      <c r="O604" s="343">
        <f t="shared" si="286"/>
        <v>2.7265910958834718</v>
      </c>
      <c r="P604" s="691">
        <f t="shared" si="287"/>
        <v>1.1952741902939821</v>
      </c>
      <c r="Q604" s="336">
        <f t="shared" si="302"/>
        <v>18.717628540195829</v>
      </c>
      <c r="R604" s="692">
        <f t="shared" si="288"/>
        <v>1.2442475327595375</v>
      </c>
      <c r="S604" s="329">
        <f t="shared" si="289"/>
        <v>2.7001491844099168</v>
      </c>
      <c r="T604" s="330">
        <f t="shared" si="290"/>
        <v>1.2594497227953887</v>
      </c>
      <c r="U604" s="331">
        <f t="shared" si="291"/>
        <v>-32.274386392737014</v>
      </c>
      <c r="V604" s="332">
        <f t="shared" si="292"/>
        <v>-183.1021603595658</v>
      </c>
      <c r="W604" s="334">
        <f t="shared" si="293"/>
        <v>-3.1021603595658007</v>
      </c>
      <c r="Y604" s="307">
        <f t="shared" si="294"/>
        <v>436520</v>
      </c>
      <c r="Z604" s="307">
        <f t="shared" si="295"/>
        <v>190549710400</v>
      </c>
      <c r="AB604" s="333">
        <f t="shared" si="296"/>
        <v>19.983028493802998</v>
      </c>
      <c r="AC604" s="334">
        <f t="shared" si="297"/>
        <v>-47.09350040124346</v>
      </c>
      <c r="AE604" s="333">
        <f t="shared" si="298"/>
        <v>-8.7799552774555618</v>
      </c>
      <c r="AF604" s="334">
        <f t="shared" si="299"/>
        <v>-133.20269412319095</v>
      </c>
      <c r="AH604">
        <f t="shared" si="300"/>
        <v>0</v>
      </c>
      <c r="AI604">
        <f t="shared" si="305"/>
        <v>0</v>
      </c>
    </row>
    <row r="605" spans="1:35" x14ac:dyDescent="0.2">
      <c r="A605" s="335">
        <v>478630</v>
      </c>
      <c r="B605" s="352">
        <f t="shared" si="301"/>
        <v>478.63</v>
      </c>
      <c r="C605" s="325">
        <f t="shared" si="276"/>
        <v>296.87834734423745</v>
      </c>
      <c r="D605" s="326">
        <f t="shared" si="277"/>
        <v>1.5674279373520288</v>
      </c>
      <c r="E605" s="326">
        <f t="shared" si="278"/>
        <v>1.1669443770391834</v>
      </c>
      <c r="F605" s="327">
        <f t="shared" si="279"/>
        <v>0.54149541957113911</v>
      </c>
      <c r="G605" s="326">
        <f t="shared" si="280"/>
        <v>1</v>
      </c>
      <c r="H605" s="327">
        <f t="shared" si="281"/>
        <v>0</v>
      </c>
      <c r="I605" s="325">
        <f t="shared" si="282"/>
        <v>635266.27333288104</v>
      </c>
      <c r="J605" s="328">
        <f t="shared" si="283"/>
        <v>1.5707947526518293</v>
      </c>
      <c r="K605" s="336">
        <f t="shared" si="303"/>
        <v>120.08649047482271</v>
      </c>
      <c r="L605" s="337">
        <f t="shared" si="304"/>
        <v>1.5624688991732334</v>
      </c>
      <c r="M605" s="325">
        <f t="shared" si="284"/>
        <v>1.5302363263879077</v>
      </c>
      <c r="N605" s="337">
        <f t="shared" si="285"/>
        <v>0.85860525350689931</v>
      </c>
      <c r="O605" s="343">
        <f t="shared" si="286"/>
        <v>2.955601149361748</v>
      </c>
      <c r="P605" s="691">
        <f t="shared" si="287"/>
        <v>1.2256433401581843</v>
      </c>
      <c r="Q605" s="336">
        <f t="shared" si="302"/>
        <v>20.326832702158114</v>
      </c>
      <c r="R605" s="692">
        <f t="shared" si="288"/>
        <v>1.274102728967071</v>
      </c>
      <c r="S605" s="329">
        <f t="shared" si="289"/>
        <v>2.9275121842778691</v>
      </c>
      <c r="T605" s="330">
        <f t="shared" si="290"/>
        <v>1.2967705761574311</v>
      </c>
      <c r="U605" s="331">
        <f t="shared" si="291"/>
        <v>-34.034029009753183</v>
      </c>
      <c r="V605" s="332">
        <f t="shared" si="292"/>
        <v>-185.52909657204808</v>
      </c>
      <c r="W605" s="334">
        <f t="shared" si="293"/>
        <v>-5.5290965720480756</v>
      </c>
      <c r="Y605" s="307">
        <f t="shared" si="294"/>
        <v>478630</v>
      </c>
      <c r="Z605" s="307">
        <f t="shared" si="295"/>
        <v>229086676900</v>
      </c>
      <c r="AB605" s="333">
        <f t="shared" si="296"/>
        <v>19.542821326079235</v>
      </c>
      <c r="AC605" s="334">
        <f t="shared" si="297"/>
        <v>-49.671493615631285</v>
      </c>
      <c r="AE605" s="333">
        <f t="shared" si="298"/>
        <v>-10.083529249570526</v>
      </c>
      <c r="AF605" s="334">
        <f t="shared" si="299"/>
        <v>-133.08108449671147</v>
      </c>
      <c r="AH605">
        <f t="shared" si="300"/>
        <v>0</v>
      </c>
      <c r="AI605">
        <f t="shared" si="305"/>
        <v>0</v>
      </c>
    </row>
    <row r="606" spans="1:35" x14ac:dyDescent="0.2">
      <c r="A606" s="335">
        <v>524810</v>
      </c>
      <c r="B606" s="352">
        <f t="shared" si="301"/>
        <v>524.80999999999995</v>
      </c>
      <c r="C606" s="325">
        <f t="shared" si="276"/>
        <v>325.52196218692274</v>
      </c>
      <c r="D606" s="326">
        <f t="shared" si="277"/>
        <v>1.5677243326162502</v>
      </c>
      <c r="E606" s="326">
        <f t="shared" si="278"/>
        <v>1.1978875457773248</v>
      </c>
      <c r="F606" s="327">
        <f t="shared" si="279"/>
        <v>0.5830216406872536</v>
      </c>
      <c r="G606" s="326">
        <f t="shared" si="280"/>
        <v>1</v>
      </c>
      <c r="H606" s="327">
        <f t="shared" si="281"/>
        <v>0</v>
      </c>
      <c r="I606" s="325">
        <f t="shared" si="282"/>
        <v>696559.12272059789</v>
      </c>
      <c r="J606" s="328">
        <f t="shared" si="283"/>
        <v>1.5707948911665812</v>
      </c>
      <c r="K606" s="336">
        <f t="shared" si="303"/>
        <v>131.67211296434806</v>
      </c>
      <c r="L606" s="337">
        <f t="shared" si="304"/>
        <v>1.5632016312228059</v>
      </c>
      <c r="M606" s="325">
        <f t="shared" si="284"/>
        <v>1.6164783047155442</v>
      </c>
      <c r="N606" s="337">
        <f t="shared" si="285"/>
        <v>0.90380008414790947</v>
      </c>
      <c r="O606" s="343">
        <f t="shared" si="286"/>
        <v>3.2094086836574052</v>
      </c>
      <c r="P606" s="691">
        <f t="shared" si="287"/>
        <v>1.2539368937359228</v>
      </c>
      <c r="Q606" s="336">
        <f t="shared" si="302"/>
        <v>22.107482909363817</v>
      </c>
      <c r="R606" s="692">
        <f t="shared" si="288"/>
        <v>1.3021037997697507</v>
      </c>
      <c r="S606" s="329">
        <f t="shared" si="289"/>
        <v>3.1799571216731652</v>
      </c>
      <c r="T606" s="330">
        <f t="shared" si="290"/>
        <v>1.3326423288748259</v>
      </c>
      <c r="U606" s="331">
        <f t="shared" si="291"/>
        <v>-35.815283499248615</v>
      </c>
      <c r="V606" s="332">
        <f t="shared" si="292"/>
        <v>-187.75284210296337</v>
      </c>
      <c r="W606" s="334">
        <f t="shared" si="293"/>
        <v>-7.7528421029633705</v>
      </c>
      <c r="Y606" s="307">
        <f t="shared" si="294"/>
        <v>524810</v>
      </c>
      <c r="Z606" s="307">
        <f t="shared" si="295"/>
        <v>275425536100</v>
      </c>
      <c r="AB606" s="333">
        <f t="shared" si="296"/>
        <v>19.066543203777609</v>
      </c>
      <c r="AC606" s="334">
        <f t="shared" si="297"/>
        <v>-52.21899215243684</v>
      </c>
      <c r="AE606" s="333">
        <f t="shared" si="298"/>
        <v>-11.374697844623363</v>
      </c>
      <c r="AF606" s="334">
        <f t="shared" si="299"/>
        <v>-132.7740895194315</v>
      </c>
      <c r="AH606">
        <f t="shared" si="300"/>
        <v>0</v>
      </c>
      <c r="AI606">
        <f t="shared" si="305"/>
        <v>0</v>
      </c>
    </row>
    <row r="607" spans="1:35" x14ac:dyDescent="0.2">
      <c r="A607" s="335">
        <v>575440</v>
      </c>
      <c r="B607" s="352">
        <f t="shared" si="301"/>
        <v>575.44000000000005</v>
      </c>
      <c r="C607" s="325">
        <f t="shared" si="276"/>
        <v>356.92576213928243</v>
      </c>
      <c r="D607" s="326">
        <f t="shared" si="277"/>
        <v>1.5679946200694765</v>
      </c>
      <c r="E607" s="326">
        <f t="shared" si="278"/>
        <v>1.23405892100653</v>
      </c>
      <c r="F607" s="327">
        <f t="shared" si="279"/>
        <v>0.6260743033983176</v>
      </c>
      <c r="G607" s="326">
        <f t="shared" si="280"/>
        <v>1</v>
      </c>
      <c r="H607" s="327">
        <f t="shared" si="281"/>
        <v>0</v>
      </c>
      <c r="I607" s="325">
        <f t="shared" si="282"/>
        <v>763758.27743044402</v>
      </c>
      <c r="J607" s="328">
        <f t="shared" si="283"/>
        <v>1.570795017480118</v>
      </c>
      <c r="K607" s="336">
        <f t="shared" si="303"/>
        <v>144.37421749462004</v>
      </c>
      <c r="L607" s="337">
        <f t="shared" si="304"/>
        <v>1.5638698269428803</v>
      </c>
      <c r="M607" s="325">
        <f t="shared" si="284"/>
        <v>1.7144202291734192</v>
      </c>
      <c r="N607" s="337">
        <f t="shared" si="285"/>
        <v>0.94802608964434099</v>
      </c>
      <c r="O607" s="343">
        <f t="shared" si="286"/>
        <v>3.4901746463989309</v>
      </c>
      <c r="P607" s="691">
        <f t="shared" si="287"/>
        <v>1.2802052056390434</v>
      </c>
      <c r="Q607" s="336">
        <f t="shared" si="302"/>
        <v>24.074665529480594</v>
      </c>
      <c r="R607" s="692">
        <f t="shared" si="288"/>
        <v>1.3283364419926968</v>
      </c>
      <c r="S607" s="329">
        <f t="shared" si="289"/>
        <v>3.4598061212860198</v>
      </c>
      <c r="T607" s="330">
        <f t="shared" si="290"/>
        <v>1.3671684858081283</v>
      </c>
      <c r="U607" s="331">
        <f t="shared" si="291"/>
        <v>-37.612415315823853</v>
      </c>
      <c r="V607" s="332">
        <f t="shared" si="292"/>
        <v>-189.77343782065873</v>
      </c>
      <c r="W607" s="334">
        <f t="shared" si="293"/>
        <v>-9.773437820658728</v>
      </c>
      <c r="Y607" s="307">
        <f t="shared" si="294"/>
        <v>575440</v>
      </c>
      <c r="Z607" s="307">
        <f t="shared" si="295"/>
        <v>331131193600</v>
      </c>
      <c r="AB607" s="333">
        <f t="shared" si="296"/>
        <v>18.555553017220486</v>
      </c>
      <c r="AC607" s="334">
        <f t="shared" si="297"/>
        <v>-54.714678057540063</v>
      </c>
      <c r="AE607" s="333">
        <f t="shared" si="298"/>
        <v>-12.648862910547635</v>
      </c>
      <c r="AF607" s="334">
        <f t="shared" si="299"/>
        <v>-132.30104305415651</v>
      </c>
      <c r="AH607">
        <f t="shared" si="300"/>
        <v>0</v>
      </c>
      <c r="AI607">
        <f t="shared" si="305"/>
        <v>0</v>
      </c>
    </row>
    <row r="608" spans="1:35" x14ac:dyDescent="0.2">
      <c r="A608" s="335">
        <v>630960</v>
      </c>
      <c r="B608" s="352">
        <f t="shared" si="301"/>
        <v>630.96</v>
      </c>
      <c r="C608" s="325">
        <f t="shared" si="276"/>
        <v>391.36266191517933</v>
      </c>
      <c r="D608" s="326">
        <f t="shared" si="277"/>
        <v>1.5682411492435619</v>
      </c>
      <c r="E608" s="326">
        <f t="shared" si="278"/>
        <v>1.2761939255222194</v>
      </c>
      <c r="F608" s="327">
        <f t="shared" si="279"/>
        <v>0.67038911487122643</v>
      </c>
      <c r="G608" s="326">
        <f t="shared" si="280"/>
        <v>1</v>
      </c>
      <c r="H608" s="327">
        <f t="shared" si="281"/>
        <v>0</v>
      </c>
      <c r="I608" s="325">
        <f t="shared" si="282"/>
        <v>837447.73169651662</v>
      </c>
      <c r="J608" s="328">
        <f t="shared" si="283"/>
        <v>1.5707951326905218</v>
      </c>
      <c r="K608" s="336">
        <f t="shared" si="303"/>
        <v>158.30319170126199</v>
      </c>
      <c r="L608" s="337">
        <f t="shared" si="304"/>
        <v>1.564479292753423</v>
      </c>
      <c r="M608" s="325">
        <f t="shared" si="284"/>
        <v>1.8252381923185366</v>
      </c>
      <c r="N608" s="337">
        <f t="shared" si="285"/>
        <v>0.99097592709627103</v>
      </c>
      <c r="O608" s="343">
        <f t="shared" si="286"/>
        <v>3.8003963566919818</v>
      </c>
      <c r="P608" s="691">
        <f t="shared" si="287"/>
        <v>1.3045307579546745</v>
      </c>
      <c r="Q608" s="336">
        <f t="shared" si="302"/>
        <v>26.24585701180531</v>
      </c>
      <c r="R608" s="692">
        <f t="shared" si="288"/>
        <v>1.3529140261987889</v>
      </c>
      <c r="S608" s="329">
        <f t="shared" si="289"/>
        <v>3.7697741525550019</v>
      </c>
      <c r="T608" s="330">
        <f t="shared" si="290"/>
        <v>1.4004941267306652</v>
      </c>
      <c r="U608" s="331">
        <f t="shared" si="291"/>
        <v>-39.4205566477236</v>
      </c>
      <c r="V608" s="332">
        <f t="shared" si="292"/>
        <v>-191.59830137382298</v>
      </c>
      <c r="W608" s="334">
        <f t="shared" si="293"/>
        <v>-11.598301373822977</v>
      </c>
      <c r="Y608" s="307">
        <f t="shared" si="294"/>
        <v>630960</v>
      </c>
      <c r="Z608" s="307">
        <f t="shared" si="295"/>
        <v>398110521600</v>
      </c>
      <c r="AB608" s="333">
        <f t="shared" si="296"/>
        <v>18.011472660104996</v>
      </c>
      <c r="AC608" s="334">
        <f t="shared" si="297"/>
        <v>-57.140609259448873</v>
      </c>
      <c r="AE608" s="333">
        <f t="shared" si="298"/>
        <v>-13.902548633994305</v>
      </c>
      <c r="AF608" s="334">
        <f t="shared" si="299"/>
        <v>-131.68553504176936</v>
      </c>
      <c r="AH608">
        <f t="shared" si="300"/>
        <v>0</v>
      </c>
      <c r="AI608">
        <f t="shared" si="305"/>
        <v>0</v>
      </c>
    </row>
    <row r="609" spans="1:35" x14ac:dyDescent="0.2">
      <c r="A609" s="335">
        <v>691830</v>
      </c>
      <c r="B609" s="352">
        <f t="shared" si="301"/>
        <v>691.83</v>
      </c>
      <c r="C609" s="325">
        <f t="shared" si="276"/>
        <v>429.11798164936272</v>
      </c>
      <c r="D609" s="326">
        <f t="shared" si="277"/>
        <v>1.5684659632402025</v>
      </c>
      <c r="E609" s="326">
        <f t="shared" si="278"/>
        <v>1.3250736671346663</v>
      </c>
      <c r="F609" s="327">
        <f t="shared" si="279"/>
        <v>0.71563766593023515</v>
      </c>
      <c r="G609" s="326">
        <f t="shared" si="280"/>
        <v>1</v>
      </c>
      <c r="H609" s="327">
        <f t="shared" si="281"/>
        <v>0</v>
      </c>
      <c r="I609" s="325">
        <f t="shared" si="282"/>
        <v>918238.02494537144</v>
      </c>
      <c r="J609" s="328">
        <f t="shared" si="283"/>
        <v>1.5707952377526517</v>
      </c>
      <c r="K609" s="336">
        <f t="shared" si="303"/>
        <v>173.57444135027234</v>
      </c>
      <c r="L609" s="337">
        <f t="shared" si="304"/>
        <v>1.5650350780520517</v>
      </c>
      <c r="M609" s="325">
        <f t="shared" si="284"/>
        <v>1.9501388168686757</v>
      </c>
      <c r="N609" s="337">
        <f t="shared" si="285"/>
        <v>1.0323718563909148</v>
      </c>
      <c r="O609" s="343">
        <f t="shared" si="286"/>
        <v>4.1426892689194013</v>
      </c>
      <c r="P609" s="691">
        <f t="shared" si="287"/>
        <v>1.3269993088747731</v>
      </c>
      <c r="Q609" s="336">
        <f t="shared" si="302"/>
        <v>28.639397306991871</v>
      </c>
      <c r="R609" s="692">
        <f t="shared" si="288"/>
        <v>1.3759498203193319</v>
      </c>
      <c r="S609" s="329">
        <f t="shared" si="289"/>
        <v>4.1127703309053558</v>
      </c>
      <c r="T609" s="330">
        <f t="shared" si="290"/>
        <v>1.4327700511698043</v>
      </c>
      <c r="U609" s="331">
        <f t="shared" si="291"/>
        <v>-41.234360368044719</v>
      </c>
      <c r="V609" s="332">
        <f t="shared" si="292"/>
        <v>-193.24038006100253</v>
      </c>
      <c r="W609" s="334">
        <f t="shared" si="293"/>
        <v>-13.240380061002526</v>
      </c>
      <c r="Y609" s="307">
        <f t="shared" si="294"/>
        <v>691830</v>
      </c>
      <c r="Z609" s="307">
        <f t="shared" si="295"/>
        <v>478628748900</v>
      </c>
      <c r="AB609" s="333">
        <f t="shared" si="296"/>
        <v>17.436523920699038</v>
      </c>
      <c r="AC609" s="334">
        <f t="shared" si="297"/>
        <v>-59.480583167417549</v>
      </c>
      <c r="AE609" s="333">
        <f t="shared" si="298"/>
        <v>-15.132410622338345</v>
      </c>
      <c r="AF609" s="334">
        <f t="shared" si="299"/>
        <v>-130.95513917960017</v>
      </c>
      <c r="AH609">
        <f t="shared" si="300"/>
        <v>0</v>
      </c>
      <c r="AI609">
        <f t="shared" si="305"/>
        <v>0</v>
      </c>
    </row>
    <row r="610" spans="1:35" x14ac:dyDescent="0.2">
      <c r="A610" s="335">
        <v>758580</v>
      </c>
      <c r="B610" s="352">
        <f t="shared" si="301"/>
        <v>758.58</v>
      </c>
      <c r="C610" s="325">
        <f t="shared" si="276"/>
        <v>470.52045995644585</v>
      </c>
      <c r="D610" s="326">
        <f t="shared" si="277"/>
        <v>1.568671019102825</v>
      </c>
      <c r="E610" s="326">
        <f t="shared" si="278"/>
        <v>1.381558588610466</v>
      </c>
      <c r="F610" s="327">
        <f t="shared" si="279"/>
        <v>0.76147336746394667</v>
      </c>
      <c r="G610" s="326">
        <f t="shared" si="280"/>
        <v>1</v>
      </c>
      <c r="H610" s="327">
        <f t="shared" si="281"/>
        <v>0</v>
      </c>
      <c r="I610" s="325">
        <f t="shared" si="282"/>
        <v>1006832.6047771713</v>
      </c>
      <c r="J610" s="328">
        <f t="shared" si="283"/>
        <v>1.5707953335811338</v>
      </c>
      <c r="K610" s="336">
        <f t="shared" si="303"/>
        <v>190.32093444511889</v>
      </c>
      <c r="L610" s="337">
        <f t="shared" si="304"/>
        <v>1.5655420198831502</v>
      </c>
      <c r="M610" s="325">
        <f t="shared" si="284"/>
        <v>2.0904611919585974</v>
      </c>
      <c r="N610" s="337">
        <f t="shared" si="285"/>
        <v>1.07200629491893</v>
      </c>
      <c r="O610" s="343">
        <f t="shared" si="286"/>
        <v>4.520069195517066</v>
      </c>
      <c r="P610" s="691">
        <f t="shared" si="287"/>
        <v>1.3477150923578112</v>
      </c>
      <c r="Q610" s="336">
        <f t="shared" si="302"/>
        <v>31.276471182955746</v>
      </c>
      <c r="R610" s="692">
        <f t="shared" si="288"/>
        <v>1.3975734625858771</v>
      </c>
      <c r="S610" s="329">
        <f t="shared" si="289"/>
        <v>4.492204801999943</v>
      </c>
      <c r="T610" s="330">
        <f t="shared" si="290"/>
        <v>1.4641754898235779</v>
      </c>
      <c r="U610" s="331">
        <f t="shared" si="291"/>
        <v>-43.049691365825694</v>
      </c>
      <c r="V610" s="332">
        <f t="shared" si="292"/>
        <v>-194.71919812880208</v>
      </c>
      <c r="W610" s="334">
        <f t="shared" si="293"/>
        <v>-14.719198128802077</v>
      </c>
      <c r="Y610" s="307">
        <f t="shared" si="294"/>
        <v>758580</v>
      </c>
      <c r="Z610" s="307">
        <f t="shared" si="295"/>
        <v>575443616400</v>
      </c>
      <c r="AB610" s="333">
        <f t="shared" si="296"/>
        <v>16.832968014553657</v>
      </c>
      <c r="AC610" s="334">
        <f t="shared" si="297"/>
        <v>-61.7224290841922</v>
      </c>
      <c r="AE610" s="333">
        <f t="shared" si="298"/>
        <v>-16.336362735390558</v>
      </c>
      <c r="AF610" s="334">
        <f t="shared" si="299"/>
        <v>-130.14009485387678</v>
      </c>
      <c r="AH610">
        <f t="shared" si="300"/>
        <v>0</v>
      </c>
      <c r="AI610">
        <f t="shared" si="305"/>
        <v>0</v>
      </c>
    </row>
    <row r="611" spans="1:35" x14ac:dyDescent="0.2">
      <c r="A611" s="335">
        <v>831760</v>
      </c>
      <c r="B611" s="352">
        <f t="shared" si="301"/>
        <v>831.76</v>
      </c>
      <c r="C611" s="325">
        <f t="shared" si="276"/>
        <v>515.91124085181491</v>
      </c>
      <c r="D611" s="326">
        <f t="shared" si="277"/>
        <v>1.5688580076675029</v>
      </c>
      <c r="E611" s="326">
        <f t="shared" si="278"/>
        <v>1.4465426956497862</v>
      </c>
      <c r="F611" s="327">
        <f t="shared" si="279"/>
        <v>0.80750486318184189</v>
      </c>
      <c r="G611" s="326">
        <f t="shared" si="280"/>
        <v>1</v>
      </c>
      <c r="H611" s="327">
        <f t="shared" si="281"/>
        <v>0</v>
      </c>
      <c r="I611" s="325">
        <f t="shared" si="282"/>
        <v>1103961.4639845374</v>
      </c>
      <c r="J611" s="328">
        <f t="shared" si="283"/>
        <v>1.5707954209661765</v>
      </c>
      <c r="K611" s="336">
        <f t="shared" si="303"/>
        <v>208.68065707000633</v>
      </c>
      <c r="L611" s="337">
        <f t="shared" si="304"/>
        <v>1.5660042974745543</v>
      </c>
      <c r="M611" s="325">
        <f t="shared" si="284"/>
        <v>2.2475769528593759</v>
      </c>
      <c r="N611" s="337">
        <f t="shared" si="285"/>
        <v>1.1097073911844944</v>
      </c>
      <c r="O611" s="343">
        <f t="shared" si="286"/>
        <v>4.9356731795795925</v>
      </c>
      <c r="P611" s="691">
        <f t="shared" si="287"/>
        <v>1.3667773222053212</v>
      </c>
      <c r="Q611" s="336">
        <f t="shared" si="302"/>
        <v>34.179166869598106</v>
      </c>
      <c r="R611" s="692">
        <f t="shared" si="288"/>
        <v>1.4179079153509166</v>
      </c>
      <c r="S611" s="329">
        <f t="shared" si="289"/>
        <v>4.9117410393866034</v>
      </c>
      <c r="T611" s="330">
        <f t="shared" si="290"/>
        <v>1.4948858529255484</v>
      </c>
      <c r="U611" s="331">
        <f t="shared" si="291"/>
        <v>-44.862217856742035</v>
      </c>
      <c r="V611" s="332">
        <f t="shared" si="292"/>
        <v>-196.05860070430387</v>
      </c>
      <c r="W611" s="334">
        <f t="shared" si="293"/>
        <v>-16.058600704303871</v>
      </c>
      <c r="Y611" s="307">
        <f t="shared" si="294"/>
        <v>831760</v>
      </c>
      <c r="Z611" s="307">
        <f t="shared" si="295"/>
        <v>691824697600</v>
      </c>
      <c r="AB611" s="333">
        <f t="shared" si="296"/>
        <v>16.203498634354883</v>
      </c>
      <c r="AC611" s="334">
        <f t="shared" si="297"/>
        <v>-63.856061237506701</v>
      </c>
      <c r="AE611" s="333">
        <f t="shared" si="298"/>
        <v>-17.512571571249087</v>
      </c>
      <c r="AF611" s="334">
        <f t="shared" si="299"/>
        <v>-129.27297227220649</v>
      </c>
      <c r="AH611">
        <f t="shared" si="300"/>
        <v>0</v>
      </c>
      <c r="AI611">
        <f t="shared" si="305"/>
        <v>0</v>
      </c>
    </row>
    <row r="612" spans="1:35" x14ac:dyDescent="0.2">
      <c r="A612" s="335">
        <v>912010</v>
      </c>
      <c r="B612" s="352">
        <f t="shared" si="301"/>
        <v>912.01</v>
      </c>
      <c r="C612" s="325">
        <f t="shared" si="276"/>
        <v>565.6872920828622</v>
      </c>
      <c r="D612" s="326">
        <f t="shared" si="277"/>
        <v>1.5690285647559994</v>
      </c>
      <c r="E612" s="326">
        <f t="shared" si="278"/>
        <v>1.5210083101306304</v>
      </c>
      <c r="F612" s="327">
        <f t="shared" si="279"/>
        <v>0.85335538040201864</v>
      </c>
      <c r="G612" s="326">
        <f t="shared" si="280"/>
        <v>1</v>
      </c>
      <c r="H612" s="327">
        <f t="shared" si="281"/>
        <v>0</v>
      </c>
      <c r="I612" s="325">
        <f t="shared" si="282"/>
        <v>1210474.0487261573</v>
      </c>
      <c r="J612" s="328">
        <f t="shared" si="283"/>
        <v>1.5707955006722705</v>
      </c>
      <c r="K612" s="336">
        <f t="shared" si="303"/>
        <v>228.81417526007564</v>
      </c>
      <c r="L612" s="337">
        <f t="shared" si="304"/>
        <v>1.5664259542765429</v>
      </c>
      <c r="M612" s="325">
        <f t="shared" si="284"/>
        <v>2.4230419688733495</v>
      </c>
      <c r="N612" s="337">
        <f t="shared" si="285"/>
        <v>1.1453752458993258</v>
      </c>
      <c r="O612" s="343">
        <f t="shared" si="286"/>
        <v>5.3931573150418828</v>
      </c>
      <c r="P612" s="691">
        <f t="shared" si="287"/>
        <v>1.384296924680849</v>
      </c>
      <c r="Q612" s="336">
        <f t="shared" si="302"/>
        <v>37.373271551437291</v>
      </c>
      <c r="R612" s="692">
        <f t="shared" si="288"/>
        <v>1.4370880391754906</v>
      </c>
      <c r="S612" s="329">
        <f t="shared" si="289"/>
        <v>5.3757385298728799</v>
      </c>
      <c r="T612" s="330">
        <f t="shared" si="290"/>
        <v>1.5250997935522577</v>
      </c>
      <c r="U612" s="331">
        <f t="shared" si="291"/>
        <v>-46.669296513244561</v>
      </c>
      <c r="V612" s="332">
        <f t="shared" si="292"/>
        <v>-197.28706687840889</v>
      </c>
      <c r="W612" s="334">
        <f t="shared" si="293"/>
        <v>-17.287066878408893</v>
      </c>
      <c r="Y612" s="307">
        <f t="shared" si="294"/>
        <v>912010</v>
      </c>
      <c r="Z612" s="307">
        <f t="shared" si="295"/>
        <v>831762240100</v>
      </c>
      <c r="AB612" s="333">
        <f t="shared" si="296"/>
        <v>15.550554527608131</v>
      </c>
      <c r="AC612" s="334">
        <f t="shared" si="297"/>
        <v>-65.875524190925788</v>
      </c>
      <c r="AE612" s="333">
        <f t="shared" si="298"/>
        <v>-18.66064711723017</v>
      </c>
      <c r="AF612" s="334">
        <f t="shared" si="299"/>
        <v>-128.38683462769205</v>
      </c>
      <c r="AH612">
        <f t="shared" si="300"/>
        <v>0</v>
      </c>
      <c r="AI612">
        <f t="shared" si="305"/>
        <v>0</v>
      </c>
    </row>
    <row r="613" spans="1:35" x14ac:dyDescent="0.2">
      <c r="A613" s="335">
        <v>1000000</v>
      </c>
      <c r="B613" s="352">
        <f t="shared" si="301"/>
        <v>1000</v>
      </c>
      <c r="C613" s="325">
        <f t="shared" si="276"/>
        <v>620.26418940664837</v>
      </c>
      <c r="D613" s="326">
        <f t="shared" si="277"/>
        <v>1.5691841098552664</v>
      </c>
      <c r="E613" s="326">
        <f t="shared" si="278"/>
        <v>1.6059690845609214</v>
      </c>
      <c r="F613" s="327">
        <f t="shared" si="279"/>
        <v>0.89863709249959889</v>
      </c>
      <c r="G613" s="326">
        <f t="shared" si="280"/>
        <v>1</v>
      </c>
      <c r="H613" s="327">
        <f t="shared" si="281"/>
        <v>0</v>
      </c>
      <c r="I613" s="325">
        <f t="shared" si="282"/>
        <v>1327259.622949406</v>
      </c>
      <c r="J613" s="328">
        <f t="shared" si="283"/>
        <v>1.5707955733628003</v>
      </c>
      <c r="K613" s="336">
        <f t="shared" si="303"/>
        <v>250.88958194549335</v>
      </c>
      <c r="L613" s="337">
        <f t="shared" si="304"/>
        <v>1.5668104990851357</v>
      </c>
      <c r="M613" s="325">
        <f t="shared" si="284"/>
        <v>2.6184728373615025</v>
      </c>
      <c r="N613" s="337">
        <f t="shared" si="285"/>
        <v>1.1789429189731648</v>
      </c>
      <c r="O613" s="343">
        <f t="shared" si="286"/>
        <v>5.8963578914950547</v>
      </c>
      <c r="P613" s="691">
        <f t="shared" si="287"/>
        <v>1.4003763891572458</v>
      </c>
      <c r="Q613" s="336">
        <f t="shared" si="302"/>
        <v>40.885926778398073</v>
      </c>
      <c r="R613" s="692">
        <f t="shared" si="288"/>
        <v>1.4552401909734276</v>
      </c>
      <c r="S613" s="329">
        <f t="shared" si="289"/>
        <v>5.8889662527418443</v>
      </c>
      <c r="T613" s="330">
        <f t="shared" si="290"/>
        <v>1.555008431274209</v>
      </c>
      <c r="U613" s="331">
        <f t="shared" si="291"/>
        <v>-48.468405259593879</v>
      </c>
      <c r="V613" s="332">
        <f t="shared" si="292"/>
        <v>-198.43518027884349</v>
      </c>
      <c r="W613" s="334">
        <f t="shared" si="293"/>
        <v>-18.43518027884349</v>
      </c>
      <c r="Y613" s="307">
        <f t="shared" si="294"/>
        <v>1000000</v>
      </c>
      <c r="Z613" s="307">
        <f t="shared" si="295"/>
        <v>1000000000000</v>
      </c>
      <c r="AB613" s="333">
        <f t="shared" si="296"/>
        <v>14.876797839824924</v>
      </c>
      <c r="AC613" s="334">
        <f t="shared" si="297"/>
        <v>-67.776781558598714</v>
      </c>
      <c r="AE613" s="333">
        <f t="shared" si="298"/>
        <v>-19.780559523211082</v>
      </c>
      <c r="AF613" s="334">
        <f t="shared" si="299"/>
        <v>-127.51493442454345</v>
      </c>
      <c r="AH613">
        <f t="shared" si="300"/>
        <v>0</v>
      </c>
      <c r="AI613">
        <f t="shared" si="305"/>
        <v>0</v>
      </c>
    </row>
    <row r="614" spans="1:35" x14ac:dyDescent="0.2">
      <c r="A614" s="338"/>
      <c r="B614" s="338"/>
      <c r="C614" s="339"/>
      <c r="D614" s="339"/>
      <c r="E614" s="339"/>
      <c r="F614" s="339"/>
      <c r="G614" s="326"/>
      <c r="H614" s="327"/>
      <c r="I614" s="339"/>
      <c r="J614" s="339"/>
      <c r="K614" s="339"/>
      <c r="L614" s="339"/>
      <c r="M614" s="339"/>
      <c r="N614" s="339"/>
      <c r="O614" s="339"/>
      <c r="P614" s="339"/>
      <c r="Q614" s="339"/>
      <c r="R614" s="339"/>
      <c r="S614" s="339"/>
      <c r="T614" s="340"/>
      <c r="U614" s="415"/>
      <c r="V614" s="332"/>
      <c r="W614" s="341"/>
      <c r="AE614" s="333"/>
      <c r="AF614" s="334"/>
    </row>
    <row r="615" spans="1:35" x14ac:dyDescent="0.2">
      <c r="A615" s="338"/>
      <c r="B615" s="338"/>
      <c r="C615" s="339"/>
      <c r="D615" s="339"/>
      <c r="E615" s="339"/>
      <c r="F615" s="339"/>
      <c r="G615" s="326"/>
      <c r="H615" s="327"/>
      <c r="I615" s="339"/>
      <c r="J615" s="339"/>
      <c r="K615" s="339"/>
      <c r="L615" s="339"/>
      <c r="M615" s="339"/>
      <c r="N615" s="339"/>
      <c r="O615" s="339"/>
      <c r="P615" s="339"/>
      <c r="Q615" s="339"/>
      <c r="R615" s="339"/>
      <c r="S615" s="339"/>
      <c r="T615" s="340"/>
      <c r="U615" s="341"/>
      <c r="V615" s="332"/>
      <c r="W615" s="341"/>
      <c r="AE615" s="333"/>
      <c r="AF615" s="334"/>
    </row>
    <row r="616" spans="1:35" x14ac:dyDescent="0.2">
      <c r="A616" s="307" t="s">
        <v>349</v>
      </c>
      <c r="G616" s="326"/>
      <c r="H616" s="327"/>
      <c r="U616" s="331"/>
      <c r="V616" s="332"/>
      <c r="W616" s="341"/>
      <c r="AE616" s="333"/>
      <c r="AF616" s="334"/>
    </row>
    <row r="617" spans="1:35" x14ac:dyDescent="0.2">
      <c r="A617" s="342">
        <f>U4*1000</f>
        <v>38683.5</v>
      </c>
      <c r="B617" s="342"/>
      <c r="C617" s="343">
        <f t="shared" ref="C617:C626" si="306">SQRT(1+(A617/pole1)^2)</f>
        <v>24.014788125516773</v>
      </c>
      <c r="D617" s="336">
        <f t="shared" ref="D617:D626" si="307">ATAN(A617/pole1)</f>
        <v>1.5291432746794713</v>
      </c>
      <c r="E617" s="336">
        <f t="shared" ref="E617:E626" si="308">SQRT(1+(A617/Zero1)^2)</f>
        <v>1.0011808233079125</v>
      </c>
      <c r="F617" s="337">
        <f t="shared" ref="F617:F626" si="309">ATAN(A617/Zero1)</f>
        <v>4.8572883885258683E-2</v>
      </c>
      <c r="G617" s="326">
        <f>IF(VIN_nom&gt;Vout, 1, SQRT(1+(A617/z_RHP)^2))</f>
        <v>1</v>
      </c>
      <c r="H617" s="327">
        <f>IF(VIN_nom&gt;Vout, 0, -ATAN(A617/z_RHP))</f>
        <v>0</v>
      </c>
      <c r="I617" s="343">
        <f t="shared" ref="I617:I626" si="310">SQRT(1+(A617/Pole2)^2)</f>
        <v>51343.047634087197</v>
      </c>
      <c r="J617" s="344">
        <f t="shared" ref="J617:J626" si="311">ATAN(A617/Pole2)</f>
        <v>1.5707768499612036</v>
      </c>
      <c r="K617" s="336">
        <f t="shared" ref="K617:K626" si="312">SQRT(1+(A617/Zero2)^2)</f>
        <v>9.7565927514971946</v>
      </c>
      <c r="L617" s="337">
        <f t="shared" ref="L617:L626" si="313">ATAN(A617/Zero2)</f>
        <v>1.4681212209987251</v>
      </c>
      <c r="M617" s="343">
        <f t="shared" ref="M617:M626" si="314">SQRT(1+(A617/pole4)^2)</f>
        <v>1.0043722388148553</v>
      </c>
      <c r="N617" s="344">
        <f>ATAN(A617/pole4)</f>
        <v>9.3342033745700492E-2</v>
      </c>
      <c r="O617" s="343">
        <f>IF(VOUT_setting=1,1,SQRT(1+(A617*zterm1)^2))</f>
        <v>1.0249533833466546</v>
      </c>
      <c r="P617" s="691">
        <f>IF(VOUT_setting=1,0,ATAN(((A617*zterm1))))</f>
        <v>0.22111221043900653</v>
      </c>
      <c r="Q617" s="336">
        <f>IF(VOUT_setting=1,1,SQRT((1+Afbr-$Q$5*(A617)^2)^2+(A617*$Q$4)^2))</f>
        <v>6.4982458467501827</v>
      </c>
      <c r="R617" s="692">
        <f>IF(VOUT_setting=1,0,ATAN(A617*$Q$4/(1+Afbr-$Q$5*(A617)^2)))</f>
        <v>0.24418666579719775</v>
      </c>
      <c r="S617" s="343">
        <f>SQRT((1-(A617^2/(pole3^2)))^2+(A617/(Q*pole3))^2)</f>
        <v>1.0242899104369489</v>
      </c>
      <c r="T617" s="407">
        <f>ATAN((A617/(Q*pole3))/(1-A617^2/pole3^2))</f>
        <v>0.22425075882893683</v>
      </c>
      <c r="U617" s="331">
        <f>20*LOG10(((E617*K617*G617*O617)/(C617*I617*S617*M617*Q617))*Adc)</f>
        <v>8.2069140353326544E-3</v>
      </c>
      <c r="V617" s="332">
        <f>((F617+L617+H617+P617)-(D617+J617+T617+N617+R617))*radconv</f>
        <v>-110.23096459819941</v>
      </c>
      <c r="W617" s="334">
        <f t="shared" ref="W617:W626" si="315">IF(V617&gt;0,V617,V617+180)</f>
        <v>69.769035401800593</v>
      </c>
      <c r="X617" s="307" t="s">
        <v>350</v>
      </c>
      <c r="AB617" s="333">
        <f>20*LOG10((K617/(I617*M617))*AEA)</f>
        <v>23.245661066991655</v>
      </c>
      <c r="AC617" s="334">
        <f>(L617-(J617+N617))*radconv</f>
        <v>-11.229838880439262</v>
      </c>
      <c r="AE617" s="333">
        <f>20*LOG10((E617*G617/(C617*S617))*Acs*Am)</f>
        <v>19.549229703690202</v>
      </c>
      <c r="AF617" s="334">
        <f>(F617+H617-(D617+T617))*radconv</f>
        <v>-97.6790568096621</v>
      </c>
    </row>
    <row r="618" spans="1:35" x14ac:dyDescent="0.2">
      <c r="A618" s="342">
        <f>A617</f>
        <v>38683.5</v>
      </c>
      <c r="B618" s="342"/>
      <c r="C618" s="343"/>
      <c r="D618" s="336"/>
      <c r="E618" s="336"/>
      <c r="F618" s="337"/>
      <c r="G618" s="326"/>
      <c r="H618" s="327"/>
      <c r="I618" s="343"/>
      <c r="J618" s="344"/>
      <c r="K618" s="336"/>
      <c r="L618" s="337"/>
      <c r="M618" s="325"/>
      <c r="N618" s="328"/>
      <c r="O618" s="683"/>
      <c r="P618" s="683"/>
      <c r="Q618" s="683"/>
      <c r="R618" s="683"/>
      <c r="S618" s="343"/>
      <c r="T618" s="330"/>
      <c r="U618" s="331"/>
      <c r="V618" s="332">
        <v>-135</v>
      </c>
      <c r="W618" s="334"/>
      <c r="AB618" s="333"/>
      <c r="AC618" s="334"/>
      <c r="AE618" s="333"/>
      <c r="AF618" s="334"/>
    </row>
    <row r="619" spans="1:35" x14ac:dyDescent="0.2">
      <c r="A619" s="307">
        <f>A618</f>
        <v>38683.5</v>
      </c>
      <c r="B619" s="342"/>
      <c r="C619" s="343"/>
      <c r="D619" s="336"/>
      <c r="E619" s="336"/>
      <c r="F619" s="337"/>
      <c r="G619" s="326"/>
      <c r="H619" s="327"/>
      <c r="I619" s="343"/>
      <c r="J619" s="344"/>
      <c r="K619" s="336"/>
      <c r="L619" s="337"/>
      <c r="M619" s="325"/>
      <c r="N619" s="328"/>
      <c r="O619" s="683"/>
      <c r="P619" s="683"/>
      <c r="Q619" s="683"/>
      <c r="R619" s="683"/>
      <c r="S619" s="343"/>
      <c r="T619" s="330"/>
      <c r="U619" s="331"/>
      <c r="V619" s="332"/>
      <c r="W619" s="334"/>
      <c r="AB619" s="333"/>
      <c r="AC619" s="334"/>
      <c r="AE619" s="333"/>
      <c r="AF619" s="334"/>
    </row>
    <row r="620" spans="1:35" x14ac:dyDescent="0.2">
      <c r="A620" s="342">
        <v>1000000</v>
      </c>
      <c r="B620" s="342"/>
      <c r="C620" s="343"/>
      <c r="D620" s="336"/>
      <c r="E620" s="336"/>
      <c r="F620" s="337"/>
      <c r="G620" s="326"/>
      <c r="H620" s="327"/>
      <c r="I620" s="343"/>
      <c r="J620" s="344"/>
      <c r="K620" s="336"/>
      <c r="L620" s="337"/>
      <c r="M620" s="325"/>
      <c r="N620" s="328"/>
      <c r="O620" s="683"/>
      <c r="P620" s="683"/>
      <c r="Q620" s="683"/>
      <c r="R620" s="683"/>
      <c r="S620" s="343"/>
      <c r="T620" s="330"/>
      <c r="U620" s="331"/>
      <c r="V620" s="332">
        <f>V617</f>
        <v>-110.23096459819941</v>
      </c>
      <c r="W620" s="334"/>
      <c r="AB620" s="333"/>
      <c r="AC620" s="334"/>
      <c r="AE620" s="333"/>
      <c r="AF620" s="334"/>
    </row>
    <row r="621" spans="1:35" x14ac:dyDescent="0.2">
      <c r="A621" s="342"/>
      <c r="B621" s="342"/>
      <c r="C621" s="343"/>
      <c r="D621" s="336"/>
      <c r="E621" s="336"/>
      <c r="F621" s="337"/>
      <c r="G621" s="326"/>
      <c r="H621" s="327"/>
      <c r="I621" s="343"/>
      <c r="J621" s="344"/>
      <c r="K621" s="336"/>
      <c r="L621" s="337"/>
      <c r="M621" s="325"/>
      <c r="N621" s="328"/>
      <c r="O621" s="683"/>
      <c r="P621" s="683"/>
      <c r="Q621" s="683"/>
      <c r="R621" s="683"/>
      <c r="S621" s="343"/>
      <c r="T621" s="330"/>
      <c r="U621" s="331"/>
      <c r="V621" s="332"/>
      <c r="W621" s="334"/>
      <c r="AB621" s="333"/>
      <c r="AC621" s="334"/>
      <c r="AE621" s="333"/>
      <c r="AF621" s="334"/>
    </row>
    <row r="622" spans="1:35" x14ac:dyDescent="0.2">
      <c r="A622" s="416">
        <f>pole1</f>
        <v>1612.2183364797347</v>
      </c>
      <c r="B622" s="342"/>
      <c r="C622" s="343">
        <f t="shared" si="306"/>
        <v>1.4142135623730951</v>
      </c>
      <c r="D622" s="336">
        <f t="shared" si="307"/>
        <v>0.78539816339744828</v>
      </c>
      <c r="E622" s="336">
        <f t="shared" si="308"/>
        <v>1.0000020522818214</v>
      </c>
      <c r="F622" s="337">
        <f t="shared" si="309"/>
        <v>2.0259705385238364E-3</v>
      </c>
      <c r="G622" s="326">
        <f t="shared" ref="G622:G628" si="316">IF(VIN_nom&gt;Vout, 1, SQRT(1+(A622/z_RHP)^2))</f>
        <v>1</v>
      </c>
      <c r="H622" s="327">
        <f t="shared" ref="H622:H628" si="317">IF(VIN_nom&gt;Vout, 0, -ATAN(A622/z_RHP))</f>
        <v>0</v>
      </c>
      <c r="I622" s="343">
        <f t="shared" si="310"/>
        <v>2139.8325350507616</v>
      </c>
      <c r="J622" s="344">
        <f t="shared" si="311"/>
        <v>1.5703290004878054</v>
      </c>
      <c r="K622" s="336">
        <f t="shared" si="312"/>
        <v>1.0787069006422598</v>
      </c>
      <c r="L622" s="337">
        <f t="shared" si="313"/>
        <v>0.38436725800633464</v>
      </c>
      <c r="M622" s="325">
        <f t="shared" si="314"/>
        <v>1.0000076110889253</v>
      </c>
      <c r="N622" s="328">
        <f t="shared" ref="N622:N628" si="318">ATAN(A622/pole4)</f>
        <v>3.9015485775971996E-3</v>
      </c>
      <c r="O622" s="343">
        <f>IF(VOUT_setting=1,1,SQRT(1+(A622*zterm1)^2))</f>
        <v>1.0000438834874144</v>
      </c>
      <c r="P622" s="691">
        <f>IF(VOUT_setting=1,0,ATAN(((A622*zterm1))))</f>
        <v>9.3682317087149577E-3</v>
      </c>
      <c r="Q622" s="336">
        <f>IF(VOUT_setting=1,1,SQRT((1+Afbr-$Q$5*(A622)^2)^2+(A622*$Q$4)^2))</f>
        <v>6.3081913125039124</v>
      </c>
      <c r="R622" s="692">
        <f>IF(VOUT_setting=1,0,ATAN(A622*$Q$4/(1+Afbr-$Q$5*(A622)^2)))</f>
        <v>1.0379933096338702E-2</v>
      </c>
      <c r="S622" s="343">
        <f t="shared" ref="S622:S628" si="319">SQRT((1-(A622^2/(pole3^2)))^2+(A622/(Q*pole3))^2)</f>
        <v>1.000042701123554</v>
      </c>
      <c r="T622" s="330">
        <f t="shared" ref="T622:T628" si="320">ATAN((A622/(Q*pole3))/(1-A622^2/pole3^2))</f>
        <v>9.4928533603323324E-3</v>
      </c>
      <c r="U622" s="331">
        <f t="shared" ref="U622:U628" si="321">20*LOG10(((E622*K622*G622*O622)/(C622*I622*S622*M622*Q622))*Adc)</f>
        <v>33.361431691897664</v>
      </c>
      <c r="V622" s="332">
        <f t="shared" ref="V622:V628" si="322">((F622+L622+H622+P622)-(D622+J622+T622+N622+R622))*radconv</f>
        <v>-113.65993199655298</v>
      </c>
      <c r="W622" s="334">
        <f t="shared" si="315"/>
        <v>66.340068003447016</v>
      </c>
      <c r="X622" s="307" t="s">
        <v>324</v>
      </c>
      <c r="AB622" s="333">
        <f>20*LOG10((K622/(I622*M622))*AEA)</f>
        <v>31.757631702371697</v>
      </c>
      <c r="AC622" s="334">
        <f>(L622-(J622+N622))*radconv</f>
        <v>-68.174144853131168</v>
      </c>
      <c r="AE622" s="333">
        <f t="shared" ref="AE622:AE628" si="323">20*LOG10((E622*G622/(C622*S622))*Acs*Am)</f>
        <v>44.346359316724403</v>
      </c>
      <c r="AF622" s="334">
        <f t="shared" ref="AF622:AF628" si="324">(F622+H622-(D622+T622))*radconv</f>
        <v>-45.427820923717213</v>
      </c>
    </row>
    <row r="623" spans="1:35" x14ac:dyDescent="0.2">
      <c r="A623" s="416">
        <f>Zero1</f>
        <v>795774.71636878187</v>
      </c>
      <c r="B623" s="342"/>
      <c r="C623" s="343">
        <f t="shared" si="306"/>
        <v>493.59093090352582</v>
      </c>
      <c r="D623" s="336">
        <f t="shared" si="307"/>
        <v>1.5687703562563728</v>
      </c>
      <c r="E623" s="336">
        <f t="shared" si="308"/>
        <v>1.4142135623730951</v>
      </c>
      <c r="F623" s="337">
        <f t="shared" si="309"/>
        <v>0.78539816339744828</v>
      </c>
      <c r="G623" s="326">
        <f t="shared" si="316"/>
        <v>1</v>
      </c>
      <c r="H623" s="327">
        <f t="shared" si="317"/>
        <v>0</v>
      </c>
      <c r="I623" s="343">
        <f t="shared" si="310"/>
        <v>1056199.6500004735</v>
      </c>
      <c r="J623" s="344">
        <f t="shared" si="311"/>
        <v>1.5707953800042023</v>
      </c>
      <c r="K623" s="336">
        <f t="shared" si="312"/>
        <v>199.65250436696257</v>
      </c>
      <c r="L623" s="337">
        <f t="shared" si="313"/>
        <v>1.5657876033411069</v>
      </c>
      <c r="M623" s="325">
        <f t="shared" si="314"/>
        <v>2.1699328636490285</v>
      </c>
      <c r="N623" s="328">
        <f t="shared" si="318"/>
        <v>1.09185063745648</v>
      </c>
      <c r="O623" s="343">
        <f t="shared" ref="O623:O628" si="325">IF(VOUT_setting=1,1,SQRT(1+(A623*zterm1)^2))</f>
        <v>4.7310913793753757</v>
      </c>
      <c r="P623" s="691">
        <f t="shared" ref="P623:P628" si="326">IF(VOUT_setting=1,0,ATAN(((A623*zterm1))))</f>
        <v>1.3578222420710051</v>
      </c>
      <c r="Q623" s="336">
        <f t="shared" ref="Q623:Q628" si="327">IF(VOUT_setting=1,1,SQRT((1+Afbr-$Q$5*(A623)^2)^2+(A623*$Q$4)^2))</f>
        <v>32.750463703508252</v>
      </c>
      <c r="R623" s="692">
        <f t="shared" ref="R623:R628" si="328">IF(VOUT_setting=1,0,ATAN(A623*$Q$4/(1+Afbr-$Q$5*(A623)^2)))</f>
        <v>1.4082948881779489</v>
      </c>
      <c r="S623" s="343">
        <f t="shared" si="319"/>
        <v>4.7049967403304986</v>
      </c>
      <c r="T623" s="330">
        <f t="shared" si="320"/>
        <v>1.4802118860115361</v>
      </c>
      <c r="U623" s="331">
        <f t="shared" si="321"/>
        <v>-43.992310066601135</v>
      </c>
      <c r="V623" s="332">
        <f t="shared" si="322"/>
        <v>-195.43104197084759</v>
      </c>
      <c r="W623" s="334">
        <f t="shared" si="315"/>
        <v>-15.431041970847588</v>
      </c>
      <c r="X623" s="307" t="s">
        <v>319</v>
      </c>
      <c r="AB623" s="333">
        <f>20*LOG10((K623/(I623*M623))*AEA)</f>
        <v>16.508873314553032</v>
      </c>
      <c r="AC623" s="334">
        <f>(L623-(J623+N623))*radconv</f>
        <v>-62.845357924275625</v>
      </c>
      <c r="AE623" s="333">
        <f t="shared" si="323"/>
        <v>-16.951217674093353</v>
      </c>
      <c r="AF623" s="334">
        <f t="shared" si="324"/>
        <v>-129.69381444048224</v>
      </c>
    </row>
    <row r="624" spans="1:35" x14ac:dyDescent="0.2">
      <c r="A624" s="416">
        <f>Pole2</f>
        <v>0.75343209626019259</v>
      </c>
      <c r="B624" s="342"/>
      <c r="C624" s="343">
        <f t="shared" si="306"/>
        <v>1.0000001091969486</v>
      </c>
      <c r="D624" s="336">
        <f t="shared" si="307"/>
        <v>4.6732630709125006E-4</v>
      </c>
      <c r="E624" s="336">
        <f t="shared" si="308"/>
        <v>1.0000000000004481</v>
      </c>
      <c r="F624" s="337">
        <f t="shared" si="309"/>
        <v>9.4679069435376257E-7</v>
      </c>
      <c r="G624" s="326">
        <f t="shared" si="316"/>
        <v>1</v>
      </c>
      <c r="H624" s="327">
        <f t="shared" si="317"/>
        <v>0</v>
      </c>
      <c r="I624" s="343">
        <f t="shared" si="310"/>
        <v>1.4142135623730951</v>
      </c>
      <c r="J624" s="344">
        <f t="shared" si="311"/>
        <v>0.78539816339744828</v>
      </c>
      <c r="K624" s="336">
        <f t="shared" si="312"/>
        <v>1.0000000178655581</v>
      </c>
      <c r="L624" s="337">
        <f t="shared" si="313"/>
        <v>1.8902675987640614E-4</v>
      </c>
      <c r="M624" s="325">
        <f t="shared" si="314"/>
        <v>1.0000000000016622</v>
      </c>
      <c r="N624" s="328">
        <f t="shared" si="318"/>
        <v>1.823305672947645E-6</v>
      </c>
      <c r="O624" s="343">
        <f t="shared" si="325"/>
        <v>1.0000000000095841</v>
      </c>
      <c r="P624" s="691">
        <f t="shared" si="326"/>
        <v>4.3781495288040026E-6</v>
      </c>
      <c r="Q624" s="336">
        <f t="shared" si="327"/>
        <v>6.3078556264002765</v>
      </c>
      <c r="R624" s="692">
        <f t="shared" si="328"/>
        <v>4.8509871904397974E-6</v>
      </c>
      <c r="S624" s="343">
        <f t="shared" si="319"/>
        <v>1.0000000000093259</v>
      </c>
      <c r="T624" s="330">
        <f t="shared" si="320"/>
        <v>4.4363832299352739E-6</v>
      </c>
      <c r="U624" s="331">
        <f t="shared" si="321"/>
        <v>99.311457727540045</v>
      </c>
      <c r="V624" s="332">
        <f t="shared" si="322"/>
        <v>-45.016276939181139</v>
      </c>
      <c r="W624" s="334">
        <f t="shared" si="315"/>
        <v>134.98372306081887</v>
      </c>
      <c r="X624" s="307" t="s">
        <v>327</v>
      </c>
      <c r="AA624" s="307">
        <f>Pole2</f>
        <v>0.75343209626019259</v>
      </c>
      <c r="AB624" s="333">
        <f>20*LOG10((K624/(I624*M624))*AEA)</f>
        <v>94.696924599154244</v>
      </c>
      <c r="AC624" s="334">
        <f>(L624-(J624+N624))*radconv</f>
        <v>-44.989274083571608</v>
      </c>
      <c r="AE624" s="333">
        <f t="shared" si="323"/>
        <v>47.357011388267374</v>
      </c>
      <c r="AF624" s="334">
        <f t="shared" si="324"/>
        <v>-2.6975764007096739E-2</v>
      </c>
    </row>
    <row r="625" spans="1:32" x14ac:dyDescent="0.2">
      <c r="A625" s="416">
        <f>Zero2</f>
        <v>3985.8488172741386</v>
      </c>
      <c r="B625" s="342"/>
      <c r="C625" s="343">
        <f t="shared" si="306"/>
        <v>2.6668612599323627</v>
      </c>
      <c r="D625" s="336">
        <f t="shared" si="307"/>
        <v>1.1864290687885621</v>
      </c>
      <c r="E625" s="336">
        <f t="shared" si="308"/>
        <v>1.0000125437864391</v>
      </c>
      <c r="F625" s="337">
        <f t="shared" si="309"/>
        <v>5.0087234537898066E-3</v>
      </c>
      <c r="G625" s="326">
        <f t="shared" si="316"/>
        <v>1</v>
      </c>
      <c r="H625" s="327">
        <f t="shared" si="317"/>
        <v>0</v>
      </c>
      <c r="I625" s="343">
        <f t="shared" si="310"/>
        <v>5290.2562928604875</v>
      </c>
      <c r="J625" s="344">
        <f t="shared" si="311"/>
        <v>1.5706073000350202</v>
      </c>
      <c r="K625" s="336">
        <f t="shared" si="312"/>
        <v>1.4142135623730951</v>
      </c>
      <c r="L625" s="337">
        <f t="shared" si="313"/>
        <v>0.78539816339744828</v>
      </c>
      <c r="M625" s="325">
        <f t="shared" si="314"/>
        <v>1.0000465192044252</v>
      </c>
      <c r="N625" s="328">
        <f t="shared" si="318"/>
        <v>9.6454550056717867E-3</v>
      </c>
      <c r="O625" s="343">
        <f t="shared" si="325"/>
        <v>1.00026819233453</v>
      </c>
      <c r="P625" s="691">
        <f t="shared" si="326"/>
        <v>2.3157392295799641E-2</v>
      </c>
      <c r="Q625" s="336">
        <f t="shared" si="327"/>
        <v>6.3099071112887888</v>
      </c>
      <c r="R625" s="692">
        <f t="shared" si="328"/>
        <v>2.5657436449988601E-2</v>
      </c>
      <c r="S625" s="343">
        <f t="shared" si="319"/>
        <v>1.0002609672360552</v>
      </c>
      <c r="T625" s="330">
        <f t="shared" si="320"/>
        <v>2.3465634125319223E-2</v>
      </c>
      <c r="U625" s="331">
        <f t="shared" si="321"/>
        <v>22.33945894694952</v>
      </c>
      <c r="V625" s="332">
        <f t="shared" si="322"/>
        <v>-114.71993695502005</v>
      </c>
      <c r="W625" s="334">
        <f t="shared" si="315"/>
        <v>65.280063044979954</v>
      </c>
      <c r="X625" s="307" t="s">
        <v>322</v>
      </c>
      <c r="AA625" s="307">
        <f>Zero2</f>
        <v>3985.8488172741386</v>
      </c>
      <c r="AB625" s="333">
        <f>20*LOG10((K625/(I625*M625))*AEA)</f>
        <v>26.247586056673047</v>
      </c>
      <c r="AC625" s="334">
        <f>(L625-(J625+N625))*radconv</f>
        <v>-45.541813479791479</v>
      </c>
      <c r="AE625" s="333">
        <f t="shared" si="323"/>
        <v>38.834846400004942</v>
      </c>
      <c r="AF625" s="334">
        <f t="shared" si="324"/>
        <v>-69.034881496433485</v>
      </c>
    </row>
    <row r="626" spans="1:32" x14ac:dyDescent="0.2">
      <c r="A626" s="416">
        <f>pole3</f>
        <v>1050000</v>
      </c>
      <c r="B626" s="342"/>
      <c r="C626" s="343">
        <f t="shared" si="306"/>
        <v>651.27732018546908</v>
      </c>
      <c r="D626" s="336">
        <f t="shared" si="307"/>
        <v>1.5692608819668055</v>
      </c>
      <c r="E626" s="336">
        <f t="shared" si="308"/>
        <v>1.6555960293421224</v>
      </c>
      <c r="F626" s="337">
        <f t="shared" si="309"/>
        <v>0.92227063044797464</v>
      </c>
      <c r="G626" s="326">
        <f t="shared" si="316"/>
        <v>1</v>
      </c>
      <c r="H626" s="327">
        <f t="shared" si="317"/>
        <v>0</v>
      </c>
      <c r="I626" s="343">
        <f t="shared" si="310"/>
        <v>1393622.6040968397</v>
      </c>
      <c r="J626" s="344">
        <f t="shared" si="311"/>
        <v>1.5707956092405193</v>
      </c>
      <c r="K626" s="336">
        <f t="shared" si="312"/>
        <v>263.4338664968588</v>
      </c>
      <c r="L626" s="337">
        <f t="shared" si="313"/>
        <v>1.5670002985357343</v>
      </c>
      <c r="M626" s="325">
        <f t="shared" si="314"/>
        <v>2.7306924030362696</v>
      </c>
      <c r="N626" s="328">
        <f t="shared" si="318"/>
        <v>1.1958662264640338</v>
      </c>
      <c r="O626" s="343">
        <f t="shared" si="325"/>
        <v>6.1828923340146469</v>
      </c>
      <c r="P626" s="691">
        <f t="shared" si="326"/>
        <v>1.4083461548724532</v>
      </c>
      <c r="Q626" s="336">
        <f t="shared" si="327"/>
        <v>42.886043394808084</v>
      </c>
      <c r="R626" s="692">
        <f t="shared" si="328"/>
        <v>1.4644834903379123</v>
      </c>
      <c r="S626" s="343">
        <f t="shared" si="319"/>
        <v>6.182643949709731</v>
      </c>
      <c r="T626" s="330" t="e">
        <f t="shared" si="320"/>
        <v>#DIV/0!</v>
      </c>
      <c r="U626" s="331">
        <f t="shared" si="321"/>
        <v>-49.417736025684476</v>
      </c>
      <c r="V626" s="332" t="e">
        <f t="shared" si="322"/>
        <v>#DIV/0!</v>
      </c>
      <c r="W626" s="334" t="e">
        <f t="shared" si="315"/>
        <v>#DIV/0!</v>
      </c>
      <c r="X626" s="307" t="s">
        <v>320</v>
      </c>
      <c r="AB626" s="333">
        <f>20*LOG10((K626/(I626*M626))*AEA)</f>
        <v>14.512297245891038</v>
      </c>
      <c r="AC626" s="334">
        <f>(L626-(J626+N626))*radconv</f>
        <v>-68.735543002491866</v>
      </c>
      <c r="AE626" s="333">
        <f t="shared" si="323"/>
        <v>-20.36270397053957</v>
      </c>
      <c r="AF626" s="334" t="e">
        <f t="shared" si="324"/>
        <v>#DIV/0!</v>
      </c>
    </row>
    <row r="627" spans="1:32" ht="13.5" thickBot="1" x14ac:dyDescent="0.25">
      <c r="A627" s="393">
        <f>Fp2_u</f>
        <v>413223.14049586788</v>
      </c>
      <c r="C627" s="343">
        <f>SQRT(1+(A627/pole1)^2)</f>
        <v>256.30913395775679</v>
      </c>
      <c r="D627" s="336">
        <f>ATAN(A627/pole1)</f>
        <v>1.5668947782172995</v>
      </c>
      <c r="E627" s="336">
        <f>SQRT(1+(A627/Zero1)^2)</f>
        <v>1.126784319906321</v>
      </c>
      <c r="F627" s="337">
        <f>ATAN(A627/Zero1)</f>
        <v>0.47894568933841647</v>
      </c>
      <c r="G627" s="326">
        <f t="shared" si="316"/>
        <v>1</v>
      </c>
      <c r="H627" s="327">
        <f t="shared" si="317"/>
        <v>0</v>
      </c>
      <c r="I627" s="343">
        <f>SQRT(1+(A627/Pole2)^2)</f>
        <v>548454.38964927103</v>
      </c>
      <c r="J627" s="344">
        <f>ATAN(A627/Pole2)</f>
        <v>1.5707945034892237</v>
      </c>
      <c r="K627" s="336">
        <f>SQRT(1+(A627/Zero2)^2)</f>
        <v>103.67738021489335</v>
      </c>
      <c r="L627" s="337">
        <f>ATAN(A627/Zero2)</f>
        <v>1.5611508717892248</v>
      </c>
      <c r="M627" s="325">
        <f>SQRT(1+(A627/pole4)^2)</f>
        <v>1.4142135623730951</v>
      </c>
      <c r="N627" s="328">
        <f t="shared" si="318"/>
        <v>0.78539816339744828</v>
      </c>
      <c r="O627" s="343">
        <f t="shared" si="325"/>
        <v>2.6011218828844309</v>
      </c>
      <c r="P627" s="691">
        <f t="shared" si="326"/>
        <v>1.176184911747745</v>
      </c>
      <c r="Q627" s="336">
        <f t="shared" si="327"/>
        <v>17.834704103066819</v>
      </c>
      <c r="R627" s="692">
        <f t="shared" si="328"/>
        <v>1.2255531734964968</v>
      </c>
      <c r="S627" s="343">
        <f t="shared" si="319"/>
        <v>2.5757461675155997</v>
      </c>
      <c r="T627" s="330">
        <f t="shared" si="320"/>
        <v>1.2364968461421637</v>
      </c>
      <c r="U627" s="331">
        <f t="shared" si="321"/>
        <v>-31.238667753451587</v>
      </c>
      <c r="V627" s="332">
        <f t="shared" si="322"/>
        <v>-181.56207442620035</v>
      </c>
      <c r="W627" s="334">
        <f>IF(V627&gt;0,V627,V627+180)</f>
        <v>-1.5620744262003541</v>
      </c>
      <c r="X627" s="307" t="s">
        <v>332</v>
      </c>
      <c r="AB627" s="345"/>
      <c r="AC627" s="346"/>
      <c r="AE627" s="333">
        <f t="shared" si="323"/>
        <v>-7.9995146770201444</v>
      </c>
      <c r="AF627" s="334">
        <f t="shared" si="324"/>
        <v>-133.18094193522776</v>
      </c>
    </row>
    <row r="628" spans="1:32" x14ac:dyDescent="0.2">
      <c r="A628" s="393">
        <f>z_RHP</f>
        <v>0</v>
      </c>
      <c r="C628" s="343">
        <f>SQRT(1+(A628/pole1)^2)</f>
        <v>1</v>
      </c>
      <c r="D628" s="336">
        <f>ATAN(A628/pole1)</f>
        <v>0</v>
      </c>
      <c r="E628" s="336">
        <f>SQRT(1+(A628/Zero1)^2)</f>
        <v>1</v>
      </c>
      <c r="F628" s="337">
        <f>ATAN(A628/Zero1)</f>
        <v>0</v>
      </c>
      <c r="G628" s="326">
        <f t="shared" si="316"/>
        <v>1</v>
      </c>
      <c r="H628" s="327">
        <f t="shared" si="317"/>
        <v>0</v>
      </c>
      <c r="I628" s="343">
        <f>SQRT(1+(A628/Pole2)^2)</f>
        <v>1</v>
      </c>
      <c r="J628" s="344">
        <f>ATAN(A628/Pole2)</f>
        <v>0</v>
      </c>
      <c r="K628" s="336">
        <f>SQRT(1+(A628/Zero2)^2)</f>
        <v>1</v>
      </c>
      <c r="L628" s="337">
        <f>ATAN(A628/Zero2)</f>
        <v>0</v>
      </c>
      <c r="M628" s="325">
        <f>SQRT(1+(A628/pole4)^2)</f>
        <v>1</v>
      </c>
      <c r="N628" s="328">
        <f t="shared" si="318"/>
        <v>0</v>
      </c>
      <c r="O628" s="343">
        <f t="shared" si="325"/>
        <v>1</v>
      </c>
      <c r="P628" s="691">
        <f t="shared" si="326"/>
        <v>0</v>
      </c>
      <c r="Q628" s="336">
        <f t="shared" si="327"/>
        <v>6.3078556263269636</v>
      </c>
      <c r="R628" s="692">
        <f t="shared" si="328"/>
        <v>0</v>
      </c>
      <c r="S628" s="343">
        <f t="shared" si="319"/>
        <v>1</v>
      </c>
      <c r="T628" s="330">
        <f t="shared" si="320"/>
        <v>0</v>
      </c>
      <c r="U628" s="331">
        <f t="shared" si="321"/>
        <v>102.32175847758343</v>
      </c>
      <c r="V628" s="332">
        <f t="shared" si="322"/>
        <v>0</v>
      </c>
      <c r="W628" s="334">
        <f>IF(V628&gt;0,V628,V628+180)</f>
        <v>180</v>
      </c>
      <c r="X628" s="307" t="s">
        <v>426</v>
      </c>
      <c r="AB628" s="341"/>
      <c r="AC628" s="341"/>
      <c r="AE628" s="333">
        <f t="shared" si="323"/>
        <v>47.357012336817078</v>
      </c>
      <c r="AF628" s="334">
        <f t="shared" si="324"/>
        <v>0</v>
      </c>
    </row>
    <row r="629" spans="1:32" x14ac:dyDescent="0.2">
      <c r="A629" s="393">
        <f>Fp2_u</f>
        <v>413223.14049586788</v>
      </c>
      <c r="U629" s="331">
        <v>-25</v>
      </c>
    </row>
    <row r="631" spans="1:32" x14ac:dyDescent="0.2">
      <c r="D631" s="307" t="s">
        <v>351</v>
      </c>
      <c r="E631" s="307" t="s">
        <v>352</v>
      </c>
    </row>
    <row r="632" spans="1:32" x14ac:dyDescent="0.2">
      <c r="A632" s="307" t="s">
        <v>324</v>
      </c>
      <c r="B632" s="307" t="s">
        <v>423</v>
      </c>
      <c r="C632" s="347">
        <f>pole1</f>
        <v>1612.2183364797347</v>
      </c>
      <c r="D632" s="347">
        <f>U622</f>
        <v>33.361431691897664</v>
      </c>
      <c r="E632" s="347">
        <f>AE622</f>
        <v>44.346359316724403</v>
      </c>
    </row>
    <row r="633" spans="1:32" x14ac:dyDescent="0.2">
      <c r="A633" s="307" t="s">
        <v>319</v>
      </c>
      <c r="B633" s="307" t="s">
        <v>433</v>
      </c>
      <c r="C633" s="347">
        <f>Zero1</f>
        <v>795774.71636878187</v>
      </c>
      <c r="D633" s="347">
        <f>U623</f>
        <v>-43.992310066601135</v>
      </c>
      <c r="E633" s="347">
        <f>AE623</f>
        <v>-16.951217674093353</v>
      </c>
    </row>
    <row r="634" spans="1:32" x14ac:dyDescent="0.2">
      <c r="A634" s="307" t="s">
        <v>327</v>
      </c>
      <c r="B634" s="307" t="s">
        <v>434</v>
      </c>
      <c r="C634" s="347">
        <f>Pole2</f>
        <v>0.75343209626019259</v>
      </c>
      <c r="D634" s="347">
        <f>U624</f>
        <v>99.311457727540045</v>
      </c>
      <c r="E634" s="347">
        <f>AE624</f>
        <v>47.357011388267374</v>
      </c>
    </row>
    <row r="635" spans="1:32" x14ac:dyDescent="0.2">
      <c r="A635" s="307" t="s">
        <v>322</v>
      </c>
      <c r="B635" s="307" t="s">
        <v>435</v>
      </c>
      <c r="C635" s="347">
        <f>Zero2</f>
        <v>3985.8488172741386</v>
      </c>
      <c r="D635" s="347">
        <f>U625</f>
        <v>22.33945894694952</v>
      </c>
      <c r="E635" s="347">
        <f>AE625</f>
        <v>38.834846400004942</v>
      </c>
    </row>
    <row r="636" spans="1:32" x14ac:dyDescent="0.2">
      <c r="A636" s="307" t="s">
        <v>320</v>
      </c>
      <c r="B636" s="307" t="s">
        <v>432</v>
      </c>
      <c r="C636" s="307">
        <f>pole3</f>
        <v>1050000</v>
      </c>
      <c r="D636" s="347">
        <f>U626</f>
        <v>-49.417736025684476</v>
      </c>
      <c r="E636" s="347">
        <f>AE626</f>
        <v>-20.36270397053957</v>
      </c>
    </row>
    <row r="637" spans="1:32" x14ac:dyDescent="0.2">
      <c r="C637" s="393"/>
      <c r="D637" s="347"/>
      <c r="E637" s="347"/>
    </row>
    <row r="639" spans="1:32" x14ac:dyDescent="0.2">
      <c r="A639" s="347">
        <f>U4*1000</f>
        <v>38683.5</v>
      </c>
    </row>
    <row r="640" spans="1:32" x14ac:dyDescent="0.2">
      <c r="A640" s="347">
        <f>U4*1000</f>
        <v>38683.5</v>
      </c>
    </row>
    <row r="687" spans="34:35" x14ac:dyDescent="0.2">
      <c r="AH687" t="s">
        <v>44</v>
      </c>
      <c r="AI687" s="4">
        <f>SUM(AI689:AI1306)</f>
        <v>0</v>
      </c>
    </row>
  </sheetData>
  <mergeCells count="24">
    <mergeCell ref="AB10:AC10"/>
    <mergeCell ref="AE10:AF10"/>
    <mergeCell ref="C11:D11"/>
    <mergeCell ref="E11:F11"/>
    <mergeCell ref="I11:J11"/>
    <mergeCell ref="K11:L11"/>
    <mergeCell ref="M11:N11"/>
    <mergeCell ref="S11:T11"/>
    <mergeCell ref="O11:P11"/>
    <mergeCell ref="Q11:R11"/>
    <mergeCell ref="B10:B11"/>
    <mergeCell ref="A2:D2"/>
    <mergeCell ref="J2:L2"/>
    <mergeCell ref="A10:A12"/>
    <mergeCell ref="S10:T10"/>
    <mergeCell ref="T2:V2"/>
    <mergeCell ref="G11:H11"/>
    <mergeCell ref="E2:G2"/>
    <mergeCell ref="C10:H10"/>
    <mergeCell ref="I10:N10"/>
    <mergeCell ref="U10:W10"/>
    <mergeCell ref="O10:R10"/>
    <mergeCell ref="M2:O2"/>
    <mergeCell ref="P2:S2"/>
  </mergeCells>
  <pageMargins left="0.75" right="0.75" top="1" bottom="1" header="0.5" footer="0.5"/>
  <pageSetup scale="48" orientation="portrait" horizontalDpi="300" verticalDpi="300" r:id="rId1"/>
  <headerFooter alignWithMargins="0"/>
  <colBreaks count="1" manualBreakCount="1">
    <brk id="23" max="1048575" man="1"/>
  </colBreaks>
  <ignoredErrors>
    <ignoredError sqref="F13 A628" 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A1:N9"/>
  <sheetViews>
    <sheetView topLeftCell="A7" zoomScaleNormal="100" workbookViewId="0">
      <selection activeCell="B19" sqref="B19"/>
    </sheetView>
  </sheetViews>
  <sheetFormatPr defaultRowHeight="12.75" x14ac:dyDescent="0.2"/>
  <cols>
    <col min="1" max="1" width="10.5703125" customWidth="1"/>
    <col min="2" max="2" width="129.28515625" customWidth="1"/>
  </cols>
  <sheetData>
    <row r="1" spans="1:14" x14ac:dyDescent="0.2">
      <c r="J1" s="113" t="s">
        <v>590</v>
      </c>
      <c r="N1" s="113" t="s">
        <v>592</v>
      </c>
    </row>
    <row r="2" spans="1:14" x14ac:dyDescent="0.2">
      <c r="A2" t="str">
        <f>CHOOSE(BODE_PLOT_TYPE, "BODE_PLOT_Ch1", "BODE_PLOT_Ch2")</f>
        <v>BODE_PLOT_Ch1</v>
      </c>
      <c r="J2" s="113" t="s">
        <v>591</v>
      </c>
      <c r="N2" s="113" t="s">
        <v>682</v>
      </c>
    </row>
    <row r="3" spans="1:14" x14ac:dyDescent="0.2">
      <c r="J3" s="113" t="s">
        <v>589</v>
      </c>
    </row>
    <row r="4" spans="1:14" x14ac:dyDescent="0.2">
      <c r="J4" s="113" t="s">
        <v>588</v>
      </c>
    </row>
    <row r="5" spans="1:14" ht="409.5" customHeight="1" x14ac:dyDescent="0.2">
      <c r="B5" s="521"/>
    </row>
    <row r="6" spans="1:14" ht="12" customHeight="1" x14ac:dyDescent="0.2">
      <c r="B6" s="521"/>
      <c r="F6">
        <f ca="1">INDIRECT(A2)</f>
        <v>0</v>
      </c>
    </row>
    <row r="7" spans="1:14" ht="34.5" customHeight="1" x14ac:dyDescent="0.2"/>
    <row r="8" spans="1:14" ht="409.5" customHeight="1" x14ac:dyDescent="0.2">
      <c r="B8" s="521"/>
    </row>
    <row r="9" spans="1:14" x14ac:dyDescent="0.2">
      <c r="B9" s="521"/>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tabColor rgb="FF92D050"/>
  </sheetPr>
  <dimension ref="A1:BM209"/>
  <sheetViews>
    <sheetView zoomScaleNormal="100" workbookViewId="0">
      <pane ySplit="8" topLeftCell="A33" activePane="bottomLeft" state="frozen"/>
      <selection activeCell="F1" sqref="F1"/>
      <selection pane="bottomLeft" activeCell="B67" sqref="B67"/>
    </sheetView>
  </sheetViews>
  <sheetFormatPr defaultRowHeight="12.75" x14ac:dyDescent="0.2"/>
  <cols>
    <col min="1" max="1" width="19.7109375" customWidth="1"/>
    <col min="2" max="2" width="13.140625" bestFit="1" customWidth="1"/>
    <col min="4" max="4" width="74.5703125" customWidth="1"/>
    <col min="6" max="6" width="9.140625" customWidth="1"/>
    <col min="7" max="7" width="6.7109375" customWidth="1"/>
    <col min="8" max="8" width="9.140625" style="530"/>
    <col min="9" max="10" width="9.7109375" customWidth="1"/>
    <col min="11" max="11" width="8.140625" customWidth="1"/>
    <col min="12" max="12" width="7.42578125" customWidth="1"/>
    <col min="13" max="13" width="10.7109375" style="348" customWidth="1"/>
    <col min="14" max="16" width="8.7109375" style="4" customWidth="1"/>
    <col min="17" max="17" width="12.140625" style="4" customWidth="1"/>
    <col min="18" max="18" width="8" style="4" customWidth="1"/>
    <col min="19" max="19" width="9.42578125" style="300" customWidth="1"/>
    <col min="20" max="20" width="8" customWidth="1"/>
    <col min="21" max="21" width="9.28515625" customWidth="1"/>
    <col min="22" max="22" width="8.7109375" style="4" customWidth="1"/>
    <col min="23" max="23" width="9.7109375" customWidth="1"/>
    <col min="24" max="24" width="10.7109375" customWidth="1"/>
    <col min="25" max="25" width="9.7109375" style="300" customWidth="1"/>
    <col min="26" max="26" width="10.5703125" customWidth="1"/>
    <col min="28" max="29" width="8.5703125" customWidth="1"/>
    <col min="30" max="30" width="11.7109375" customWidth="1"/>
    <col min="31" max="31" width="12.7109375" customWidth="1"/>
    <col min="32" max="32" width="8" customWidth="1"/>
    <col min="33" max="33" width="9.7109375" customWidth="1"/>
    <col min="34" max="35" width="8.7109375" customWidth="1"/>
    <col min="36" max="36" width="10.5703125" customWidth="1"/>
    <col min="37" max="37" width="10.28515625" customWidth="1"/>
    <col min="38" max="38" width="13.7109375" customWidth="1"/>
    <col min="39" max="39" width="12" style="300" customWidth="1"/>
    <col min="40" max="40" width="11.5703125" customWidth="1"/>
    <col min="41" max="41" width="9.28515625" customWidth="1"/>
    <col min="42" max="43" width="10.42578125" customWidth="1"/>
    <col min="44" max="44" width="14.7109375" customWidth="1"/>
    <col min="46" max="46" width="8.42578125" style="4" customWidth="1"/>
    <col min="47" max="47" width="7.28515625" customWidth="1"/>
    <col min="48" max="48" width="10.140625" style="9" customWidth="1"/>
    <col min="49" max="49" width="12.42578125" style="366" customWidth="1"/>
    <col min="50" max="50" width="11.42578125" style="366" customWidth="1"/>
    <col min="51" max="51" width="3.28515625" customWidth="1"/>
    <col min="52" max="52" width="7.7109375" style="348" customWidth="1"/>
    <col min="53" max="53" width="9.140625" style="300"/>
    <col min="54" max="54" width="10.28515625" style="300" customWidth="1"/>
    <col min="55" max="55" width="12.140625" style="300" customWidth="1"/>
    <col min="56" max="56" width="8.7109375" style="300" customWidth="1"/>
    <col min="57" max="57" width="7.7109375" customWidth="1"/>
    <col min="61" max="61" width="28.42578125" customWidth="1"/>
    <col min="64" max="64" width="12.42578125" bestFit="1" customWidth="1"/>
  </cols>
  <sheetData>
    <row r="1" spans="1:65" ht="12.75" customHeight="1" x14ac:dyDescent="0.2">
      <c r="A1" s="879" t="s">
        <v>675</v>
      </c>
      <c r="B1" s="879"/>
      <c r="C1" s="879"/>
      <c r="D1" s="879"/>
    </row>
    <row r="2" spans="1:65" ht="12.75" customHeight="1" x14ac:dyDescent="0.2">
      <c r="A2" s="879"/>
      <c r="B2" s="879"/>
      <c r="C2" s="879"/>
      <c r="D2" s="879"/>
      <c r="H2" s="535">
        <f>AV19</f>
        <v>0.7181153597889034</v>
      </c>
      <c r="I2" s="113" t="s">
        <v>580</v>
      </c>
      <c r="J2" s="113"/>
      <c r="AK2" s="113"/>
    </row>
    <row r="3" spans="1:65" ht="12.75" customHeight="1" x14ac:dyDescent="0.2">
      <c r="A3" s="879"/>
      <c r="B3" s="879"/>
      <c r="C3" s="879"/>
      <c r="D3" s="879"/>
      <c r="H3" s="535">
        <f>AV59</f>
        <v>0.86926438729657962</v>
      </c>
      <c r="I3" s="113" t="s">
        <v>582</v>
      </c>
      <c r="J3" s="113"/>
      <c r="AK3" s="113"/>
      <c r="AP3">
        <f>IF(MODE=1, (Qg_Q1+Qg_Q2)*Fsw*Vin, (Qg_Q1+Qg_Q2+Qg_Q3+Qg_Q4)*Fsw*Vin)</f>
        <v>0.83160000000000001</v>
      </c>
    </row>
    <row r="4" spans="1:65" ht="12.75" customHeight="1" x14ac:dyDescent="0.2">
      <c r="A4" s="879"/>
      <c r="B4" s="879"/>
      <c r="C4" s="879"/>
      <c r="D4" s="879"/>
      <c r="H4" s="535">
        <f>AV109</f>
        <v>0.88209211380744856</v>
      </c>
      <c r="I4" s="113" t="s">
        <v>581</v>
      </c>
      <c r="J4" s="113"/>
      <c r="AK4" s="113"/>
      <c r="AO4" s="113" t="s">
        <v>710</v>
      </c>
      <c r="AP4">
        <f>(Qg_Q1+Qg_Q2)*Fsw*1000</f>
        <v>69.3</v>
      </c>
      <c r="AQ4" s="113" t="s">
        <v>64</v>
      </c>
      <c r="AR4">
        <f>AP4*5/1000</f>
        <v>0.34649999999999997</v>
      </c>
    </row>
    <row r="5" spans="1:65" x14ac:dyDescent="0.2">
      <c r="A5" s="10"/>
      <c r="B5" s="11"/>
      <c r="C5" s="6"/>
      <c r="D5" s="6"/>
    </row>
    <row r="6" spans="1:65" ht="13.5" customHeight="1" thickBot="1" x14ac:dyDescent="0.25">
      <c r="A6" s="880" t="s">
        <v>458</v>
      </c>
      <c r="B6" s="880"/>
      <c r="C6" s="880"/>
      <c r="D6" s="880"/>
    </row>
    <row r="7" spans="1:65" ht="13.5" thickBot="1" x14ac:dyDescent="0.25">
      <c r="A7" s="880"/>
      <c r="B7" s="880"/>
      <c r="C7" s="880"/>
      <c r="D7" s="880"/>
      <c r="G7" s="876" t="s">
        <v>574</v>
      </c>
      <c r="H7" s="877"/>
      <c r="I7" s="877"/>
      <c r="J7" s="877"/>
      <c r="K7" s="877"/>
      <c r="L7" s="877"/>
      <c r="M7" s="877"/>
      <c r="N7" s="878"/>
      <c r="O7" s="591"/>
      <c r="P7" s="591"/>
      <c r="Q7" s="591"/>
      <c r="R7" s="876" t="s">
        <v>469</v>
      </c>
      <c r="S7" s="877"/>
      <c r="T7" s="877"/>
      <c r="U7" s="878"/>
      <c r="V7" s="881" t="s">
        <v>25</v>
      </c>
      <c r="W7" s="882"/>
      <c r="X7" s="883"/>
      <c r="Y7" s="876" t="s">
        <v>57</v>
      </c>
      <c r="Z7" s="877"/>
      <c r="AA7" s="878"/>
      <c r="AB7" s="876" t="s">
        <v>571</v>
      </c>
      <c r="AC7" s="877"/>
      <c r="AD7" s="877"/>
      <c r="AE7" s="877"/>
      <c r="AF7" s="877"/>
      <c r="AG7" s="878"/>
      <c r="AH7" s="876" t="s">
        <v>572</v>
      </c>
      <c r="AI7" s="877"/>
      <c r="AJ7" s="877"/>
      <c r="AK7" s="878"/>
      <c r="AL7" s="453" t="s">
        <v>198</v>
      </c>
      <c r="AM7" s="455" t="s">
        <v>445</v>
      </c>
      <c r="AN7" s="454" t="s">
        <v>487</v>
      </c>
      <c r="AO7" s="885" t="s">
        <v>476</v>
      </c>
      <c r="AP7" s="886"/>
      <c r="AQ7" s="886"/>
      <c r="AR7" s="887"/>
      <c r="AS7" s="888"/>
      <c r="AT7" s="876" t="s">
        <v>484</v>
      </c>
      <c r="AU7" s="877"/>
      <c r="AV7" s="877"/>
      <c r="AW7" s="877"/>
      <c r="AX7" s="877"/>
      <c r="AY7" s="527"/>
      <c r="AZ7" s="884" t="s">
        <v>485</v>
      </c>
      <c r="BA7" s="884"/>
      <c r="BB7" s="884"/>
      <c r="BC7" s="884"/>
      <c r="BD7" s="884"/>
      <c r="BE7" s="884"/>
    </row>
    <row r="8" spans="1:65" ht="64.5" thickBot="1" x14ac:dyDescent="0.45">
      <c r="A8" s="569" t="s">
        <v>108</v>
      </c>
      <c r="B8" s="13"/>
      <c r="C8" s="13"/>
      <c r="D8" s="6"/>
      <c r="G8" s="438" t="s">
        <v>53</v>
      </c>
      <c r="H8" s="522" t="s">
        <v>3</v>
      </c>
      <c r="I8" s="522" t="s">
        <v>573</v>
      </c>
      <c r="J8" s="522" t="s">
        <v>5</v>
      </c>
      <c r="K8" s="439" t="s">
        <v>679</v>
      </c>
      <c r="L8" s="439" t="s">
        <v>294</v>
      </c>
      <c r="M8" s="450" t="s">
        <v>575</v>
      </c>
      <c r="N8" s="524" t="s">
        <v>470</v>
      </c>
      <c r="O8" s="592" t="s">
        <v>723</v>
      </c>
      <c r="P8" s="592" t="s">
        <v>724</v>
      </c>
      <c r="Q8" s="592" t="s">
        <v>725</v>
      </c>
      <c r="R8" s="523" t="s">
        <v>570</v>
      </c>
      <c r="S8" s="452" t="s">
        <v>87</v>
      </c>
      <c r="T8" s="439" t="s">
        <v>569</v>
      </c>
      <c r="U8" s="440" t="s">
        <v>505</v>
      </c>
      <c r="V8" s="523" t="s">
        <v>472</v>
      </c>
      <c r="W8" s="441" t="s">
        <v>471</v>
      </c>
      <c r="X8" s="440" t="s">
        <v>504</v>
      </c>
      <c r="Y8" s="451" t="s">
        <v>473</v>
      </c>
      <c r="Z8" s="439" t="s">
        <v>474</v>
      </c>
      <c r="AA8" s="440" t="s">
        <v>502</v>
      </c>
      <c r="AB8" s="438" t="s">
        <v>84</v>
      </c>
      <c r="AC8" s="439" t="s">
        <v>475</v>
      </c>
      <c r="AD8" s="439" t="s">
        <v>721</v>
      </c>
      <c r="AE8" s="593" t="s">
        <v>722</v>
      </c>
      <c r="AF8" s="442" t="s">
        <v>199</v>
      </c>
      <c r="AG8" s="440" t="s">
        <v>567</v>
      </c>
      <c r="AH8" s="438" t="s">
        <v>84</v>
      </c>
      <c r="AI8" s="439" t="s">
        <v>475</v>
      </c>
      <c r="AJ8" s="439" t="s">
        <v>478</v>
      </c>
      <c r="AK8" s="443" t="s">
        <v>568</v>
      </c>
      <c r="AL8" s="440" t="s">
        <v>478</v>
      </c>
      <c r="AM8" s="456" t="s">
        <v>93</v>
      </c>
      <c r="AN8" s="457" t="s">
        <v>486</v>
      </c>
      <c r="AO8" s="444" t="s">
        <v>479</v>
      </c>
      <c r="AP8" s="445" t="s">
        <v>135</v>
      </c>
      <c r="AQ8" s="446" t="s">
        <v>201</v>
      </c>
      <c r="AR8" s="445" t="s">
        <v>711</v>
      </c>
      <c r="AS8" s="447" t="s">
        <v>477</v>
      </c>
      <c r="AT8" s="448" t="s">
        <v>54</v>
      </c>
      <c r="AU8" s="439" t="s">
        <v>284</v>
      </c>
      <c r="AV8" s="449" t="s">
        <v>481</v>
      </c>
      <c r="AW8" s="533" t="str">
        <f>IF(Vin&gt;Vout, "Buck ''CONTROL'' MOSFET Temp Rise", "Boost ''CONTROL'' MOSFET Temp Rise")</f>
        <v>Buck ''CONTROL'' MOSFET Temp Rise</v>
      </c>
      <c r="AX8" s="533" t="str">
        <f>IF(Vin&gt;Vout, "Buck ''SYNC'' MOSFET Temp Rise", "Boost ''SYNC'' MOSFET Temp Rise")</f>
        <v>Buck ''SYNC'' MOSFET Temp Rise</v>
      </c>
      <c r="AZ8" s="528" t="s">
        <v>480</v>
      </c>
      <c r="BA8" s="529" t="s">
        <v>503</v>
      </c>
      <c r="BB8" s="529" t="s">
        <v>576</v>
      </c>
      <c r="BC8" s="529" t="s">
        <v>673</v>
      </c>
      <c r="BD8" s="529" t="s">
        <v>674</v>
      </c>
      <c r="BE8" s="529" t="s">
        <v>551</v>
      </c>
      <c r="BF8" s="529"/>
    </row>
    <row r="9" spans="1:65" x14ac:dyDescent="0.2">
      <c r="A9" s="14" t="s">
        <v>55</v>
      </c>
      <c r="B9" s="15" t="s">
        <v>111</v>
      </c>
      <c r="C9" s="16" t="s">
        <v>76</v>
      </c>
      <c r="D9" s="17" t="s">
        <v>107</v>
      </c>
      <c r="G9">
        <v>0</v>
      </c>
      <c r="H9" s="531">
        <f t="shared" ref="H9:H40" si="0">Vin</f>
        <v>12</v>
      </c>
      <c r="I9" s="4">
        <f t="shared" ref="I9:I40" si="1">MODE</f>
        <v>1</v>
      </c>
      <c r="J9">
        <v>0</v>
      </c>
      <c r="K9" s="348">
        <f t="shared" ref="K9:K40" si="2">Iout*G9/100/Number_of_Phases</f>
        <v>0</v>
      </c>
      <c r="L9" s="4">
        <f t="shared" ref="L9:L40" si="3">Vout*K9/(Vin*Efficiency)</f>
        <v>0</v>
      </c>
      <c r="M9" s="348">
        <f t="shared" ref="M9:M40" si="4">(Vout+(Rdson2+Rs+Rdcr)*K9)/(Vin+(Rs+Rdson2-Rdson1)*K9)</f>
        <v>0.41666666666666669</v>
      </c>
      <c r="N9" s="4">
        <f t="shared" ref="N9:N40" si="5">(Vin-(Rdson1+Rdcr)*K9-Vout)*M9/(Fsw*Lf)</f>
        <v>0.63131313131313138</v>
      </c>
      <c r="O9" s="4">
        <f>K9+N9/2</f>
        <v>0.31565656565656569</v>
      </c>
      <c r="P9" s="4">
        <f>K9-N9/2</f>
        <v>-0.31565656565656569</v>
      </c>
      <c r="Q9" s="4">
        <f t="shared" ref="Q9:Q40" si="6">IF(MIN(Vin, -P9/(Coss_Q1+Coss_Q2)*0.00000002)&lt;0, 0, MIN(Vin, -P9/(Coss_Q1+Coss_Q2)*0.00000002))</f>
        <v>12</v>
      </c>
      <c r="R9" s="4">
        <f>SQRT(K9^2+(N9^2)/12)</f>
        <v>0.18224440315329099</v>
      </c>
      <c r="S9" s="348">
        <f t="shared" ref="S9:S40" si="7">R9^2*Rdcr</f>
        <v>1.1624557868244742E-4</v>
      </c>
      <c r="T9" s="348">
        <f t="shared" ref="T9:T40" si="8">Core_Loss_Ch1</f>
        <v>0.2</v>
      </c>
      <c r="U9" s="348">
        <f t="shared" ref="U9:U40" si="9">(T9+S9*(1+Ltc*(Ta-25)))/(1-S9*Ltc*ThetaCa)</f>
        <v>0.20011810660629104</v>
      </c>
      <c r="V9" s="4">
        <f>N9/SQRT(12)</f>
        <v>0.18224440315329099</v>
      </c>
      <c r="W9" s="348">
        <f t="shared" ref="W9:W73" si="10">RCoutEsr*V9^2</f>
        <v>3.3213022480699264E-5</v>
      </c>
      <c r="X9" s="348">
        <f>W9</f>
        <v>3.3213022480699264E-5</v>
      </c>
      <c r="Y9" s="4">
        <f>SQRT(M9*(1-M9))*SQRT(K9^2+(N9^2)/12)</f>
        <v>8.9847702423186723E-2</v>
      </c>
      <c r="Z9" s="348">
        <f t="shared" ref="Z9:Z73" si="11">RCinEsr*Y9^2</f>
        <v>8.0726096307255125E-6</v>
      </c>
      <c r="AA9" s="525">
        <f>Z9</f>
        <v>8.0726096307255125E-6</v>
      </c>
      <c r="AB9" s="348">
        <f>SQRT(M9)*SQRT(K9^2+(N9^2)/12)</f>
        <v>0.1176382563920344</v>
      </c>
      <c r="AC9" s="348">
        <f t="shared" ref="AC9:AC40" si="12">Rdson1*AB9^2</f>
        <v>1.6606511240349628E-4</v>
      </c>
      <c r="AD9" s="348">
        <f t="shared" ref="AD9:AD40" si="13">(Vin*K9/2)*Fsw*(Tr_buck+Tf_buck)</f>
        <v>0</v>
      </c>
      <c r="AE9" s="348">
        <f t="shared" ref="AE9:AE40" si="14">(0.5*Coss_Q1*(Vin-Q9)^2-0.5*Coss_Q2*(Vin-Q9)^2+(Qoss_Q2*(Vin-Q9)/Vin)*Vin)*Fsw</f>
        <v>0</v>
      </c>
      <c r="AF9" s="348">
        <f t="shared" ref="AF9:AF40" si="15">IF(K9&gt;N9/2,0,ABS(K9-N9/2)*Vsd_Q1*Deadtime*Fsw)</f>
        <v>6.4962121212121214E-3</v>
      </c>
      <c r="AG9" s="348">
        <f t="shared" ref="AG9:AG40" si="16">(AF9+AE9+AD9+AC9*(1+RdsonTopTc*Ta-RdsonTopTc*25))/(1-AC9*RdsonTopTc*ThetaJA_Q1)</f>
        <v>6.6624631092667185E-3</v>
      </c>
      <c r="AH9" s="348">
        <f t="shared" ref="AH9:AH40" si="17">SQRT((1-M9))*SQRT(K9^2+(N9^2)/12)</f>
        <v>0.13919146207200078</v>
      </c>
      <c r="AI9" s="348">
        <f t="shared" ref="AI9:AI40" si="18">Rdson2*AH9^2</f>
        <v>7.9434478766339032E-5</v>
      </c>
      <c r="AJ9" s="348">
        <f t="shared" ref="AJ9:AJ40" si="19">IF(K9&lt;N9/2,Deadtime*Fsw*IF(VfdSky_Q2&gt;0,0,Vsd_Q2)*(K9+N9/2),2*Deadtime*Fsw*IF(VfdSky_Q2&gt;0,0,Vsd_Q2)*K9)</f>
        <v>6.4962121212121214E-3</v>
      </c>
      <c r="AK9" s="348">
        <f t="shared" ref="AK9:AK40" si="20">(AJ9+AI9*(1+RdsonBotTc*Ta-RdsonBotTc*25))/(1-AI9*RdsonBotTc*ThetaJA_Q2)</f>
        <v>6.5757316369003558E-3</v>
      </c>
      <c r="AL9" s="348">
        <f t="shared" ref="AL9:AL40" si="21">2*Deadtime*Fsw*IF(VfdSky_Q2&gt;0,VfdSky_Q2,Vsd_Q2)*K9</f>
        <v>0</v>
      </c>
      <c r="AM9" s="348">
        <f t="shared" ref="AM9:AM40" si="22">IF(QrrSky_Q2&gt;0,QrrSky_Q2,Qrr_Q2*K9/(Iout/Number_of_Phases))*Fsw*Vin</f>
        <v>0</v>
      </c>
      <c r="AN9" s="348">
        <f t="shared" ref="AN9:AN40" si="23">Rs*R9^2</f>
        <v>1.527799034112166E-4</v>
      </c>
      <c r="AO9" s="348">
        <f t="shared" ref="AO9:AO40" si="24">Iq*Vin</f>
        <v>2.6400000000000001E-5</v>
      </c>
      <c r="AP9" s="348">
        <f t="shared" ref="AP9:AP40" si="25">IF(Ext_VCC=1,  (Qg_Q1+Qg_Q2)*Fsw*VCC, (Qg_Q1+Qg_Q2)*Fsw*Vin)</f>
        <v>0.34650000000000003</v>
      </c>
      <c r="AQ9" s="348">
        <f t="shared" ref="AQ9:AQ72" si="26">(Vin-VCC)*Fsw*(Qg_Q1+Qg_Q2)+(RdsonDRT+RdsonDRT2)*Fsw*Qg_Q1*VCC/(RdsonDRT+2*Rgate1+RdsonDRT2)+(RdsonDRB+RdsonDRB2)*Fsw*Qg_Q2*VCC/(RdsonDRB+2*Rgate2+RdsonDRB2)</f>
        <v>0.61836923076923067</v>
      </c>
      <c r="AR9" s="348">
        <f t="shared" ref="AR9:AR40" si="27">(Qg_Q1+Qg_Q2)*Fsw*(Vin-VCC)</f>
        <v>0.48509999999999998</v>
      </c>
      <c r="AS9" s="348">
        <f t="shared" ref="AS9:AS40" si="28">SUM(AO9:AP9)</f>
        <v>0.34652640000000001</v>
      </c>
      <c r="AT9" s="348">
        <f t="shared" ref="AT9:AT40" si="29" xml:space="preserve"> SUM(U9,X9,AA9,AG9,AK9,AL9,AM9,AS9,AN9)</f>
        <v>0.5600767668879808</v>
      </c>
      <c r="AU9">
        <f t="shared" ref="AU9:AU40" si="30">Vout*K9</f>
        <v>0</v>
      </c>
      <c r="AV9" s="526">
        <f>AU9/(AU9+AT9)</f>
        <v>0</v>
      </c>
      <c r="AW9" s="534">
        <f t="shared" ref="AW9:AW40" si="31">ThetaJA_Q1*BC9</f>
        <v>0.27982345058920216</v>
      </c>
      <c r="AX9" s="534">
        <f t="shared" ref="AX9:AX40" si="32">ThetaJA_Q2*BD9</f>
        <v>0.26763227762184449</v>
      </c>
      <c r="AZ9" s="4">
        <f>AV9*100</f>
        <v>0</v>
      </c>
      <c r="BA9" s="348">
        <f t="shared" ref="BA9:BA40" si="33">U9</f>
        <v>0.20011810660629104</v>
      </c>
      <c r="BB9" s="348">
        <f t="shared" ref="BB9:BB40" si="34">AG9+AK9+AM9</f>
        <v>1.3238194746167074E-2</v>
      </c>
      <c r="BC9" s="348">
        <f t="shared" ref="BC9:BC40" si="35">AG9+AM9*0.66</f>
        <v>6.6624631092667185E-3</v>
      </c>
      <c r="BD9" s="348">
        <f t="shared" ref="BD9:BD40" si="36">AK9+AM9*0.33</f>
        <v>6.5757316369003558E-3</v>
      </c>
      <c r="BE9" s="348">
        <f t="shared" ref="BE9:BE40" si="37">AN9</f>
        <v>1.527799034112166E-4</v>
      </c>
      <c r="BJ9" s="18"/>
      <c r="BK9" s="18"/>
      <c r="BL9" s="18"/>
      <c r="BM9" s="19"/>
    </row>
    <row r="10" spans="1:65" x14ac:dyDescent="0.2">
      <c r="A10" s="479"/>
      <c r="B10" s="24"/>
      <c r="C10" s="16"/>
      <c r="D10" s="17"/>
      <c r="G10">
        <v>1</v>
      </c>
      <c r="H10" s="531">
        <f t="shared" si="0"/>
        <v>12</v>
      </c>
      <c r="I10" s="4">
        <f t="shared" si="1"/>
        <v>1</v>
      </c>
      <c r="J10" s="348">
        <f t="shared" ref="J10:J41" si="38">Iout*G10/100</f>
        <v>0.08</v>
      </c>
      <c r="K10" s="348">
        <f t="shared" si="2"/>
        <v>0.08</v>
      </c>
      <c r="L10" s="4">
        <f t="shared" si="3"/>
        <v>3.7037037037037035E-2</v>
      </c>
      <c r="M10" s="348">
        <f t="shared" si="4"/>
        <v>0.41675716865771045</v>
      </c>
      <c r="N10" s="4">
        <f t="shared" si="5"/>
        <v>0.6313383986395753</v>
      </c>
      <c r="O10" s="4">
        <f t="shared" ref="O10:O73" si="39">K10+N10/2</f>
        <v>0.39566919931978767</v>
      </c>
      <c r="P10" s="4">
        <f t="shared" ref="P10:P73" si="40">K10-N10/2</f>
        <v>-0.23566919931978764</v>
      </c>
      <c r="Q10" s="4">
        <f t="shared" si="6"/>
        <v>9.7788049510285333</v>
      </c>
      <c r="R10" s="4">
        <f t="shared" ref="R10:R73" si="41">SQRT(K10^2+(N10^2)/12)</f>
        <v>0.1990368838508714</v>
      </c>
      <c r="S10" s="348">
        <f t="shared" si="7"/>
        <v>1.3865488396572846E-4</v>
      </c>
      <c r="T10" s="348">
        <f t="shared" si="8"/>
        <v>0.2</v>
      </c>
      <c r="U10" s="348">
        <f t="shared" si="9"/>
        <v>0.20014087492474888</v>
      </c>
      <c r="V10" s="4">
        <f t="shared" ref="V10:V73" si="42">N10/SQRT(12)</f>
        <v>0.18225169720215303</v>
      </c>
      <c r="W10" s="348">
        <f t="shared" si="10"/>
        <v>3.321568113306528E-5</v>
      </c>
      <c r="X10" s="348">
        <f t="shared" ref="X10:X73" si="43">W10</f>
        <v>3.321568113306528E-5</v>
      </c>
      <c r="Y10" s="4">
        <f t="shared" ref="Y10:Y73" si="44">SQRT(M10*(1-M10))*SQRT(K10^2+(N10^2)/12)</f>
        <v>9.8129550145214461E-2</v>
      </c>
      <c r="Z10" s="348">
        <f t="shared" si="11"/>
        <v>9.6294086117021612E-6</v>
      </c>
      <c r="AA10" s="525">
        <f t="shared" ref="AA10:AA73" si="45">Z10</f>
        <v>9.6294086117021612E-6</v>
      </c>
      <c r="AB10" s="348">
        <f t="shared" ref="AB10:AB73" si="46">SQRT(M10)*SQRT(K10^2+(N10^2)/12)</f>
        <v>0.1284917083062676</v>
      </c>
      <c r="AC10" s="348">
        <f t="shared" si="12"/>
        <v>1.9812142924155554E-4</v>
      </c>
      <c r="AD10" s="348">
        <f t="shared" si="13"/>
        <v>7.9740310880829016E-3</v>
      </c>
      <c r="AE10" s="348">
        <f t="shared" si="14"/>
        <v>0.13864018988073887</v>
      </c>
      <c r="AF10" s="348">
        <f t="shared" si="15"/>
        <v>4.850072122001229E-3</v>
      </c>
      <c r="AG10" s="348">
        <f t="shared" si="16"/>
        <v>0.15166746268057646</v>
      </c>
      <c r="AH10" s="348">
        <f t="shared" si="17"/>
        <v>0.15200513816842609</v>
      </c>
      <c r="AI10" s="348">
        <f t="shared" si="18"/>
        <v>9.473280432136945E-5</v>
      </c>
      <c r="AJ10" s="348">
        <f t="shared" si="19"/>
        <v>8.1428721220012292E-3</v>
      </c>
      <c r="AK10" s="348">
        <f t="shared" si="20"/>
        <v>8.2377319727484268E-3</v>
      </c>
      <c r="AL10" s="348">
        <f t="shared" si="21"/>
        <v>3.2927999999999998E-3</v>
      </c>
      <c r="AM10" s="348">
        <f t="shared" si="22"/>
        <v>1.4868000000000001E-2</v>
      </c>
      <c r="AN10" s="348">
        <f t="shared" si="23"/>
        <v>1.8223213321210026E-4</v>
      </c>
      <c r="AO10" s="348">
        <f t="shared" si="24"/>
        <v>2.6400000000000001E-5</v>
      </c>
      <c r="AP10" s="348">
        <f t="shared" si="25"/>
        <v>0.34650000000000003</v>
      </c>
      <c r="AQ10" s="348">
        <f t="shared" si="26"/>
        <v>0.61836923076923067</v>
      </c>
      <c r="AR10" s="348">
        <f t="shared" si="27"/>
        <v>0.48509999999999998</v>
      </c>
      <c r="AS10" s="348">
        <f t="shared" si="28"/>
        <v>0.34652640000000001</v>
      </c>
      <c r="AT10" s="348">
        <f t="shared" si="29"/>
        <v>0.72495834680103055</v>
      </c>
      <c r="AU10">
        <f t="shared" si="30"/>
        <v>0.4</v>
      </c>
      <c r="AV10" s="526">
        <f t="shared" ref="AV10:AV73" si="47">AU10/(AU10+AT10)</f>
        <v>0.3555687205108114</v>
      </c>
      <c r="AW10" s="534">
        <f t="shared" si="31"/>
        <v>6.7821743925842108</v>
      </c>
      <c r="AX10" s="534">
        <f t="shared" si="32"/>
        <v>0.53496779929086102</v>
      </c>
      <c r="AY10" s="9"/>
      <c r="AZ10" s="4">
        <f t="shared" ref="AZ10:AZ73" si="48">AV10*100</f>
        <v>35.556872051081143</v>
      </c>
      <c r="BA10" s="348">
        <f t="shared" si="33"/>
        <v>0.20014087492474888</v>
      </c>
      <c r="BB10" s="348">
        <f t="shared" si="34"/>
        <v>0.17477319465332489</v>
      </c>
      <c r="BC10" s="348">
        <f t="shared" si="35"/>
        <v>0.16148034268057646</v>
      </c>
      <c r="BD10" s="348">
        <f t="shared" si="36"/>
        <v>1.3144171972748427E-2</v>
      </c>
      <c r="BE10" s="348">
        <f t="shared" si="37"/>
        <v>1.8223213321210026E-4</v>
      </c>
      <c r="BJ10" s="18"/>
      <c r="BK10" s="18"/>
      <c r="BL10" s="18"/>
      <c r="BM10" s="19"/>
    </row>
    <row r="11" spans="1:65" x14ac:dyDescent="0.2">
      <c r="A11" s="20" t="s">
        <v>3</v>
      </c>
      <c r="B11" s="5">
        <f>Vin</f>
        <v>12</v>
      </c>
      <c r="C11" s="427" t="s">
        <v>0</v>
      </c>
      <c r="D11" s="21" t="s">
        <v>3</v>
      </c>
      <c r="G11">
        <v>2</v>
      </c>
      <c r="H11" s="531">
        <f t="shared" si="0"/>
        <v>12</v>
      </c>
      <c r="I11" s="4">
        <f t="shared" si="1"/>
        <v>1</v>
      </c>
      <c r="J11" s="348">
        <f t="shared" si="38"/>
        <v>0.16</v>
      </c>
      <c r="K11" s="348">
        <f t="shared" si="2"/>
        <v>0.16</v>
      </c>
      <c r="L11" s="4">
        <f t="shared" si="3"/>
        <v>7.407407407407407E-2</v>
      </c>
      <c r="M11" s="348">
        <f t="shared" si="4"/>
        <v>0.41684767463101707</v>
      </c>
      <c r="N11" s="4">
        <f t="shared" si="5"/>
        <v>0.63136362341645769</v>
      </c>
      <c r="O11" s="4">
        <f t="shared" si="39"/>
        <v>0.47568181170822887</v>
      </c>
      <c r="P11" s="4">
        <f t="shared" si="40"/>
        <v>-0.15568181170822884</v>
      </c>
      <c r="Q11" s="4">
        <f t="shared" si="6"/>
        <v>6.4598262119597027</v>
      </c>
      <c r="R11" s="4">
        <f t="shared" si="41"/>
        <v>0.24252491710020893</v>
      </c>
      <c r="S11" s="348">
        <f t="shared" si="7"/>
        <v>2.0586417395062126E-4</v>
      </c>
      <c r="T11" s="348">
        <f t="shared" si="8"/>
        <v>0.2</v>
      </c>
      <c r="U11" s="348">
        <f t="shared" si="9"/>
        <v>0.20020916144544171</v>
      </c>
      <c r="V11" s="4">
        <f t="shared" si="42"/>
        <v>0.18225897896801468</v>
      </c>
      <c r="W11" s="348">
        <f t="shared" si="10"/>
        <v>3.3218335414463225E-5</v>
      </c>
      <c r="X11" s="348">
        <f t="shared" si="43"/>
        <v>3.3218335414463225E-5</v>
      </c>
      <c r="Y11" s="4">
        <f t="shared" si="44"/>
        <v>0.1195738085664733</v>
      </c>
      <c r="Z11" s="348">
        <f t="shared" si="11"/>
        <v>1.4297895695091603E-5</v>
      </c>
      <c r="AA11" s="525">
        <f t="shared" si="45"/>
        <v>1.4297895695091603E-5</v>
      </c>
      <c r="AB11" s="348">
        <f t="shared" si="46"/>
        <v>0.15658316110995521</v>
      </c>
      <c r="AC11" s="348">
        <f t="shared" si="12"/>
        <v>2.9421943611823427E-4</v>
      </c>
      <c r="AD11" s="348">
        <f t="shared" si="13"/>
        <v>1.5948062176165803E-2</v>
      </c>
      <c r="AE11" s="348">
        <f t="shared" si="14"/>
        <v>0.34097389817609541</v>
      </c>
      <c r="AF11" s="348">
        <f t="shared" si="15"/>
        <v>3.2039316849553495E-3</v>
      </c>
      <c r="AG11" s="348">
        <f t="shared" si="16"/>
        <v>0.36043792751109116</v>
      </c>
      <c r="AH11" s="348">
        <f t="shared" si="17"/>
        <v>0.1852027242544694</v>
      </c>
      <c r="AI11" s="348">
        <f t="shared" si="18"/>
        <v>1.4063020119223582E-4</v>
      </c>
      <c r="AJ11" s="348">
        <f t="shared" si="19"/>
        <v>9.7895316849553483E-3</v>
      </c>
      <c r="AK11" s="348">
        <f t="shared" si="20"/>
        <v>9.9303892384048076E-3</v>
      </c>
      <c r="AL11" s="348">
        <f t="shared" si="21"/>
        <v>6.5855999999999996E-3</v>
      </c>
      <c r="AM11" s="348">
        <f t="shared" si="22"/>
        <v>2.9736000000000002E-2</v>
      </c>
      <c r="AN11" s="348">
        <f t="shared" si="23"/>
        <v>2.705643429065308E-4</v>
      </c>
      <c r="AO11" s="348">
        <f t="shared" si="24"/>
        <v>2.6400000000000001E-5</v>
      </c>
      <c r="AP11" s="348">
        <f t="shared" si="25"/>
        <v>0.34650000000000003</v>
      </c>
      <c r="AQ11" s="348">
        <f t="shared" si="26"/>
        <v>0.61836923076923067</v>
      </c>
      <c r="AR11" s="348">
        <f t="shared" si="27"/>
        <v>0.48509999999999998</v>
      </c>
      <c r="AS11" s="348">
        <f t="shared" si="28"/>
        <v>0.34652640000000001</v>
      </c>
      <c r="AT11" s="348">
        <f t="shared" si="29"/>
        <v>0.95374355876895378</v>
      </c>
      <c r="AU11">
        <f t="shared" si="30"/>
        <v>0.8</v>
      </c>
      <c r="AV11" s="526">
        <f t="shared" si="47"/>
        <v>0.45616703536836523</v>
      </c>
      <c r="AW11" s="534">
        <f t="shared" si="31"/>
        <v>15.962674875465828</v>
      </c>
      <c r="AX11" s="534">
        <f t="shared" si="32"/>
        <v>0.8035510580030758</v>
      </c>
      <c r="AY11" s="9"/>
      <c r="AZ11" s="4">
        <f t="shared" si="48"/>
        <v>45.616703536836525</v>
      </c>
      <c r="BA11" s="348">
        <f t="shared" si="33"/>
        <v>0.20020916144544171</v>
      </c>
      <c r="BB11" s="348">
        <f t="shared" si="34"/>
        <v>0.40010431674949598</v>
      </c>
      <c r="BC11" s="348">
        <f t="shared" si="35"/>
        <v>0.38006368751109115</v>
      </c>
      <c r="BD11" s="348">
        <f t="shared" si="36"/>
        <v>1.9743269238404811E-2</v>
      </c>
      <c r="BE11" s="348">
        <f t="shared" si="37"/>
        <v>2.705643429065308E-4</v>
      </c>
      <c r="BJ11" s="18"/>
      <c r="BK11" s="18"/>
      <c r="BL11" s="18"/>
      <c r="BM11" s="19"/>
    </row>
    <row r="12" spans="1:65" x14ac:dyDescent="0.2">
      <c r="A12" s="22" t="s">
        <v>4</v>
      </c>
      <c r="B12" s="5">
        <f>Vout</f>
        <v>5</v>
      </c>
      <c r="C12" s="427" t="s">
        <v>0</v>
      </c>
      <c r="D12" s="21" t="s">
        <v>4</v>
      </c>
      <c r="G12">
        <v>3</v>
      </c>
      <c r="H12" s="531">
        <f t="shared" si="0"/>
        <v>12</v>
      </c>
      <c r="I12" s="4">
        <f t="shared" si="1"/>
        <v>1</v>
      </c>
      <c r="J12" s="348">
        <f t="shared" si="38"/>
        <v>0.24</v>
      </c>
      <c r="K12" s="348">
        <f t="shared" si="2"/>
        <v>0.24</v>
      </c>
      <c r="L12" s="4">
        <f t="shared" si="3"/>
        <v>0.1111111111111111</v>
      </c>
      <c r="M12" s="348">
        <f t="shared" si="4"/>
        <v>0.41693818458684939</v>
      </c>
      <c r="N12" s="4">
        <f t="shared" si="5"/>
        <v>0.63138880564097033</v>
      </c>
      <c r="O12" s="4">
        <f t="shared" si="39"/>
        <v>0.5556944028204851</v>
      </c>
      <c r="P12" s="4">
        <f t="shared" si="40"/>
        <v>-7.5694402820485174E-2</v>
      </c>
      <c r="Q12" s="4">
        <f t="shared" si="6"/>
        <v>3.1408465900616251</v>
      </c>
      <c r="R12" s="4">
        <f t="shared" si="41"/>
        <v>0.30136520257664273</v>
      </c>
      <c r="S12" s="348">
        <f t="shared" si="7"/>
        <v>3.178734486342132E-4</v>
      </c>
      <c r="T12" s="348">
        <f t="shared" si="8"/>
        <v>0.2</v>
      </c>
      <c r="U12" s="348">
        <f t="shared" si="9"/>
        <v>0.20032296763683929</v>
      </c>
      <c r="V12" s="4">
        <f t="shared" si="42"/>
        <v>0.18226624845006528</v>
      </c>
      <c r="W12" s="348">
        <f t="shared" si="10"/>
        <v>3.3220985324060926E-5</v>
      </c>
      <c r="X12" s="348">
        <f t="shared" si="43"/>
        <v>3.3220985324060926E-5</v>
      </c>
      <c r="Y12" s="4">
        <f t="shared" si="44"/>
        <v>0.14858885647780024</v>
      </c>
      <c r="Z12" s="348">
        <f t="shared" si="11"/>
        <v>2.2078648269380316E-5</v>
      </c>
      <c r="AA12" s="525">
        <f t="shared" si="45"/>
        <v>2.2078648269380316E-5</v>
      </c>
      <c r="AB12" s="348">
        <f t="shared" si="46"/>
        <v>0.19459377365014238</v>
      </c>
      <c r="AC12" s="348">
        <f t="shared" si="12"/>
        <v>4.5440084092083415E-4</v>
      </c>
      <c r="AD12" s="348">
        <f t="shared" si="13"/>
        <v>2.3922093264248705E-2</v>
      </c>
      <c r="AE12" s="348">
        <f t="shared" si="14"/>
        <v>0.53752445755165157</v>
      </c>
      <c r="AF12" s="348">
        <f t="shared" si="15"/>
        <v>1.5577908100455849E-3</v>
      </c>
      <c r="AG12" s="348">
        <f t="shared" si="16"/>
        <v>0.56350175982001849</v>
      </c>
      <c r="AH12" s="348">
        <f t="shared" si="17"/>
        <v>0.23011790147804248</v>
      </c>
      <c r="AI12" s="348">
        <f t="shared" si="18"/>
        <v>2.1711241918069804E-4</v>
      </c>
      <c r="AJ12" s="348">
        <f t="shared" si="19"/>
        <v>1.1436190810045582E-2</v>
      </c>
      <c r="AK12" s="348">
        <f t="shared" si="20"/>
        <v>1.165371514029773E-2</v>
      </c>
      <c r="AL12" s="348">
        <f t="shared" si="21"/>
        <v>9.878399999999999E-3</v>
      </c>
      <c r="AM12" s="348">
        <f t="shared" si="22"/>
        <v>4.4603999999999998E-2</v>
      </c>
      <c r="AN12" s="348">
        <f t="shared" si="23"/>
        <v>4.177765324906802E-4</v>
      </c>
      <c r="AO12" s="348">
        <f t="shared" si="24"/>
        <v>2.6400000000000001E-5</v>
      </c>
      <c r="AP12" s="348">
        <f t="shared" si="25"/>
        <v>0.34650000000000003</v>
      </c>
      <c r="AQ12" s="348">
        <f t="shared" si="26"/>
        <v>0.61836923076923067</v>
      </c>
      <c r="AR12" s="348">
        <f t="shared" si="27"/>
        <v>0.48509999999999998</v>
      </c>
      <c r="AS12" s="348">
        <f t="shared" si="28"/>
        <v>0.34652640000000001</v>
      </c>
      <c r="AT12" s="348">
        <f t="shared" si="29"/>
        <v>1.1769603187632396</v>
      </c>
      <c r="AU12">
        <f t="shared" si="30"/>
        <v>1.2</v>
      </c>
      <c r="AV12" s="526">
        <f t="shared" si="47"/>
        <v>0.50484645895324587</v>
      </c>
      <c r="AW12" s="534">
        <f t="shared" si="31"/>
        <v>24.903496792440777</v>
      </c>
      <c r="AX12" s="534">
        <f t="shared" si="32"/>
        <v>1.0733825302101176</v>
      </c>
      <c r="AY12" s="9"/>
      <c r="AZ12" s="4">
        <f t="shared" si="48"/>
        <v>50.48464589532459</v>
      </c>
      <c r="BA12" s="348">
        <f t="shared" si="33"/>
        <v>0.20032296763683929</v>
      </c>
      <c r="BB12" s="348">
        <f t="shared" si="34"/>
        <v>0.61975947496031625</v>
      </c>
      <c r="BC12" s="348">
        <f t="shared" si="35"/>
        <v>0.59294039982001845</v>
      </c>
      <c r="BD12" s="348">
        <f t="shared" si="36"/>
        <v>2.6373035140297728E-2</v>
      </c>
      <c r="BE12" s="348">
        <f t="shared" si="37"/>
        <v>4.177765324906802E-4</v>
      </c>
      <c r="BJ12" s="18"/>
      <c r="BK12" s="18"/>
      <c r="BL12" s="18"/>
      <c r="BM12" s="19"/>
    </row>
    <row r="13" spans="1:65" x14ac:dyDescent="0.2">
      <c r="A13" s="22" t="s">
        <v>6</v>
      </c>
      <c r="B13" s="5">
        <f>Fsw/1000</f>
        <v>2100</v>
      </c>
      <c r="C13" s="427" t="s">
        <v>2</v>
      </c>
      <c r="D13" s="21" t="s">
        <v>94</v>
      </c>
      <c r="G13">
        <v>4</v>
      </c>
      <c r="H13" s="531">
        <f t="shared" si="0"/>
        <v>12</v>
      </c>
      <c r="I13" s="4">
        <f t="shared" si="1"/>
        <v>1</v>
      </c>
      <c r="J13" s="348">
        <f t="shared" si="38"/>
        <v>0.32</v>
      </c>
      <c r="K13" s="348">
        <f t="shared" si="2"/>
        <v>0.32</v>
      </c>
      <c r="L13" s="4">
        <f t="shared" si="3"/>
        <v>0.14814814814814814</v>
      </c>
      <c r="M13" s="348">
        <f t="shared" si="4"/>
        <v>0.41702869852547025</v>
      </c>
      <c r="N13" s="4">
        <f t="shared" si="5"/>
        <v>0.63141394531030415</v>
      </c>
      <c r="O13" s="4">
        <f t="shared" si="39"/>
        <v>0.63570697265515208</v>
      </c>
      <c r="P13" s="4">
        <f t="shared" si="40"/>
        <v>4.2930273448479328E-3</v>
      </c>
      <c r="Q13" s="4">
        <f t="shared" si="6"/>
        <v>0</v>
      </c>
      <c r="R13" s="4">
        <f t="shared" si="41"/>
        <v>0.36827113769752173</v>
      </c>
      <c r="S13" s="348">
        <f t="shared" si="7"/>
        <v>4.7468270801359456E-4</v>
      </c>
      <c r="T13" s="348">
        <f t="shared" si="8"/>
        <v>0.2</v>
      </c>
      <c r="U13" s="348">
        <f t="shared" si="9"/>
        <v>0.20048229594634551</v>
      </c>
      <c r="V13" s="4">
        <f t="shared" si="42"/>
        <v>0.18227350564749389</v>
      </c>
      <c r="W13" s="348">
        <f t="shared" si="10"/>
        <v>3.3223630861026989E-5</v>
      </c>
      <c r="X13" s="348">
        <f t="shared" si="43"/>
        <v>3.3223630861026989E-5</v>
      </c>
      <c r="Y13" s="4">
        <f t="shared" si="44"/>
        <v>0.18158260521167791</v>
      </c>
      <c r="Z13" s="348">
        <f t="shared" si="11"/>
        <v>3.2972242515460075E-5</v>
      </c>
      <c r="AA13" s="525">
        <f t="shared" si="45"/>
        <v>3.2972242515460075E-5</v>
      </c>
      <c r="AB13" s="348">
        <f t="shared" si="46"/>
        <v>0.2378212485613363</v>
      </c>
      <c r="AC13" s="348">
        <f t="shared" si="12"/>
        <v>6.7870735520727491E-4</v>
      </c>
      <c r="AD13" s="348">
        <f t="shared" si="13"/>
        <v>3.1896124352331606E-2</v>
      </c>
      <c r="AE13" s="348">
        <f t="shared" si="14"/>
        <v>0.71819999999999995</v>
      </c>
      <c r="AF13" s="348">
        <f t="shared" si="15"/>
        <v>0</v>
      </c>
      <c r="AG13" s="348">
        <f t="shared" si="16"/>
        <v>0.75086044694489551</v>
      </c>
      <c r="AH13" s="348">
        <f t="shared" si="17"/>
        <v>0.28118443163474416</v>
      </c>
      <c r="AI13" s="348">
        <f t="shared" si="18"/>
        <v>3.241652068343918E-4</v>
      </c>
      <c r="AJ13" s="348">
        <f t="shared" si="19"/>
        <v>1.3171199999999999E-2</v>
      </c>
      <c r="AK13" s="348">
        <f t="shared" si="20"/>
        <v>1.3496077450116948E-2</v>
      </c>
      <c r="AL13" s="348">
        <f t="shared" si="21"/>
        <v>1.3171199999999999E-2</v>
      </c>
      <c r="AM13" s="348">
        <f t="shared" si="22"/>
        <v>5.9472000000000004E-2</v>
      </c>
      <c r="AN13" s="348">
        <f t="shared" si="23"/>
        <v>6.2386870196072433E-4</v>
      </c>
      <c r="AO13" s="348">
        <f t="shared" si="24"/>
        <v>2.6400000000000001E-5</v>
      </c>
      <c r="AP13" s="348">
        <f t="shared" si="25"/>
        <v>0.34650000000000003</v>
      </c>
      <c r="AQ13" s="348">
        <f t="shared" si="26"/>
        <v>0.61836923076923067</v>
      </c>
      <c r="AR13" s="348">
        <f t="shared" si="27"/>
        <v>0.48509999999999998</v>
      </c>
      <c r="AS13" s="348">
        <f t="shared" si="28"/>
        <v>0.34652640000000001</v>
      </c>
      <c r="AT13" s="348">
        <f t="shared" si="29"/>
        <v>1.384698484916695</v>
      </c>
      <c r="AU13">
        <f t="shared" si="30"/>
        <v>1.6</v>
      </c>
      <c r="AV13" s="526">
        <f t="shared" si="47"/>
        <v>0.53606754855998695</v>
      </c>
      <c r="AW13" s="534">
        <f t="shared" si="31"/>
        <v>33.184702611685609</v>
      </c>
      <c r="AX13" s="534">
        <f t="shared" si="32"/>
        <v>1.34805878421976</v>
      </c>
      <c r="AY13" s="9"/>
      <c r="AZ13" s="4">
        <f t="shared" si="48"/>
        <v>53.606754855998695</v>
      </c>
      <c r="BA13" s="348">
        <f t="shared" si="33"/>
        <v>0.20048229594634551</v>
      </c>
      <c r="BB13" s="348">
        <f t="shared" si="34"/>
        <v>0.82382852439501242</v>
      </c>
      <c r="BC13" s="348">
        <f t="shared" si="35"/>
        <v>0.79011196694489549</v>
      </c>
      <c r="BD13" s="348">
        <f t="shared" si="36"/>
        <v>3.3121837450116952E-2</v>
      </c>
      <c r="BE13" s="348">
        <f t="shared" si="37"/>
        <v>6.2386870196072433E-4</v>
      </c>
      <c r="BJ13" s="18"/>
      <c r="BK13" s="18"/>
      <c r="BL13" s="18"/>
      <c r="BM13" s="19"/>
    </row>
    <row r="14" spans="1:65" x14ac:dyDescent="0.2">
      <c r="A14" s="22" t="s">
        <v>5</v>
      </c>
      <c r="B14" s="5">
        <f>Iout</f>
        <v>8</v>
      </c>
      <c r="C14" s="427" t="s">
        <v>1</v>
      </c>
      <c r="D14" s="21" t="s">
        <v>95</v>
      </c>
      <c r="G14">
        <v>5</v>
      </c>
      <c r="H14" s="531">
        <f t="shared" si="0"/>
        <v>12</v>
      </c>
      <c r="I14" s="4">
        <f t="shared" si="1"/>
        <v>1</v>
      </c>
      <c r="J14" s="348">
        <f t="shared" si="38"/>
        <v>0.4</v>
      </c>
      <c r="K14" s="348">
        <f t="shared" si="2"/>
        <v>0.4</v>
      </c>
      <c r="L14" s="4">
        <f t="shared" si="3"/>
        <v>0.18518518518518517</v>
      </c>
      <c r="M14" s="348">
        <f t="shared" si="4"/>
        <v>0.4171192164471425</v>
      </c>
      <c r="N14" s="4">
        <f t="shared" si="5"/>
        <v>0.6314390424216505</v>
      </c>
      <c r="O14" s="4">
        <f t="shared" si="39"/>
        <v>0.71571952121082527</v>
      </c>
      <c r="P14" s="4">
        <f t="shared" si="40"/>
        <v>8.4280478789174773E-2</v>
      </c>
      <c r="Q14" s="4">
        <f t="shared" si="6"/>
        <v>0</v>
      </c>
      <c r="R14" s="4">
        <f t="shared" si="41"/>
        <v>0.43957510396351035</v>
      </c>
      <c r="S14" s="348">
        <f t="shared" si="7"/>
        <v>6.7629195208585827E-4</v>
      </c>
      <c r="T14" s="348">
        <f t="shared" si="8"/>
        <v>0.2</v>
      </c>
      <c r="U14" s="348">
        <f t="shared" si="9"/>
        <v>0.20068714980042962</v>
      </c>
      <c r="V14" s="4">
        <f t="shared" si="42"/>
        <v>0.18228075055948972</v>
      </c>
      <c r="W14" s="348">
        <f t="shared" si="10"/>
        <v>3.3226272024530915E-5</v>
      </c>
      <c r="X14" s="348">
        <f t="shared" si="43"/>
        <v>3.3226272024530915E-5</v>
      </c>
      <c r="Y14" s="4">
        <f t="shared" si="44"/>
        <v>0.21674698015510308</v>
      </c>
      <c r="Z14" s="348">
        <f t="shared" si="11"/>
        <v>4.6979253406356647E-5</v>
      </c>
      <c r="AA14" s="525">
        <f t="shared" si="45"/>
        <v>4.6979253406356647E-5</v>
      </c>
      <c r="AB14" s="348">
        <f t="shared" si="46"/>
        <v>0.28389855791087554</v>
      </c>
      <c r="AC14" s="348">
        <f t="shared" si="12"/>
        <v>9.6718069420649708E-4</v>
      </c>
      <c r="AD14" s="348">
        <f t="shared" si="13"/>
        <v>3.9870155440414515E-2</v>
      </c>
      <c r="AE14" s="348">
        <f t="shared" si="14"/>
        <v>0.71819999999999995</v>
      </c>
      <c r="AF14" s="348">
        <f t="shared" si="15"/>
        <v>0</v>
      </c>
      <c r="AG14" s="348">
        <f t="shared" si="16"/>
        <v>0.75916068938913406</v>
      </c>
      <c r="AH14" s="348">
        <f t="shared" si="17"/>
        <v>0.335600775983394</v>
      </c>
      <c r="AI14" s="348">
        <f t="shared" si="18"/>
        <v>4.6177431144669035E-4</v>
      </c>
      <c r="AJ14" s="348">
        <f t="shared" si="19"/>
        <v>1.6463999999999999E-2</v>
      </c>
      <c r="AK14" s="348">
        <f t="shared" si="20"/>
        <v>1.6927046833641227E-2</v>
      </c>
      <c r="AL14" s="348">
        <f t="shared" si="21"/>
        <v>1.6463999999999999E-2</v>
      </c>
      <c r="AM14" s="348">
        <f t="shared" si="22"/>
        <v>7.4340000000000003E-2</v>
      </c>
      <c r="AN14" s="348">
        <f t="shared" si="23"/>
        <v>8.8884085131284228E-4</v>
      </c>
      <c r="AO14" s="348">
        <f t="shared" si="24"/>
        <v>2.6400000000000001E-5</v>
      </c>
      <c r="AP14" s="348">
        <f t="shared" si="25"/>
        <v>0.34650000000000003</v>
      </c>
      <c r="AQ14" s="348">
        <f t="shared" si="26"/>
        <v>0.61836923076923067</v>
      </c>
      <c r="AR14" s="348">
        <f t="shared" si="27"/>
        <v>0.48509999999999998</v>
      </c>
      <c r="AS14" s="348">
        <f t="shared" si="28"/>
        <v>0.34652640000000001</v>
      </c>
      <c r="AT14" s="348">
        <f t="shared" si="29"/>
        <v>1.4150743323999486</v>
      </c>
      <c r="AU14">
        <f t="shared" si="30"/>
        <v>2</v>
      </c>
      <c r="AV14" s="526">
        <f t="shared" si="47"/>
        <v>0.58563879006243968</v>
      </c>
      <c r="AW14" s="534">
        <f t="shared" si="31"/>
        <v>33.945453754343632</v>
      </c>
      <c r="AX14" s="534">
        <f t="shared" si="32"/>
        <v>1.6873913461291983</v>
      </c>
      <c r="AY14" s="9"/>
      <c r="AZ14" s="4">
        <f t="shared" si="48"/>
        <v>58.563879006243965</v>
      </c>
      <c r="BA14" s="348">
        <f t="shared" si="33"/>
        <v>0.20068714980042962</v>
      </c>
      <c r="BB14" s="348">
        <f t="shared" si="34"/>
        <v>0.85042773622277523</v>
      </c>
      <c r="BC14" s="348">
        <f t="shared" si="35"/>
        <v>0.80822508938913407</v>
      </c>
      <c r="BD14" s="348">
        <f t="shared" si="36"/>
        <v>4.1459246833641231E-2</v>
      </c>
      <c r="BE14" s="348">
        <f t="shared" si="37"/>
        <v>8.8884085131284228E-4</v>
      </c>
      <c r="BJ14" s="18"/>
      <c r="BK14" s="18"/>
      <c r="BL14" s="18"/>
      <c r="BM14" s="19"/>
    </row>
    <row r="15" spans="1:65" x14ac:dyDescent="0.2">
      <c r="A15" s="23" t="s">
        <v>83</v>
      </c>
      <c r="B15" s="5">
        <f>Ta</f>
        <v>25</v>
      </c>
      <c r="C15" s="427" t="s">
        <v>449</v>
      </c>
      <c r="D15" s="21" t="s">
        <v>96</v>
      </c>
      <c r="G15">
        <v>6</v>
      </c>
      <c r="H15" s="531">
        <f t="shared" si="0"/>
        <v>12</v>
      </c>
      <c r="I15" s="4">
        <f t="shared" si="1"/>
        <v>1</v>
      </c>
      <c r="J15" s="348">
        <f t="shared" si="38"/>
        <v>0.48</v>
      </c>
      <c r="K15" s="348">
        <f t="shared" si="2"/>
        <v>0.48</v>
      </c>
      <c r="L15" s="4">
        <f t="shared" si="3"/>
        <v>0.22222222222222221</v>
      </c>
      <c r="M15" s="348">
        <f t="shared" si="4"/>
        <v>0.4172097383521291</v>
      </c>
      <c r="N15" s="4">
        <f t="shared" si="5"/>
        <v>0.63146409697219996</v>
      </c>
      <c r="O15" s="4">
        <f t="shared" si="39"/>
        <v>0.79573204848609991</v>
      </c>
      <c r="P15" s="4">
        <f t="shared" si="40"/>
        <v>0.1642679515139</v>
      </c>
      <c r="Q15" s="4">
        <f t="shared" si="6"/>
        <v>0</v>
      </c>
      <c r="R15" s="4">
        <f t="shared" si="41"/>
        <v>0.51344805853537223</v>
      </c>
      <c r="S15" s="348">
        <f t="shared" si="7"/>
        <v>9.2270118084810055E-4</v>
      </c>
      <c r="T15" s="348">
        <f t="shared" si="8"/>
        <v>0.2</v>
      </c>
      <c r="U15" s="348">
        <f t="shared" si="9"/>
        <v>0.20093753360481084</v>
      </c>
      <c r="V15" s="4">
        <f t="shared" si="42"/>
        <v>0.18228798318524181</v>
      </c>
      <c r="W15" s="348">
        <f t="shared" si="10"/>
        <v>3.3228908813742999E-5</v>
      </c>
      <c r="X15" s="348">
        <f t="shared" si="43"/>
        <v>3.3228908813742999E-5</v>
      </c>
      <c r="Y15" s="4">
        <f t="shared" si="44"/>
        <v>0.25318028103894358</v>
      </c>
      <c r="Z15" s="348">
        <f t="shared" si="11"/>
        <v>6.4100254706958459E-5</v>
      </c>
      <c r="AA15" s="525">
        <f t="shared" si="45"/>
        <v>6.4100254706958459E-5</v>
      </c>
      <c r="AB15" s="348">
        <f t="shared" si="46"/>
        <v>0.3316452141494568</v>
      </c>
      <c r="AC15" s="348">
        <f t="shared" si="12"/>
        <v>1.3198625768188687E-3</v>
      </c>
      <c r="AD15" s="348">
        <f t="shared" si="13"/>
        <v>4.7844186528497409E-2</v>
      </c>
      <c r="AE15" s="348">
        <f t="shared" si="14"/>
        <v>0.71819999999999995</v>
      </c>
      <c r="AF15" s="348">
        <f t="shared" si="15"/>
        <v>0</v>
      </c>
      <c r="AG15" s="348">
        <f t="shared" si="16"/>
        <v>0.76753423977819402</v>
      </c>
      <c r="AH15" s="348">
        <f t="shared" si="17"/>
        <v>0.3919698467299545</v>
      </c>
      <c r="AI15" s="348">
        <f t="shared" si="18"/>
        <v>6.2992547905656637E-4</v>
      </c>
      <c r="AJ15" s="348">
        <f t="shared" si="19"/>
        <v>1.9756799999999998E-2</v>
      </c>
      <c r="AK15" s="348">
        <f t="shared" si="20"/>
        <v>2.0388816390263499E-2</v>
      </c>
      <c r="AL15" s="348">
        <f t="shared" si="21"/>
        <v>1.9756799999999998E-2</v>
      </c>
      <c r="AM15" s="348">
        <f t="shared" si="22"/>
        <v>8.9207999999999996E-2</v>
      </c>
      <c r="AN15" s="348">
        <f t="shared" si="23"/>
        <v>1.2126929805432178E-3</v>
      </c>
      <c r="AO15" s="348">
        <f t="shared" si="24"/>
        <v>2.6400000000000001E-5</v>
      </c>
      <c r="AP15" s="348">
        <f t="shared" si="25"/>
        <v>0.34650000000000003</v>
      </c>
      <c r="AQ15" s="348">
        <f t="shared" si="26"/>
        <v>0.61836923076923067</v>
      </c>
      <c r="AR15" s="348">
        <f t="shared" si="27"/>
        <v>0.48509999999999998</v>
      </c>
      <c r="AS15" s="348">
        <f t="shared" si="28"/>
        <v>0.34652640000000001</v>
      </c>
      <c r="AT15" s="348">
        <f t="shared" si="29"/>
        <v>1.4456618119173321</v>
      </c>
      <c r="AU15">
        <f t="shared" si="30"/>
        <v>2.4</v>
      </c>
      <c r="AV15" s="526">
        <f t="shared" si="47"/>
        <v>0.62407983784810017</v>
      </c>
      <c r="AW15" s="534">
        <f t="shared" si="31"/>
        <v>34.70928383068415</v>
      </c>
      <c r="AX15" s="534">
        <f t="shared" si="32"/>
        <v>2.0279774750837243</v>
      </c>
      <c r="AY15" s="9"/>
      <c r="AZ15" s="4">
        <f t="shared" si="48"/>
        <v>62.407983784810014</v>
      </c>
      <c r="BA15" s="348">
        <f t="shared" si="33"/>
        <v>0.20093753360481084</v>
      </c>
      <c r="BB15" s="348">
        <f t="shared" si="34"/>
        <v>0.87713105616845743</v>
      </c>
      <c r="BC15" s="348">
        <f t="shared" si="35"/>
        <v>0.82641151977819405</v>
      </c>
      <c r="BD15" s="348">
        <f t="shared" si="36"/>
        <v>4.9827456390263494E-2</v>
      </c>
      <c r="BE15" s="348">
        <f t="shared" si="37"/>
        <v>1.2126929805432178E-3</v>
      </c>
      <c r="BJ15" s="18"/>
      <c r="BK15" s="18"/>
      <c r="BL15" s="18"/>
      <c r="BM15" s="19"/>
    </row>
    <row r="16" spans="1:65" x14ac:dyDescent="0.2">
      <c r="A16" s="435" t="s">
        <v>460</v>
      </c>
      <c r="B16" s="5">
        <f>VCC</f>
        <v>5</v>
      </c>
      <c r="C16" s="427" t="s">
        <v>0</v>
      </c>
      <c r="D16" s="427" t="s">
        <v>459</v>
      </c>
      <c r="G16">
        <v>7</v>
      </c>
      <c r="H16" s="531">
        <f t="shared" si="0"/>
        <v>12</v>
      </c>
      <c r="I16" s="4">
        <f t="shared" si="1"/>
        <v>1</v>
      </c>
      <c r="J16" s="348">
        <f t="shared" si="38"/>
        <v>0.56000000000000005</v>
      </c>
      <c r="K16" s="348">
        <f t="shared" si="2"/>
        <v>0.56000000000000005</v>
      </c>
      <c r="L16" s="4">
        <f t="shared" si="3"/>
        <v>0.25925925925925924</v>
      </c>
      <c r="M16" s="348">
        <f t="shared" si="4"/>
        <v>0.41730026424069311</v>
      </c>
      <c r="N16" s="4">
        <f t="shared" si="5"/>
        <v>0.63148910895914334</v>
      </c>
      <c r="O16" s="4">
        <f t="shared" si="39"/>
        <v>0.87574455447957167</v>
      </c>
      <c r="P16" s="4">
        <f t="shared" si="40"/>
        <v>0.24425544552042838</v>
      </c>
      <c r="Q16" s="4">
        <f t="shared" si="6"/>
        <v>0</v>
      </c>
      <c r="R16" s="4">
        <f t="shared" si="41"/>
        <v>0.58892405387098468</v>
      </c>
      <c r="S16" s="348">
        <f t="shared" si="7"/>
        <v>1.2139103942974206E-3</v>
      </c>
      <c r="T16" s="348">
        <f t="shared" si="8"/>
        <v>0.2</v>
      </c>
      <c r="U16" s="348">
        <f t="shared" si="9"/>
        <v>0.20123345274469479</v>
      </c>
      <c r="V16" s="4">
        <f t="shared" si="42"/>
        <v>0.18229520352393916</v>
      </c>
      <c r="W16" s="348">
        <f t="shared" si="10"/>
        <v>3.3231541227834401E-5</v>
      </c>
      <c r="X16" s="348">
        <f t="shared" si="43"/>
        <v>3.3231541227834401E-5</v>
      </c>
      <c r="Y16" s="4">
        <f t="shared" si="44"/>
        <v>0.29040629981759214</v>
      </c>
      <c r="Z16" s="348">
        <f t="shared" si="11"/>
        <v>8.4335818973745223E-5</v>
      </c>
      <c r="AA16" s="525">
        <f t="shared" si="45"/>
        <v>8.4335818973745223E-5</v>
      </c>
      <c r="AB16" s="348">
        <f t="shared" si="46"/>
        <v>0.38043776600303786</v>
      </c>
      <c r="AC16" s="348">
        <f t="shared" si="12"/>
        <v>1.7367947256165862E-3</v>
      </c>
      <c r="AD16" s="348">
        <f t="shared" si="13"/>
        <v>5.5818217616580318E-2</v>
      </c>
      <c r="AE16" s="348">
        <f t="shared" si="14"/>
        <v>0.71819999999999995</v>
      </c>
      <c r="AF16" s="348">
        <f t="shared" si="15"/>
        <v>0</v>
      </c>
      <c r="AG16" s="348">
        <f t="shared" si="16"/>
        <v>0.77598142937842207</v>
      </c>
      <c r="AH16" s="348">
        <f t="shared" si="17"/>
        <v>0.44955383151125772</v>
      </c>
      <c r="AI16" s="348">
        <f t="shared" si="18"/>
        <v>8.2860445444845427E-4</v>
      </c>
      <c r="AJ16" s="348">
        <f t="shared" si="19"/>
        <v>2.30496E-2</v>
      </c>
      <c r="AK16" s="348">
        <f t="shared" si="20"/>
        <v>2.3881425982516739E-2</v>
      </c>
      <c r="AL16" s="348">
        <f t="shared" si="21"/>
        <v>2.30496E-2</v>
      </c>
      <c r="AM16" s="348">
        <f t="shared" si="22"/>
        <v>0.104076</v>
      </c>
      <c r="AN16" s="348">
        <f t="shared" si="23"/>
        <v>1.5954250896480385E-3</v>
      </c>
      <c r="AO16" s="348">
        <f t="shared" si="24"/>
        <v>2.6400000000000001E-5</v>
      </c>
      <c r="AP16" s="348">
        <f t="shared" si="25"/>
        <v>0.34650000000000003</v>
      </c>
      <c r="AQ16" s="348">
        <f t="shared" si="26"/>
        <v>0.61836923076923067</v>
      </c>
      <c r="AR16" s="348">
        <f t="shared" si="27"/>
        <v>0.48509999999999998</v>
      </c>
      <c r="AS16" s="348">
        <f t="shared" si="28"/>
        <v>0.34652640000000001</v>
      </c>
      <c r="AT16" s="348">
        <f t="shared" si="29"/>
        <v>1.4764613005554832</v>
      </c>
      <c r="AU16">
        <f t="shared" si="30"/>
        <v>2.8000000000000003</v>
      </c>
      <c r="AV16" s="526">
        <f t="shared" si="47"/>
        <v>0.65474695155929485</v>
      </c>
      <c r="AW16" s="534">
        <f t="shared" si="31"/>
        <v>35.476206753893727</v>
      </c>
      <c r="AX16" s="534">
        <f t="shared" si="32"/>
        <v>2.3698187934884314</v>
      </c>
      <c r="AY16" s="9"/>
      <c r="AZ16" s="4">
        <f t="shared" si="48"/>
        <v>65.474695155929481</v>
      </c>
      <c r="BA16" s="348">
        <f t="shared" si="33"/>
        <v>0.20123345274469479</v>
      </c>
      <c r="BB16" s="348">
        <f t="shared" si="34"/>
        <v>0.90393885536093888</v>
      </c>
      <c r="BC16" s="348">
        <f t="shared" si="35"/>
        <v>0.84467158937842202</v>
      </c>
      <c r="BD16" s="348">
        <f t="shared" si="36"/>
        <v>5.8226505982516739E-2</v>
      </c>
      <c r="BE16" s="348">
        <f t="shared" si="37"/>
        <v>1.5954250896480385E-3</v>
      </c>
      <c r="BJ16" s="18"/>
      <c r="BK16" s="18"/>
      <c r="BL16" s="18"/>
      <c r="BM16" s="19"/>
    </row>
    <row r="17" spans="1:65" x14ac:dyDescent="0.2">
      <c r="A17" s="24" t="s">
        <v>58</v>
      </c>
      <c r="B17" s="16" t="s">
        <v>111</v>
      </c>
      <c r="C17" s="24" t="s">
        <v>76</v>
      </c>
      <c r="D17" s="17" t="s">
        <v>107</v>
      </c>
      <c r="G17">
        <v>8</v>
      </c>
      <c r="H17" s="531">
        <f t="shared" si="0"/>
        <v>12</v>
      </c>
      <c r="I17" s="4">
        <f t="shared" si="1"/>
        <v>1</v>
      </c>
      <c r="J17" s="348">
        <f t="shared" si="38"/>
        <v>0.64</v>
      </c>
      <c r="K17" s="348">
        <f t="shared" si="2"/>
        <v>0.64</v>
      </c>
      <c r="L17" s="4">
        <f t="shared" si="3"/>
        <v>0.29629629629629628</v>
      </c>
      <c r="M17" s="348">
        <f t="shared" si="4"/>
        <v>0.41739079411309721</v>
      </c>
      <c r="N17" s="4">
        <f t="shared" si="5"/>
        <v>0.63151407837967077</v>
      </c>
      <c r="O17" s="4">
        <f t="shared" si="39"/>
        <v>0.95575703918983534</v>
      </c>
      <c r="P17" s="4">
        <f t="shared" si="40"/>
        <v>0.32424296081016463</v>
      </c>
      <c r="Q17" s="4">
        <f t="shared" si="6"/>
        <v>0</v>
      </c>
      <c r="R17" s="4">
        <f t="shared" si="41"/>
        <v>0.66545786438059107</v>
      </c>
      <c r="S17" s="348">
        <f t="shared" si="7"/>
        <v>1.5499195924309199E-3</v>
      </c>
      <c r="T17" s="348">
        <f t="shared" si="8"/>
        <v>0.2</v>
      </c>
      <c r="U17" s="348">
        <f t="shared" si="9"/>
        <v>0.20157491358506358</v>
      </c>
      <c r="V17" s="4">
        <f t="shared" si="42"/>
        <v>0.18230241157477067</v>
      </c>
      <c r="W17" s="348">
        <f t="shared" si="10"/>
        <v>3.3234169265977083E-5</v>
      </c>
      <c r="X17" s="348">
        <f t="shared" si="43"/>
        <v>3.3234169265977083E-5</v>
      </c>
      <c r="Y17" s="4">
        <f t="shared" si="44"/>
        <v>0.32815623954835355</v>
      </c>
      <c r="Z17" s="348">
        <f t="shared" si="11"/>
        <v>1.076865175545164E-4</v>
      </c>
      <c r="AA17" s="525">
        <f t="shared" si="45"/>
        <v>1.076865175545164E-4</v>
      </c>
      <c r="AB17" s="348">
        <f t="shared" si="46"/>
        <v>0.42992430213973698</v>
      </c>
      <c r="AC17" s="348">
        <f t="shared" si="12"/>
        <v>2.2180188668440783E-3</v>
      </c>
      <c r="AD17" s="348">
        <f t="shared" si="13"/>
        <v>6.3792248704663213E-2</v>
      </c>
      <c r="AE17" s="348">
        <f t="shared" si="14"/>
        <v>0.71819999999999995</v>
      </c>
      <c r="AF17" s="348">
        <f t="shared" si="15"/>
        <v>0</v>
      </c>
      <c r="AG17" s="348">
        <f t="shared" si="16"/>
        <v>0.78450259455288263</v>
      </c>
      <c r="AH17" s="348">
        <f t="shared" si="17"/>
        <v>0.50793627916859529</v>
      </c>
      <c r="AI17" s="348">
        <f t="shared" si="18"/>
        <v>1.0577969811521124E-3</v>
      </c>
      <c r="AJ17" s="348">
        <f t="shared" si="19"/>
        <v>2.6342399999999998E-2</v>
      </c>
      <c r="AK17" s="348">
        <f t="shared" si="20"/>
        <v>2.7404916363945708E-2</v>
      </c>
      <c r="AL17" s="348">
        <f t="shared" si="21"/>
        <v>2.6342399999999998E-2</v>
      </c>
      <c r="AM17" s="348">
        <f t="shared" si="22"/>
        <v>0.11894400000000001</v>
      </c>
      <c r="AN17" s="348">
        <f t="shared" si="23"/>
        <v>2.0370371786234947E-3</v>
      </c>
      <c r="AO17" s="348">
        <f t="shared" si="24"/>
        <v>2.6400000000000001E-5</v>
      </c>
      <c r="AP17" s="348">
        <f t="shared" si="25"/>
        <v>0.34650000000000003</v>
      </c>
      <c r="AQ17" s="348">
        <f t="shared" si="26"/>
        <v>0.61836923076923067</v>
      </c>
      <c r="AR17" s="348">
        <f t="shared" si="27"/>
        <v>0.48509999999999998</v>
      </c>
      <c r="AS17" s="348">
        <f t="shared" si="28"/>
        <v>0.34652640000000001</v>
      </c>
      <c r="AT17" s="348">
        <f t="shared" si="29"/>
        <v>1.5074731823673362</v>
      </c>
      <c r="AU17">
        <f t="shared" si="30"/>
        <v>3.2</v>
      </c>
      <c r="AV17" s="526">
        <f t="shared" si="47"/>
        <v>0.67977020283114076</v>
      </c>
      <c r="AW17" s="534">
        <f t="shared" si="31"/>
        <v>36.246236651221068</v>
      </c>
      <c r="AX17" s="534">
        <f t="shared" si="32"/>
        <v>2.7129169600125911</v>
      </c>
      <c r="AY17" s="9"/>
      <c r="AZ17" s="4">
        <f t="shared" si="48"/>
        <v>67.977020283114072</v>
      </c>
      <c r="BA17" s="348">
        <f t="shared" si="33"/>
        <v>0.20157491358506358</v>
      </c>
      <c r="BB17" s="348">
        <f t="shared" si="34"/>
        <v>0.93085151091682838</v>
      </c>
      <c r="BC17" s="348">
        <f t="shared" si="35"/>
        <v>0.86300563455288259</v>
      </c>
      <c r="BD17" s="348">
        <f t="shared" si="36"/>
        <v>6.665643636394572E-2</v>
      </c>
      <c r="BE17" s="348">
        <f t="shared" si="37"/>
        <v>2.0370371786234947E-3</v>
      </c>
      <c r="BJ17" s="18"/>
      <c r="BK17" s="18"/>
      <c r="BL17" s="18"/>
      <c r="BM17" s="19"/>
    </row>
    <row r="18" spans="1:65" x14ac:dyDescent="0.2">
      <c r="A18" s="35" t="s">
        <v>56</v>
      </c>
      <c r="B18" s="38">
        <f>Lf*1000000</f>
        <v>2.2000000000000002</v>
      </c>
      <c r="C18" s="428" t="s">
        <v>10</v>
      </c>
      <c r="D18" s="427" t="s">
        <v>452</v>
      </c>
      <c r="G18">
        <v>9</v>
      </c>
      <c r="H18" s="531">
        <f t="shared" si="0"/>
        <v>12</v>
      </c>
      <c r="I18" s="4">
        <f t="shared" si="1"/>
        <v>1</v>
      </c>
      <c r="J18" s="348">
        <f t="shared" si="38"/>
        <v>0.72</v>
      </c>
      <c r="K18" s="348">
        <f t="shared" si="2"/>
        <v>0.72</v>
      </c>
      <c r="L18" s="4">
        <f t="shared" si="3"/>
        <v>0.33333333333333326</v>
      </c>
      <c r="M18" s="348">
        <f t="shared" si="4"/>
        <v>0.41748132796960469</v>
      </c>
      <c r="N18" s="4">
        <f t="shared" si="5"/>
        <v>0.63153900523097217</v>
      </c>
      <c r="O18" s="4">
        <f t="shared" si="39"/>
        <v>1.0357695026154861</v>
      </c>
      <c r="P18" s="4">
        <f t="shared" si="40"/>
        <v>0.40423049738451389</v>
      </c>
      <c r="Q18" s="4">
        <f t="shared" si="6"/>
        <v>0</v>
      </c>
      <c r="R18" s="4">
        <f t="shared" si="41"/>
        <v>0.74272255447599256</v>
      </c>
      <c r="S18" s="348">
        <f t="shared" si="7"/>
        <v>1.930728775245703E-3</v>
      </c>
      <c r="T18" s="348">
        <f t="shared" si="8"/>
        <v>0.2</v>
      </c>
      <c r="U18" s="348">
        <f t="shared" si="9"/>
        <v>0.20196192347101766</v>
      </c>
      <c r="V18" s="4">
        <f t="shared" si="42"/>
        <v>0.18230960733692514</v>
      </c>
      <c r="W18" s="348">
        <f t="shared" si="10"/>
        <v>3.3236792927343825E-5</v>
      </c>
      <c r="X18" s="348">
        <f t="shared" si="43"/>
        <v>3.3236792927343825E-5</v>
      </c>
      <c r="Y18" s="4">
        <f t="shared" si="44"/>
        <v>0.36626891840302223</v>
      </c>
      <c r="Z18" s="348">
        <f t="shared" si="11"/>
        <v>1.3415292058811977E-4</v>
      </c>
      <c r="AA18" s="525">
        <f t="shared" si="45"/>
        <v>1.3415292058811977E-4</v>
      </c>
      <c r="AB18" s="348">
        <f t="shared" si="46"/>
        <v>0.4798938016563678</v>
      </c>
      <c r="AC18" s="348">
        <f t="shared" si="12"/>
        <v>2.7635767304184156E-3</v>
      </c>
      <c r="AD18" s="348">
        <f t="shared" si="13"/>
        <v>7.1766279792746121E-2</v>
      </c>
      <c r="AE18" s="348">
        <f t="shared" si="14"/>
        <v>0.71819999999999995</v>
      </c>
      <c r="AF18" s="348">
        <f t="shared" si="15"/>
        <v>0</v>
      </c>
      <c r="AG18" s="348">
        <f t="shared" si="16"/>
        <v>0.79309807680468392</v>
      </c>
      <c r="AH18" s="348">
        <f t="shared" si="17"/>
        <v>0.56686747310032037</v>
      </c>
      <c r="AI18" s="348">
        <f t="shared" si="18"/>
        <v>1.3174888014424839E-3</v>
      </c>
      <c r="AJ18" s="348">
        <f t="shared" si="19"/>
        <v>2.9635199999999997E-2</v>
      </c>
      <c r="AK18" s="348">
        <f t="shared" si="20"/>
        <v>3.0959329180556359E-2</v>
      </c>
      <c r="AL18" s="348">
        <f t="shared" si="21"/>
        <v>2.9635199999999997E-2</v>
      </c>
      <c r="AM18" s="348">
        <f t="shared" si="22"/>
        <v>0.13381199999999999</v>
      </c>
      <c r="AN18" s="348">
        <f t="shared" si="23"/>
        <v>2.5375292474657811E-3</v>
      </c>
      <c r="AO18" s="348">
        <f t="shared" si="24"/>
        <v>2.6400000000000001E-5</v>
      </c>
      <c r="AP18" s="348">
        <f t="shared" si="25"/>
        <v>0.34650000000000003</v>
      </c>
      <c r="AQ18" s="348">
        <f t="shared" si="26"/>
        <v>0.61836923076923067</v>
      </c>
      <c r="AR18" s="348">
        <f t="shared" si="27"/>
        <v>0.48509999999999998</v>
      </c>
      <c r="AS18" s="348">
        <f t="shared" si="28"/>
        <v>0.34652640000000001</v>
      </c>
      <c r="AT18" s="348">
        <f t="shared" si="29"/>
        <v>1.5386978484172393</v>
      </c>
      <c r="AU18">
        <f t="shared" si="30"/>
        <v>3.5999999999999996</v>
      </c>
      <c r="AV18" s="526">
        <f t="shared" si="47"/>
        <v>0.70056658441375941</v>
      </c>
      <c r="AW18" s="534">
        <f t="shared" si="31"/>
        <v>37.019387865796723</v>
      </c>
      <c r="AX18" s="534">
        <f t="shared" si="32"/>
        <v>3.0572736696486436</v>
      </c>
      <c r="AY18" s="9"/>
      <c r="AZ18" s="4">
        <f t="shared" si="48"/>
        <v>70.056658441375944</v>
      </c>
      <c r="BA18" s="348">
        <f t="shared" si="33"/>
        <v>0.20196192347101766</v>
      </c>
      <c r="BB18" s="348">
        <f t="shared" si="34"/>
        <v>0.95786940598524017</v>
      </c>
      <c r="BC18" s="348">
        <f t="shared" si="35"/>
        <v>0.88141399680468391</v>
      </c>
      <c r="BD18" s="348">
        <f t="shared" si="36"/>
        <v>7.5117289180556351E-2</v>
      </c>
      <c r="BE18" s="348">
        <f t="shared" si="37"/>
        <v>2.5375292474657811E-3</v>
      </c>
      <c r="BK18" s="18"/>
      <c r="BL18" s="19"/>
    </row>
    <row r="19" spans="1:65" x14ac:dyDescent="0.2">
      <c r="A19" s="35" t="s">
        <v>11</v>
      </c>
      <c r="B19" s="39">
        <f>Rdcr*1000</f>
        <v>3.5</v>
      </c>
      <c r="C19" s="429" t="s">
        <v>450</v>
      </c>
      <c r="D19" s="427" t="s">
        <v>453</v>
      </c>
      <c r="G19">
        <v>10</v>
      </c>
      <c r="H19" s="531">
        <f t="shared" si="0"/>
        <v>12</v>
      </c>
      <c r="I19" s="4">
        <f t="shared" si="1"/>
        <v>1</v>
      </c>
      <c r="J19" s="348">
        <f t="shared" si="38"/>
        <v>0.8</v>
      </c>
      <c r="K19" s="348">
        <f t="shared" si="2"/>
        <v>0.8</v>
      </c>
      <c r="L19" s="4">
        <f t="shared" si="3"/>
        <v>0.37037037037037035</v>
      </c>
      <c r="M19" s="348">
        <f t="shared" si="4"/>
        <v>0.41757186581047828</v>
      </c>
      <c r="N19" s="4">
        <f t="shared" si="5"/>
        <v>0.63156388951023767</v>
      </c>
      <c r="O19" s="4">
        <f t="shared" si="39"/>
        <v>1.1157819447551189</v>
      </c>
      <c r="P19" s="4">
        <f t="shared" si="40"/>
        <v>0.48421805524488121</v>
      </c>
      <c r="Q19" s="4">
        <f t="shared" si="6"/>
        <v>0</v>
      </c>
      <c r="R19" s="4">
        <f t="shared" si="41"/>
        <v>0.82051167707175765</v>
      </c>
      <c r="S19" s="348">
        <f t="shared" si="7"/>
        <v>2.3563379427388792E-3</v>
      </c>
      <c r="T19" s="348">
        <f t="shared" si="8"/>
        <v>0.2</v>
      </c>
      <c r="U19" s="348">
        <f t="shared" si="9"/>
        <v>0.2023944907281712</v>
      </c>
      <c r="V19" s="4">
        <f t="shared" si="42"/>
        <v>0.1823167908095914</v>
      </c>
      <c r="W19" s="348">
        <f t="shared" si="10"/>
        <v>3.3239412211108317E-5</v>
      </c>
      <c r="X19" s="348">
        <f t="shared" si="43"/>
        <v>3.3239412211108317E-5</v>
      </c>
      <c r="Y19" s="4">
        <f t="shared" si="44"/>
        <v>0.40464255461355014</v>
      </c>
      <c r="Z19" s="348">
        <f t="shared" si="11"/>
        <v>1.6373559700417993E-4</v>
      </c>
      <c r="AA19" s="525">
        <f t="shared" si="45"/>
        <v>1.6373559700417993E-4</v>
      </c>
      <c r="AB19" s="348">
        <f t="shared" si="46"/>
        <v>0.53021301143421795</v>
      </c>
      <c r="AC19" s="348">
        <f t="shared" si="12"/>
        <v>3.3735100499297059E-3</v>
      </c>
      <c r="AD19" s="348">
        <f t="shared" si="13"/>
        <v>7.974031088082903E-2</v>
      </c>
      <c r="AE19" s="348">
        <f t="shared" si="14"/>
        <v>0.71819999999999995</v>
      </c>
      <c r="AF19" s="348">
        <f t="shared" si="15"/>
        <v>0</v>
      </c>
      <c r="AG19" s="348">
        <f t="shared" si="16"/>
        <v>0.80176822282120208</v>
      </c>
      <c r="AH19" s="348">
        <f t="shared" si="17"/>
        <v>0.62618972741251999</v>
      </c>
      <c r="AI19" s="348">
        <f t="shared" si="18"/>
        <v>1.6076656563395609E-3</v>
      </c>
      <c r="AJ19" s="348">
        <f t="shared" si="19"/>
        <v>3.2927999999999999E-2</v>
      </c>
      <c r="AK19" s="348">
        <f t="shared" si="20"/>
        <v>3.4544706972330017E-2</v>
      </c>
      <c r="AL19" s="348">
        <f t="shared" si="21"/>
        <v>3.2927999999999999E-2</v>
      </c>
      <c r="AM19" s="348">
        <f t="shared" si="22"/>
        <v>0.14868000000000001</v>
      </c>
      <c r="AN19" s="348">
        <f t="shared" si="23"/>
        <v>3.0969012961710981E-3</v>
      </c>
      <c r="AO19" s="348">
        <f t="shared" si="24"/>
        <v>2.6400000000000001E-5</v>
      </c>
      <c r="AP19" s="348">
        <f t="shared" si="25"/>
        <v>0.34650000000000003</v>
      </c>
      <c r="AQ19" s="348">
        <f t="shared" si="26"/>
        <v>0.61836923076923067</v>
      </c>
      <c r="AR19" s="348">
        <f t="shared" si="27"/>
        <v>0.48509999999999998</v>
      </c>
      <c r="AS19" s="348">
        <f t="shared" si="28"/>
        <v>0.34652640000000001</v>
      </c>
      <c r="AT19" s="348">
        <f t="shared" si="29"/>
        <v>1.5701356968270896</v>
      </c>
      <c r="AU19">
        <f t="shared" si="30"/>
        <v>4</v>
      </c>
      <c r="AV19" s="526">
        <f t="shared" si="47"/>
        <v>0.7181153597889034</v>
      </c>
      <c r="AW19" s="534">
        <f t="shared" si="31"/>
        <v>37.795674958490487</v>
      </c>
      <c r="AX19" s="534">
        <f t="shared" si="32"/>
        <v>3.4028906537738317</v>
      </c>
      <c r="AY19" s="9"/>
      <c r="AZ19" s="4">
        <f t="shared" si="48"/>
        <v>71.811535978890333</v>
      </c>
      <c r="BA19" s="348">
        <f t="shared" si="33"/>
        <v>0.2023944907281712</v>
      </c>
      <c r="BB19" s="348">
        <f t="shared" si="34"/>
        <v>0.98499292979353215</v>
      </c>
      <c r="BC19" s="348">
        <f t="shared" si="35"/>
        <v>0.8998970228212021</v>
      </c>
      <c r="BD19" s="348">
        <f t="shared" si="36"/>
        <v>8.3609106972330011E-2</v>
      </c>
      <c r="BE19" s="348">
        <f t="shared" si="37"/>
        <v>3.0969012961710981E-3</v>
      </c>
      <c r="BK19" s="18"/>
      <c r="BL19" s="19"/>
    </row>
    <row r="20" spans="1:65" x14ac:dyDescent="0.2">
      <c r="A20" s="35" t="s">
        <v>82</v>
      </c>
      <c r="B20" s="39">
        <f>Ltc*1000000</f>
        <v>4000</v>
      </c>
      <c r="C20" s="428" t="s">
        <v>81</v>
      </c>
      <c r="D20" s="21" t="s">
        <v>97</v>
      </c>
      <c r="G20">
        <v>11</v>
      </c>
      <c r="H20" s="531">
        <f t="shared" si="0"/>
        <v>12</v>
      </c>
      <c r="I20" s="4">
        <f t="shared" si="1"/>
        <v>1</v>
      </c>
      <c r="J20" s="348">
        <f t="shared" si="38"/>
        <v>0.88</v>
      </c>
      <c r="K20" s="348">
        <f t="shared" si="2"/>
        <v>0.88</v>
      </c>
      <c r="L20" s="4">
        <f t="shared" si="3"/>
        <v>0.40740740740740744</v>
      </c>
      <c r="M20" s="348">
        <f t="shared" si="4"/>
        <v>0.41766240763598117</v>
      </c>
      <c r="N20" s="4">
        <f t="shared" si="5"/>
        <v>0.63158873121465653</v>
      </c>
      <c r="O20" s="4">
        <f t="shared" si="39"/>
        <v>1.1957943656073282</v>
      </c>
      <c r="P20" s="4">
        <f t="shared" si="40"/>
        <v>0.5642056343926718</v>
      </c>
      <c r="Q20" s="4">
        <f t="shared" si="6"/>
        <v>0</v>
      </c>
      <c r="R20" s="4">
        <f t="shared" si="41"/>
        <v>0.89868906030753759</v>
      </c>
      <c r="S20" s="348">
        <f t="shared" si="7"/>
        <v>2.8267470949075572E-3</v>
      </c>
      <c r="T20" s="348">
        <f t="shared" si="8"/>
        <v>0.2</v>
      </c>
      <c r="U20" s="348">
        <f t="shared" si="9"/>
        <v>0.20287262466309977</v>
      </c>
      <c r="V20" s="4">
        <f t="shared" si="42"/>
        <v>0.18232396199195808</v>
      </c>
      <c r="W20" s="348">
        <f t="shared" si="10"/>
        <v>3.3242027116444972E-5</v>
      </c>
      <c r="X20" s="348">
        <f t="shared" si="43"/>
        <v>3.3242027116444972E-5</v>
      </c>
      <c r="Y20" s="4">
        <f t="shared" si="44"/>
        <v>0.4432100117583383</v>
      </c>
      <c r="Z20" s="348">
        <f t="shared" si="11"/>
        <v>1.9643511452282637E-4</v>
      </c>
      <c r="AA20" s="525">
        <f t="shared" si="45"/>
        <v>1.9643511452282637E-4</v>
      </c>
      <c r="AB20" s="348">
        <f t="shared" si="46"/>
        <v>0.58079403711940669</v>
      </c>
      <c r="AC20" s="348">
        <f t="shared" si="12"/>
        <v>4.0478605626415049E-3</v>
      </c>
      <c r="AD20" s="348">
        <f t="shared" si="13"/>
        <v>8.7714341968911924E-2</v>
      </c>
      <c r="AE20" s="348">
        <f t="shared" si="14"/>
        <v>0.71819999999999995</v>
      </c>
      <c r="AF20" s="348">
        <f t="shared" si="15"/>
        <v>0</v>
      </c>
      <c r="AG20" s="348">
        <f t="shared" si="16"/>
        <v>0.81051338451922106</v>
      </c>
      <c r="AH20" s="348">
        <f t="shared" si="17"/>
        <v>0.68579903292654631</v>
      </c>
      <c r="AI20" s="348">
        <f t="shared" si="18"/>
        <v>1.9283132856082429E-3</v>
      </c>
      <c r="AJ20" s="348">
        <f t="shared" si="19"/>
        <v>3.6220799999999997E-2</v>
      </c>
      <c r="AK20" s="348">
        <f t="shared" si="20"/>
        <v>3.8161093174802506E-2</v>
      </c>
      <c r="AL20" s="348">
        <f t="shared" si="21"/>
        <v>3.6220799999999997E-2</v>
      </c>
      <c r="AM20" s="348">
        <f t="shared" si="22"/>
        <v>0.16354799999999997</v>
      </c>
      <c r="AN20" s="348">
        <f t="shared" si="23"/>
        <v>3.7151533247356469E-3</v>
      </c>
      <c r="AO20" s="348">
        <f t="shared" si="24"/>
        <v>2.6400000000000001E-5</v>
      </c>
      <c r="AP20" s="348">
        <f t="shared" si="25"/>
        <v>0.34650000000000003</v>
      </c>
      <c r="AQ20" s="348">
        <f t="shared" si="26"/>
        <v>0.61836923076923067</v>
      </c>
      <c r="AR20" s="348">
        <f t="shared" si="27"/>
        <v>0.48509999999999998</v>
      </c>
      <c r="AS20" s="348">
        <f t="shared" si="28"/>
        <v>0.34652640000000001</v>
      </c>
      <c r="AT20" s="348">
        <f t="shared" si="29"/>
        <v>1.6017871328234983</v>
      </c>
      <c r="AU20">
        <f t="shared" si="30"/>
        <v>4.4000000000000004</v>
      </c>
      <c r="AV20" s="526">
        <f t="shared" si="47"/>
        <v>0.7331149710286462</v>
      </c>
      <c r="AW20" s="534">
        <f t="shared" si="31"/>
        <v>38.575112709807286</v>
      </c>
      <c r="AX20" s="534">
        <f t="shared" si="32"/>
        <v>3.7497696802144622</v>
      </c>
      <c r="AY20" s="9"/>
      <c r="AZ20" s="4">
        <f t="shared" si="48"/>
        <v>73.311497102864621</v>
      </c>
      <c r="BA20" s="348">
        <f t="shared" si="33"/>
        <v>0.20287262466309977</v>
      </c>
      <c r="BB20" s="348">
        <f t="shared" si="34"/>
        <v>1.0122224776940236</v>
      </c>
      <c r="BC20" s="348">
        <f t="shared" si="35"/>
        <v>0.9184550645192211</v>
      </c>
      <c r="BD20" s="348">
        <f t="shared" si="36"/>
        <v>9.2131933174802505E-2</v>
      </c>
      <c r="BE20" s="348">
        <f t="shared" si="37"/>
        <v>3.7151533247356469E-3</v>
      </c>
      <c r="BK20" s="18"/>
      <c r="BL20" s="19"/>
    </row>
    <row r="21" spans="1:65" x14ac:dyDescent="0.2">
      <c r="A21" s="25" t="s">
        <v>129</v>
      </c>
      <c r="B21" s="39">
        <f>ThetaCa</f>
        <v>20</v>
      </c>
      <c r="C21" s="428" t="s">
        <v>202</v>
      </c>
      <c r="D21" s="26" t="s">
        <v>130</v>
      </c>
      <c r="G21">
        <v>12</v>
      </c>
      <c r="H21" s="531">
        <f t="shared" si="0"/>
        <v>12</v>
      </c>
      <c r="I21" s="4">
        <f t="shared" si="1"/>
        <v>1</v>
      </c>
      <c r="J21" s="348">
        <f t="shared" si="38"/>
        <v>0.96</v>
      </c>
      <c r="K21" s="348">
        <f t="shared" si="2"/>
        <v>0.96</v>
      </c>
      <c r="L21" s="4">
        <f t="shared" si="3"/>
        <v>0.44444444444444442</v>
      </c>
      <c r="M21" s="348">
        <f t="shared" si="4"/>
        <v>0.41775295344637653</v>
      </c>
      <c r="N21" s="4">
        <f t="shared" si="5"/>
        <v>0.63161353034141854</v>
      </c>
      <c r="O21" s="4">
        <f t="shared" si="39"/>
        <v>1.2758067651707092</v>
      </c>
      <c r="P21" s="4">
        <f t="shared" si="40"/>
        <v>0.6441932348292907</v>
      </c>
      <c r="Q21" s="4">
        <f t="shared" si="6"/>
        <v>0</v>
      </c>
      <c r="R21" s="4">
        <f t="shared" si="41"/>
        <v>0.97716152075413265</v>
      </c>
      <c r="S21" s="348">
        <f t="shared" si="7"/>
        <v>3.3419562317488524E-3</v>
      </c>
      <c r="T21" s="348">
        <f t="shared" si="8"/>
        <v>0.2</v>
      </c>
      <c r="U21" s="348">
        <f t="shared" si="9"/>
        <v>0.20339633556384107</v>
      </c>
      <c r="V21" s="4">
        <f t="shared" si="42"/>
        <v>0.18233112088321393</v>
      </c>
      <c r="W21" s="348">
        <f t="shared" si="10"/>
        <v>3.3244637642529173E-5</v>
      </c>
      <c r="X21" s="348">
        <f t="shared" si="43"/>
        <v>3.3244637642529173E-5</v>
      </c>
      <c r="Y21" s="4">
        <f t="shared" si="44"/>
        <v>0.48192534655735048</v>
      </c>
      <c r="Z21" s="348">
        <f t="shared" si="11"/>
        <v>2.3225203965442236E-4</v>
      </c>
      <c r="AA21" s="525">
        <f t="shared" si="45"/>
        <v>2.3225203965442236E-4</v>
      </c>
      <c r="AB21" s="348">
        <f t="shared" si="46"/>
        <v>0.63157673125092395</v>
      </c>
      <c r="AC21" s="348">
        <f t="shared" si="12"/>
        <v>4.7866700094912219E-3</v>
      </c>
      <c r="AD21" s="348">
        <f t="shared" si="13"/>
        <v>9.5688373056994819E-2</v>
      </c>
      <c r="AE21" s="348">
        <f t="shared" si="14"/>
        <v>0.71819999999999995</v>
      </c>
      <c r="AF21" s="348">
        <f t="shared" si="15"/>
        <v>0</v>
      </c>
      <c r="AG21" s="348">
        <f t="shared" si="16"/>
        <v>0.81933391909099562</v>
      </c>
      <c r="AH21" s="348">
        <f t="shared" si="17"/>
        <v>0.74562421512778632</v>
      </c>
      <c r="AI21" s="348">
        <f t="shared" si="18"/>
        <v>2.2794174277582023E-3</v>
      </c>
      <c r="AJ21" s="348">
        <f t="shared" si="19"/>
        <v>3.9513599999999996E-2</v>
      </c>
      <c r="AK21" s="348">
        <f t="shared" si="20"/>
        <v>4.1808532120708272E-2</v>
      </c>
      <c r="AL21" s="348">
        <f t="shared" si="21"/>
        <v>3.9513599999999996E-2</v>
      </c>
      <c r="AM21" s="348">
        <f t="shared" si="22"/>
        <v>0.17841599999999999</v>
      </c>
      <c r="AN21" s="348">
        <f t="shared" si="23"/>
        <v>4.3922853331556343E-3</v>
      </c>
      <c r="AO21" s="348">
        <f t="shared" si="24"/>
        <v>2.6400000000000001E-5</v>
      </c>
      <c r="AP21" s="348">
        <f t="shared" si="25"/>
        <v>0.34650000000000003</v>
      </c>
      <c r="AQ21" s="348">
        <f t="shared" si="26"/>
        <v>0.61836923076923067</v>
      </c>
      <c r="AR21" s="348">
        <f t="shared" si="27"/>
        <v>0.48509999999999998</v>
      </c>
      <c r="AS21" s="348">
        <f t="shared" si="28"/>
        <v>0.34652640000000001</v>
      </c>
      <c r="AT21" s="348">
        <f t="shared" si="29"/>
        <v>1.6336525687859977</v>
      </c>
      <c r="AU21">
        <f t="shared" si="30"/>
        <v>4.8</v>
      </c>
      <c r="AV21" s="526">
        <f t="shared" si="47"/>
        <v>0.74607696773805421</v>
      </c>
      <c r="AW21" s="534">
        <f t="shared" si="31"/>
        <v>39.357716121821817</v>
      </c>
      <c r="AX21" s="534">
        <f t="shared" si="32"/>
        <v>4.0979125533128267</v>
      </c>
      <c r="AY21" s="9"/>
      <c r="AZ21" s="4">
        <f t="shared" si="48"/>
        <v>74.607696773805415</v>
      </c>
      <c r="BA21" s="348">
        <f t="shared" si="33"/>
        <v>0.20339633556384107</v>
      </c>
      <c r="BB21" s="348">
        <f t="shared" si="34"/>
        <v>1.0395584512117038</v>
      </c>
      <c r="BC21" s="348">
        <f t="shared" si="35"/>
        <v>0.93708847909099557</v>
      </c>
      <c r="BD21" s="348">
        <f t="shared" si="36"/>
        <v>0.10068581212070826</v>
      </c>
      <c r="BE21" s="348">
        <f t="shared" si="37"/>
        <v>4.3922853331556343E-3</v>
      </c>
      <c r="BK21" s="18"/>
      <c r="BL21" s="19"/>
    </row>
    <row r="22" spans="1:65" x14ac:dyDescent="0.2">
      <c r="A22" s="36" t="s">
        <v>57</v>
      </c>
      <c r="B22" s="39">
        <f>Cin*1000000</f>
        <v>30</v>
      </c>
      <c r="C22" s="430" t="s">
        <v>451</v>
      </c>
      <c r="D22" s="427" t="s">
        <v>468</v>
      </c>
      <c r="G22">
        <v>13</v>
      </c>
      <c r="H22" s="531">
        <f t="shared" si="0"/>
        <v>12</v>
      </c>
      <c r="I22" s="4">
        <f t="shared" si="1"/>
        <v>1</v>
      </c>
      <c r="J22" s="348">
        <f t="shared" si="38"/>
        <v>1.04</v>
      </c>
      <c r="K22" s="348">
        <f t="shared" si="2"/>
        <v>1.04</v>
      </c>
      <c r="L22" s="4">
        <f t="shared" si="3"/>
        <v>0.48148148148148145</v>
      </c>
      <c r="M22" s="348">
        <f t="shared" si="4"/>
        <v>0.41784350324192721</v>
      </c>
      <c r="N22" s="4">
        <f t="shared" si="5"/>
        <v>0.63163828688771217</v>
      </c>
      <c r="O22" s="4">
        <f t="shared" si="39"/>
        <v>1.3558191434438562</v>
      </c>
      <c r="P22" s="4">
        <f t="shared" si="40"/>
        <v>0.72418085655614395</v>
      </c>
      <c r="Q22" s="4">
        <f t="shared" si="6"/>
        <v>0</v>
      </c>
      <c r="R22" s="4">
        <f t="shared" si="41"/>
        <v>1.0558632694570529</v>
      </c>
      <c r="S22" s="348">
        <f t="shared" si="7"/>
        <v>3.90196535325988E-3</v>
      </c>
      <c r="T22" s="348">
        <f t="shared" si="8"/>
        <v>0.2</v>
      </c>
      <c r="U22" s="348">
        <f t="shared" si="9"/>
        <v>0.20396563470044843</v>
      </c>
      <c r="V22" s="4">
        <f t="shared" si="42"/>
        <v>0.18233826748254736</v>
      </c>
      <c r="W22" s="348">
        <f t="shared" si="10"/>
        <v>3.3247243788536987E-5</v>
      </c>
      <c r="X22" s="348">
        <f t="shared" si="43"/>
        <v>3.3247243788536987E-5</v>
      </c>
      <c r="Y22" s="4">
        <f t="shared" si="44"/>
        <v>0.5207561211347328</v>
      </c>
      <c r="Z22" s="348">
        <f t="shared" si="11"/>
        <v>2.7118693769929248E-4</v>
      </c>
      <c r="AA22" s="525">
        <f t="shared" si="45"/>
        <v>2.7118693769929248E-4</v>
      </c>
      <c r="AB22" s="348">
        <f t="shared" si="46"/>
        <v>0.68251862826168286</v>
      </c>
      <c r="AC22" s="348">
        <f t="shared" si="12"/>
        <v>5.5899801350905104E-3</v>
      </c>
      <c r="AD22" s="348">
        <f t="shared" si="13"/>
        <v>0.10366240414507773</v>
      </c>
      <c r="AE22" s="348">
        <f t="shared" si="14"/>
        <v>0.71819999999999995</v>
      </c>
      <c r="AF22" s="348">
        <f t="shared" si="15"/>
        <v>0</v>
      </c>
      <c r="AG22" s="348">
        <f t="shared" si="16"/>
        <v>0.82823018905125345</v>
      </c>
      <c r="AH22" s="348">
        <f t="shared" si="17"/>
        <v>0.8056150233606173</v>
      </c>
      <c r="AI22" s="348">
        <f t="shared" si="18"/>
        <v>2.6609638200437444E-3</v>
      </c>
      <c r="AJ22" s="348">
        <f t="shared" si="19"/>
        <v>4.2806399999999994E-2</v>
      </c>
      <c r="AK22" s="348">
        <f t="shared" si="20"/>
        <v>4.5487069041689705E-2</v>
      </c>
      <c r="AL22" s="348">
        <f t="shared" si="21"/>
        <v>4.2806399999999994E-2</v>
      </c>
      <c r="AM22" s="348">
        <f t="shared" si="22"/>
        <v>0.19328400000000001</v>
      </c>
      <c r="AN22" s="348">
        <f t="shared" si="23"/>
        <v>5.1282973214272706E-3</v>
      </c>
      <c r="AO22" s="348">
        <f t="shared" si="24"/>
        <v>2.6400000000000001E-5</v>
      </c>
      <c r="AP22" s="348">
        <f t="shared" si="25"/>
        <v>0.34650000000000003</v>
      </c>
      <c r="AQ22" s="348">
        <f t="shared" si="26"/>
        <v>0.61836923076923067</v>
      </c>
      <c r="AR22" s="348">
        <f t="shared" si="27"/>
        <v>0.48509999999999998</v>
      </c>
      <c r="AS22" s="348">
        <f t="shared" si="28"/>
        <v>0.34652640000000001</v>
      </c>
      <c r="AT22" s="348">
        <f t="shared" si="29"/>
        <v>1.6657324242963065</v>
      </c>
      <c r="AU22">
        <f t="shared" si="30"/>
        <v>5.2</v>
      </c>
      <c r="AV22" s="526">
        <f t="shared" si="47"/>
        <v>0.75738459914318124</v>
      </c>
      <c r="AW22" s="534">
        <f t="shared" si="31"/>
        <v>40.143500420152641</v>
      </c>
      <c r="AX22" s="534">
        <f t="shared" si="32"/>
        <v>4.4473211139967717</v>
      </c>
      <c r="AY22" s="9"/>
      <c r="AZ22" s="4">
        <f t="shared" si="48"/>
        <v>75.738459914318128</v>
      </c>
      <c r="BA22" s="348">
        <f t="shared" si="33"/>
        <v>0.20396563470044843</v>
      </c>
      <c r="BB22" s="348">
        <f t="shared" si="34"/>
        <v>1.0670012580929433</v>
      </c>
      <c r="BC22" s="348">
        <f t="shared" si="35"/>
        <v>0.95579762905125343</v>
      </c>
      <c r="BD22" s="348">
        <f t="shared" si="36"/>
        <v>0.10927078904168971</v>
      </c>
      <c r="BE22" s="348">
        <f t="shared" si="37"/>
        <v>5.1282973214272706E-3</v>
      </c>
      <c r="BK22" s="18"/>
      <c r="BL22" s="19"/>
    </row>
    <row r="23" spans="1:65" x14ac:dyDescent="0.2">
      <c r="A23" s="36" t="s">
        <v>86</v>
      </c>
      <c r="B23" s="39">
        <f>RCinEsr*1000</f>
        <v>1</v>
      </c>
      <c r="C23" s="429" t="s">
        <v>450</v>
      </c>
      <c r="D23" s="427" t="s">
        <v>464</v>
      </c>
      <c r="G23">
        <v>14</v>
      </c>
      <c r="H23" s="531">
        <f t="shared" si="0"/>
        <v>12</v>
      </c>
      <c r="I23" s="4">
        <f t="shared" si="1"/>
        <v>1</v>
      </c>
      <c r="J23" s="348">
        <f t="shared" si="38"/>
        <v>1.1200000000000001</v>
      </c>
      <c r="K23" s="348">
        <f t="shared" si="2"/>
        <v>1.1200000000000001</v>
      </c>
      <c r="L23" s="4">
        <f t="shared" si="3"/>
        <v>0.51851851851851849</v>
      </c>
      <c r="M23" s="348">
        <f t="shared" si="4"/>
        <v>0.41793405702289638</v>
      </c>
      <c r="N23" s="4">
        <f t="shared" si="5"/>
        <v>0.63166300085072669</v>
      </c>
      <c r="O23" s="4">
        <f t="shared" si="39"/>
        <v>1.4358315004253634</v>
      </c>
      <c r="P23" s="4">
        <f t="shared" si="40"/>
        <v>0.80416849957463676</v>
      </c>
      <c r="Q23" s="4">
        <f t="shared" si="6"/>
        <v>0</v>
      </c>
      <c r="R23" s="4">
        <f t="shared" si="41"/>
        <v>1.1347465997101052</v>
      </c>
      <c r="S23" s="348">
        <f t="shared" si="7"/>
        <v>4.5067744594377594E-3</v>
      </c>
      <c r="T23" s="348">
        <f t="shared" si="8"/>
        <v>0.2</v>
      </c>
      <c r="U23" s="348">
        <f t="shared" si="9"/>
        <v>0.2045805343255975</v>
      </c>
      <c r="V23" s="4">
        <f t="shared" si="42"/>
        <v>0.18234540178914693</v>
      </c>
      <c r="W23" s="348">
        <f t="shared" si="10"/>
        <v>3.3249845553645432E-5</v>
      </c>
      <c r="X23" s="348">
        <f t="shared" si="43"/>
        <v>3.3249845553645432E-5</v>
      </c>
      <c r="Y23" s="4">
        <f t="shared" si="44"/>
        <v>0.559678812130182</v>
      </c>
      <c r="Z23" s="348">
        <f t="shared" si="11"/>
        <v>3.1324037274745156E-4</v>
      </c>
      <c r="AA23" s="525">
        <f t="shared" si="45"/>
        <v>3.1324037274745156E-4</v>
      </c>
      <c r="AB23" s="348">
        <f t="shared" si="46"/>
        <v>0.73358893392494762</v>
      </c>
      <c r="AC23" s="348">
        <f t="shared" si="12"/>
        <v>6.4578326877256943E-3</v>
      </c>
      <c r="AD23" s="348">
        <f t="shared" si="13"/>
        <v>0.11163643523316064</v>
      </c>
      <c r="AE23" s="348">
        <f t="shared" si="14"/>
        <v>0.71819999999999995</v>
      </c>
      <c r="AF23" s="348">
        <f t="shared" si="15"/>
        <v>0</v>
      </c>
      <c r="AG23" s="348">
        <f t="shared" si="16"/>
        <v>0.83720256228514578</v>
      </c>
      <c r="AH23" s="348">
        <f t="shared" si="17"/>
        <v>0.86573501810687115</v>
      </c>
      <c r="AI23" s="348">
        <f t="shared" si="18"/>
        <v>3.0729381984636681E-3</v>
      </c>
      <c r="AJ23" s="348">
        <f t="shared" si="19"/>
        <v>4.60992E-2</v>
      </c>
      <c r="AK23" s="348">
        <f t="shared" si="20"/>
        <v>4.9196750070071647E-2</v>
      </c>
      <c r="AL23" s="348">
        <f t="shared" si="21"/>
        <v>4.60992E-2</v>
      </c>
      <c r="AM23" s="348">
        <f t="shared" si="22"/>
        <v>0.208152</v>
      </c>
      <c r="AN23" s="348">
        <f t="shared" si="23"/>
        <v>5.92318928954677E-3</v>
      </c>
      <c r="AO23" s="348">
        <f t="shared" si="24"/>
        <v>2.6400000000000001E-5</v>
      </c>
      <c r="AP23" s="348">
        <f t="shared" si="25"/>
        <v>0.34650000000000003</v>
      </c>
      <c r="AQ23" s="348">
        <f t="shared" si="26"/>
        <v>0.61836923076923067</v>
      </c>
      <c r="AR23" s="348">
        <f t="shared" si="27"/>
        <v>0.48509999999999998</v>
      </c>
      <c r="AS23" s="348">
        <f t="shared" si="28"/>
        <v>0.34652640000000001</v>
      </c>
      <c r="AT23" s="348">
        <f t="shared" si="29"/>
        <v>1.6980271261886628</v>
      </c>
      <c r="AU23">
        <f t="shared" si="30"/>
        <v>5.6000000000000005</v>
      </c>
      <c r="AV23" s="526">
        <f t="shared" si="47"/>
        <v>0.76733066391390026</v>
      </c>
      <c r="AW23" s="534">
        <f t="shared" si="31"/>
        <v>40.932481055976126</v>
      </c>
      <c r="AX23" s="534">
        <f t="shared" si="32"/>
        <v>4.7979972398519166</v>
      </c>
      <c r="AY23" s="9"/>
      <c r="AZ23" s="4">
        <f t="shared" si="48"/>
        <v>76.733066391390025</v>
      </c>
      <c r="BA23" s="348">
        <f t="shared" si="33"/>
        <v>0.2045805343255975</v>
      </c>
      <c r="BB23" s="348">
        <f t="shared" si="34"/>
        <v>1.0945513123552173</v>
      </c>
      <c r="BC23" s="348">
        <f t="shared" si="35"/>
        <v>0.97458288228514578</v>
      </c>
      <c r="BD23" s="348">
        <f t="shared" si="36"/>
        <v>0.11788691007007165</v>
      </c>
      <c r="BE23" s="348">
        <f t="shared" si="37"/>
        <v>5.92318928954677E-3</v>
      </c>
      <c r="BK23" s="18"/>
      <c r="BL23" s="19"/>
    </row>
    <row r="24" spans="1:65" x14ac:dyDescent="0.2">
      <c r="A24" s="35" t="s">
        <v>25</v>
      </c>
      <c r="B24" s="39">
        <f>Cout*1000000</f>
        <v>200</v>
      </c>
      <c r="C24" s="428" t="s">
        <v>451</v>
      </c>
      <c r="D24" s="427" t="s">
        <v>467</v>
      </c>
      <c r="G24">
        <v>15</v>
      </c>
      <c r="H24" s="531">
        <f t="shared" si="0"/>
        <v>12</v>
      </c>
      <c r="I24" s="4">
        <f t="shared" si="1"/>
        <v>1</v>
      </c>
      <c r="J24" s="348">
        <f t="shared" si="38"/>
        <v>1.2</v>
      </c>
      <c r="K24" s="348">
        <f t="shared" si="2"/>
        <v>1.2</v>
      </c>
      <c r="L24" s="4">
        <f t="shared" si="3"/>
        <v>0.55555555555555547</v>
      </c>
      <c r="M24" s="348">
        <f t="shared" si="4"/>
        <v>0.41802461478954717</v>
      </c>
      <c r="N24" s="4">
        <f t="shared" si="5"/>
        <v>0.63168767222765032</v>
      </c>
      <c r="O24" s="4">
        <f t="shared" si="39"/>
        <v>1.5158438361138251</v>
      </c>
      <c r="P24" s="4">
        <f t="shared" si="40"/>
        <v>0.8841561638861748</v>
      </c>
      <c r="Q24" s="4">
        <f t="shared" si="6"/>
        <v>0</v>
      </c>
      <c r="R24" s="4">
        <f t="shared" si="41"/>
        <v>1.2137761090650252</v>
      </c>
      <c r="S24" s="348">
        <f t="shared" si="7"/>
        <v>5.1563835502796123E-3</v>
      </c>
      <c r="T24" s="348">
        <f t="shared" si="8"/>
        <v>0.2</v>
      </c>
      <c r="U24" s="348">
        <f t="shared" si="9"/>
        <v>0.20524104767524562</v>
      </c>
      <c r="V24" s="4">
        <f t="shared" si="42"/>
        <v>0.18235252380220102</v>
      </c>
      <c r="W24" s="348">
        <f t="shared" si="10"/>
        <v>3.3252442937032287E-5</v>
      </c>
      <c r="X24" s="348">
        <f t="shared" si="43"/>
        <v>3.3252442937032287E-5</v>
      </c>
      <c r="Y24" s="4">
        <f t="shared" si="44"/>
        <v>0.59867596216846064</v>
      </c>
      <c r="Z24" s="348">
        <f t="shared" si="11"/>
        <v>3.5841290767833214E-4</v>
      </c>
      <c r="AA24" s="525">
        <f t="shared" si="45"/>
        <v>3.5841290767833214E-4</v>
      </c>
      <c r="AB24" s="348">
        <f t="shared" si="46"/>
        <v>0.78476479593984849</v>
      </c>
      <c r="AC24" s="348">
        <f t="shared" si="12"/>
        <v>7.3902694193581451E-3</v>
      </c>
      <c r="AD24" s="348">
        <f t="shared" si="13"/>
        <v>0.11961046632124352</v>
      </c>
      <c r="AE24" s="348">
        <f t="shared" si="14"/>
        <v>0.71819999999999995</v>
      </c>
      <c r="AF24" s="348">
        <f t="shared" si="15"/>
        <v>0</v>
      </c>
      <c r="AG24" s="348">
        <f t="shared" si="16"/>
        <v>0.84625141209716248</v>
      </c>
      <c r="AH24" s="348">
        <f t="shared" si="17"/>
        <v>0.92595715775111309</v>
      </c>
      <c r="AI24" s="348">
        <f t="shared" si="18"/>
        <v>3.5153262977611305E-3</v>
      </c>
      <c r="AJ24" s="348">
        <f t="shared" si="19"/>
        <v>4.9391999999999991E-2</v>
      </c>
      <c r="AK24" s="348">
        <f t="shared" si="20"/>
        <v>5.29376222407014E-2</v>
      </c>
      <c r="AL24" s="348">
        <f t="shared" si="21"/>
        <v>4.9391999999999991E-2</v>
      </c>
      <c r="AM24" s="348">
        <f t="shared" si="22"/>
        <v>0.22302</v>
      </c>
      <c r="AN24" s="348">
        <f t="shared" si="23"/>
        <v>6.7769612375103471E-3</v>
      </c>
      <c r="AO24" s="348">
        <f t="shared" si="24"/>
        <v>2.6400000000000001E-5</v>
      </c>
      <c r="AP24" s="348">
        <f t="shared" si="25"/>
        <v>0.34650000000000003</v>
      </c>
      <c r="AQ24" s="348">
        <f t="shared" si="26"/>
        <v>0.61836923076923067</v>
      </c>
      <c r="AR24" s="348">
        <f t="shared" si="27"/>
        <v>0.48509999999999998</v>
      </c>
      <c r="AS24" s="348">
        <f t="shared" si="28"/>
        <v>0.34652640000000001</v>
      </c>
      <c r="AT24" s="348">
        <f t="shared" si="29"/>
        <v>1.7305371086012356</v>
      </c>
      <c r="AU24">
        <f t="shared" si="30"/>
        <v>6</v>
      </c>
      <c r="AV24" s="526">
        <f t="shared" si="47"/>
        <v>0.77614270725435286</v>
      </c>
      <c r="AW24" s="534">
        <f t="shared" si="31"/>
        <v>41.724673708080829</v>
      </c>
      <c r="AX24" s="534">
        <f t="shared" si="32"/>
        <v>5.1499428451965477</v>
      </c>
      <c r="AY24" s="9"/>
      <c r="AZ24" s="4">
        <f t="shared" si="48"/>
        <v>77.61427072543529</v>
      </c>
      <c r="BA24" s="348">
        <f t="shared" si="33"/>
        <v>0.20524104767524562</v>
      </c>
      <c r="BB24" s="348">
        <f t="shared" si="34"/>
        <v>1.1222090343378639</v>
      </c>
      <c r="BC24" s="348">
        <f t="shared" si="35"/>
        <v>0.9934446120971625</v>
      </c>
      <c r="BD24" s="348">
        <f t="shared" si="36"/>
        <v>0.12653422224070141</v>
      </c>
      <c r="BE24" s="348">
        <f t="shared" si="37"/>
        <v>6.7769612375103471E-3</v>
      </c>
      <c r="BK24" s="18"/>
      <c r="BL24" s="19"/>
    </row>
    <row r="25" spans="1:65" x14ac:dyDescent="0.2">
      <c r="A25" s="35" t="s">
        <v>85</v>
      </c>
      <c r="B25" s="40">
        <f>Cout_ESR*1000</f>
        <v>1</v>
      </c>
      <c r="C25" s="429" t="s">
        <v>450</v>
      </c>
      <c r="D25" s="427" t="s">
        <v>466</v>
      </c>
      <c r="G25">
        <v>16</v>
      </c>
      <c r="H25" s="531">
        <f t="shared" si="0"/>
        <v>12</v>
      </c>
      <c r="I25" s="4">
        <f t="shared" si="1"/>
        <v>1</v>
      </c>
      <c r="J25" s="348">
        <f t="shared" si="38"/>
        <v>1.28</v>
      </c>
      <c r="K25" s="348">
        <f t="shared" si="2"/>
        <v>1.28</v>
      </c>
      <c r="L25" s="4">
        <f t="shared" si="3"/>
        <v>0.59259259259259256</v>
      </c>
      <c r="M25" s="348">
        <f t="shared" si="4"/>
        <v>0.41811517654214281</v>
      </c>
      <c r="N25" s="4">
        <f t="shared" si="5"/>
        <v>0.63171230101567166</v>
      </c>
      <c r="O25" s="4">
        <f t="shared" si="39"/>
        <v>1.5958561505078359</v>
      </c>
      <c r="P25" s="4">
        <f t="shared" si="40"/>
        <v>0.96414384949216414</v>
      </c>
      <c r="Q25" s="4">
        <f t="shared" si="6"/>
        <v>0</v>
      </c>
      <c r="R25" s="4">
        <f t="shared" si="41"/>
        <v>1.2929249923865949</v>
      </c>
      <c r="S25" s="348">
        <f t="shared" si="7"/>
        <v>5.8507926257825678E-3</v>
      </c>
      <c r="T25" s="348">
        <f t="shared" si="8"/>
        <v>0.2</v>
      </c>
      <c r="U25" s="348">
        <f t="shared" si="9"/>
        <v>0.20594718896934436</v>
      </c>
      <c r="V25" s="4">
        <f t="shared" si="42"/>
        <v>0.18235963352089798</v>
      </c>
      <c r="W25" s="348">
        <f t="shared" si="10"/>
        <v>3.3255035937876216E-5</v>
      </c>
      <c r="X25" s="348">
        <f t="shared" si="43"/>
        <v>3.3255035937876216E-5</v>
      </c>
      <c r="Y25" s="4">
        <f t="shared" si="44"/>
        <v>0.63773435234469988</v>
      </c>
      <c r="Z25" s="348">
        <f t="shared" si="11"/>
        <v>4.0670510416051381E-4</v>
      </c>
      <c r="AA25" s="525">
        <f t="shared" si="45"/>
        <v>4.0670510416051381E-4</v>
      </c>
      <c r="AB25" s="348">
        <f t="shared" si="46"/>
        <v>0.83602891126367596</v>
      </c>
      <c r="AC25" s="348">
        <f t="shared" si="12"/>
        <v>8.3873320856247286E-3</v>
      </c>
      <c r="AD25" s="348">
        <f t="shared" si="13"/>
        <v>0.12758449740932643</v>
      </c>
      <c r="AE25" s="348">
        <f t="shared" si="14"/>
        <v>0.71819999999999995</v>
      </c>
      <c r="AF25" s="348">
        <f t="shared" si="15"/>
        <v>0</v>
      </c>
      <c r="AG25" s="348">
        <f t="shared" si="16"/>
        <v>0.85537711726102439</v>
      </c>
      <c r="AH25" s="348">
        <f t="shared" si="17"/>
        <v>0.98626096722376133</v>
      </c>
      <c r="AI25" s="348">
        <f t="shared" si="18"/>
        <v>3.9881138514235113E-3</v>
      </c>
      <c r="AJ25" s="348">
        <f t="shared" si="19"/>
        <v>5.2684799999999997E-2</v>
      </c>
      <c r="AK25" s="348">
        <f t="shared" si="20"/>
        <v>5.6709733492854277E-2</v>
      </c>
      <c r="AL25" s="348">
        <f t="shared" si="21"/>
        <v>5.2684799999999997E-2</v>
      </c>
      <c r="AM25" s="348">
        <f t="shared" si="22"/>
        <v>0.23788800000000002</v>
      </c>
      <c r="AN25" s="348">
        <f t="shared" si="23"/>
        <v>7.6896131653142307E-3</v>
      </c>
      <c r="AO25" s="348">
        <f t="shared" si="24"/>
        <v>2.6400000000000001E-5</v>
      </c>
      <c r="AP25" s="348">
        <f t="shared" si="25"/>
        <v>0.34650000000000003</v>
      </c>
      <c r="AQ25" s="348">
        <f t="shared" si="26"/>
        <v>0.61836923076923067</v>
      </c>
      <c r="AR25" s="348">
        <f t="shared" si="27"/>
        <v>0.48509999999999998</v>
      </c>
      <c r="AS25" s="348">
        <f t="shared" si="28"/>
        <v>0.34652640000000001</v>
      </c>
      <c r="AT25" s="348">
        <f t="shared" si="29"/>
        <v>1.7632628130286356</v>
      </c>
      <c r="AU25">
        <f t="shared" si="30"/>
        <v>6.4</v>
      </c>
      <c r="AV25" s="526">
        <f t="shared" si="47"/>
        <v>0.78400023943680297</v>
      </c>
      <c r="AW25" s="534">
        <f t="shared" si="31"/>
        <v>42.520094284963029</v>
      </c>
      <c r="AX25" s="534">
        <f t="shared" si="32"/>
        <v>5.5031598811591698</v>
      </c>
      <c r="AY25" s="9"/>
      <c r="AZ25" s="4">
        <f t="shared" si="48"/>
        <v>78.400023943680296</v>
      </c>
      <c r="BA25" s="348">
        <f t="shared" si="33"/>
        <v>0.20594718896934436</v>
      </c>
      <c r="BB25" s="348">
        <f t="shared" si="34"/>
        <v>1.1499748507538787</v>
      </c>
      <c r="BC25" s="348">
        <f t="shared" si="35"/>
        <v>1.0123831972610244</v>
      </c>
      <c r="BD25" s="348">
        <f t="shared" si="36"/>
        <v>0.13521277349285429</v>
      </c>
      <c r="BE25" s="348">
        <f t="shared" si="37"/>
        <v>7.6896131653142307E-3</v>
      </c>
    </row>
    <row r="26" spans="1:65" x14ac:dyDescent="0.2">
      <c r="A26" s="24" t="s">
        <v>112</v>
      </c>
      <c r="B26" s="37" t="s">
        <v>111</v>
      </c>
      <c r="C26" s="24" t="s">
        <v>76</v>
      </c>
      <c r="D26" s="17" t="s">
        <v>107</v>
      </c>
      <c r="G26">
        <v>17</v>
      </c>
      <c r="H26" s="531">
        <f t="shared" si="0"/>
        <v>12</v>
      </c>
      <c r="I26" s="4">
        <f t="shared" si="1"/>
        <v>1</v>
      </c>
      <c r="J26" s="348">
        <f t="shared" si="38"/>
        <v>1.36</v>
      </c>
      <c r="K26" s="348">
        <f t="shared" si="2"/>
        <v>1.36</v>
      </c>
      <c r="L26" s="4">
        <f t="shared" si="3"/>
        <v>0.62962962962962965</v>
      </c>
      <c r="M26" s="348">
        <f t="shared" si="4"/>
        <v>0.41820574228094642</v>
      </c>
      <c r="N26" s="4">
        <f t="shared" si="5"/>
        <v>0.63173688721197896</v>
      </c>
      <c r="O26" s="4">
        <f t="shared" si="39"/>
        <v>1.6758684436059896</v>
      </c>
      <c r="P26" s="4">
        <f t="shared" si="40"/>
        <v>1.0441315563940106</v>
      </c>
      <c r="Q26" s="4">
        <f t="shared" si="6"/>
        <v>0</v>
      </c>
      <c r="R26" s="4">
        <f t="shared" si="41"/>
        <v>1.3721725928451409</v>
      </c>
      <c r="S26" s="348">
        <f t="shared" si="7"/>
        <v>6.5900016859437496E-3</v>
      </c>
      <c r="T26" s="348">
        <f t="shared" si="8"/>
        <v>0.2</v>
      </c>
      <c r="U26" s="348">
        <f t="shared" si="9"/>
        <v>0.20669897341260551</v>
      </c>
      <c r="V26" s="4">
        <f t="shared" si="42"/>
        <v>0.18236673094442615</v>
      </c>
      <c r="W26" s="348">
        <f t="shared" si="10"/>
        <v>3.3257624555356722E-5</v>
      </c>
      <c r="X26" s="348">
        <f t="shared" si="43"/>
        <v>3.3257624555356722E-5</v>
      </c>
      <c r="Y26" s="4">
        <f t="shared" si="44"/>
        <v>0.67684379486809898</v>
      </c>
      <c r="Z26" s="348">
        <f t="shared" si="11"/>
        <v>4.5811752265144921E-4</v>
      </c>
      <c r="AA26" s="525">
        <f t="shared" si="45"/>
        <v>4.5811752265144921E-4</v>
      </c>
      <c r="AB26" s="348">
        <f t="shared" si="46"/>
        <v>0.88736794537920549</v>
      </c>
      <c r="AC26" s="348">
        <f t="shared" si="12"/>
        <v>9.4490624458381505E-3</v>
      </c>
      <c r="AD26" s="348">
        <f t="shared" si="13"/>
        <v>0.13555852849740932</v>
      </c>
      <c r="AE26" s="348">
        <f t="shared" si="14"/>
        <v>0.71819999999999995</v>
      </c>
      <c r="AF26" s="348">
        <f t="shared" si="15"/>
        <v>0</v>
      </c>
      <c r="AG26" s="348">
        <f t="shared" si="16"/>
        <v>0.86458006207056382</v>
      </c>
      <c r="AH26" s="348">
        <f t="shared" si="17"/>
        <v>1.0466306674605157</v>
      </c>
      <c r="AI26" s="348">
        <f t="shared" si="18"/>
        <v>4.4912865916822628E-3</v>
      </c>
      <c r="AJ26" s="348">
        <f t="shared" si="19"/>
        <v>5.5977599999999995E-2</v>
      </c>
      <c r="AK26" s="348">
        <f t="shared" si="20"/>
        <v>6.0513132672204775E-2</v>
      </c>
      <c r="AL26" s="348">
        <f t="shared" si="21"/>
        <v>5.5977599999999995E-2</v>
      </c>
      <c r="AM26" s="348">
        <f t="shared" si="22"/>
        <v>0.25275600000000004</v>
      </c>
      <c r="AN26" s="348">
        <f t="shared" si="23"/>
        <v>8.6611450729546426E-3</v>
      </c>
      <c r="AO26" s="348">
        <f t="shared" si="24"/>
        <v>2.6400000000000001E-5</v>
      </c>
      <c r="AP26" s="348">
        <f t="shared" si="25"/>
        <v>0.34650000000000003</v>
      </c>
      <c r="AQ26" s="348">
        <f t="shared" si="26"/>
        <v>0.61836923076923067</v>
      </c>
      <c r="AR26" s="348">
        <f t="shared" si="27"/>
        <v>0.48509999999999998</v>
      </c>
      <c r="AS26" s="348">
        <f t="shared" si="28"/>
        <v>0.34652640000000001</v>
      </c>
      <c r="AT26" s="348">
        <f t="shared" si="29"/>
        <v>1.7962046883755356</v>
      </c>
      <c r="AU26">
        <f t="shared" si="30"/>
        <v>6.8000000000000007</v>
      </c>
      <c r="AV26" s="526">
        <f t="shared" si="47"/>
        <v>0.79104677546772417</v>
      </c>
      <c r="AW26" s="534">
        <f t="shared" si="31"/>
        <v>43.318758926963682</v>
      </c>
      <c r="AX26" s="534">
        <f t="shared" si="32"/>
        <v>5.8576503357587359</v>
      </c>
      <c r="AY26" s="9"/>
      <c r="AZ26" s="4">
        <f t="shared" si="48"/>
        <v>79.104677546772422</v>
      </c>
      <c r="BA26" s="348">
        <f t="shared" si="33"/>
        <v>0.20669897341260551</v>
      </c>
      <c r="BB26" s="348">
        <f t="shared" si="34"/>
        <v>1.1778491947427687</v>
      </c>
      <c r="BC26" s="348">
        <f t="shared" si="35"/>
        <v>1.0313990220705638</v>
      </c>
      <c r="BD26" s="348">
        <f t="shared" si="36"/>
        <v>0.1439226126722048</v>
      </c>
      <c r="BE26" s="348">
        <f t="shared" si="37"/>
        <v>8.6611450729546426E-3</v>
      </c>
    </row>
    <row r="27" spans="1:65" x14ac:dyDescent="0.2">
      <c r="A27" s="22" t="s">
        <v>61</v>
      </c>
      <c r="B27" s="5">
        <v>0.7</v>
      </c>
      <c r="C27" s="431" t="s">
        <v>116</v>
      </c>
      <c r="D27" s="427" t="s">
        <v>491</v>
      </c>
      <c r="G27">
        <v>18</v>
      </c>
      <c r="H27" s="531">
        <f t="shared" si="0"/>
        <v>12</v>
      </c>
      <c r="I27" s="4">
        <f t="shared" si="1"/>
        <v>1</v>
      </c>
      <c r="J27" s="348">
        <f t="shared" si="38"/>
        <v>1.44</v>
      </c>
      <c r="K27" s="348">
        <f t="shared" si="2"/>
        <v>1.44</v>
      </c>
      <c r="L27" s="4">
        <f t="shared" si="3"/>
        <v>0.66666666666666652</v>
      </c>
      <c r="M27" s="348">
        <f t="shared" si="4"/>
        <v>0.41829631200622108</v>
      </c>
      <c r="N27" s="4">
        <f t="shared" si="5"/>
        <v>0.63176143081375935</v>
      </c>
      <c r="O27" s="4">
        <f t="shared" si="39"/>
        <v>1.7558807154068796</v>
      </c>
      <c r="P27" s="4">
        <f t="shared" si="40"/>
        <v>1.1241192845931203</v>
      </c>
      <c r="Q27" s="4">
        <f t="shared" si="6"/>
        <v>0</v>
      </c>
      <c r="R27" s="4">
        <f t="shared" si="41"/>
        <v>1.4515027415711808</v>
      </c>
      <c r="S27" s="348">
        <f t="shared" si="7"/>
        <v>7.3740107307602894E-3</v>
      </c>
      <c r="T27" s="348">
        <f t="shared" si="8"/>
        <v>0.2</v>
      </c>
      <c r="U27" s="348">
        <f t="shared" si="9"/>
        <v>0.20749641719531972</v>
      </c>
      <c r="V27" s="4">
        <f t="shared" si="42"/>
        <v>0.18237381607197356</v>
      </c>
      <c r="W27" s="348">
        <f t="shared" si="10"/>
        <v>3.3260208788654046E-5</v>
      </c>
      <c r="X27" s="348">
        <f t="shared" si="43"/>
        <v>3.3260208788654046E-5</v>
      </c>
      <c r="Y27" s="4">
        <f t="shared" si="44"/>
        <v>0.71599631451369516</v>
      </c>
      <c r="Z27" s="348">
        <f t="shared" si="11"/>
        <v>5.1265072239719438E-4</v>
      </c>
      <c r="AA27" s="525">
        <f t="shared" si="45"/>
        <v>5.1265072239719438E-4</v>
      </c>
      <c r="AB27" s="348">
        <f t="shared" si="46"/>
        <v>0.93877146060633465</v>
      </c>
      <c r="AC27" s="348">
        <f t="shared" si="12"/>
        <v>1.0575502262987412E-2</v>
      </c>
      <c r="AD27" s="348">
        <f t="shared" si="13"/>
        <v>0.14353255958549224</v>
      </c>
      <c r="AE27" s="348">
        <f t="shared" si="14"/>
        <v>0.71819999999999995</v>
      </c>
      <c r="AF27" s="348">
        <f t="shared" si="15"/>
        <v>0</v>
      </c>
      <c r="AG27" s="348">
        <f t="shared" si="16"/>
        <v>0.87386063639161238</v>
      </c>
      <c r="AH27" s="348">
        <f t="shared" si="17"/>
        <v>1.1070539072419658</v>
      </c>
      <c r="AI27" s="348">
        <f t="shared" si="18"/>
        <v>5.0248302495127821E-3</v>
      </c>
      <c r="AJ27" s="348">
        <f t="shared" si="19"/>
        <v>5.9270399999999994E-2</v>
      </c>
      <c r="AK27" s="348">
        <f t="shared" si="20"/>
        <v>6.4347869532863741E-2</v>
      </c>
      <c r="AL27" s="348">
        <f t="shared" si="21"/>
        <v>5.9270399999999994E-2</v>
      </c>
      <c r="AM27" s="348">
        <f t="shared" si="22"/>
        <v>0.26762399999999997</v>
      </c>
      <c r="AN27" s="348">
        <f t="shared" si="23"/>
        <v>9.6915569604278089E-3</v>
      </c>
      <c r="AO27" s="348">
        <f t="shared" si="24"/>
        <v>2.6400000000000001E-5</v>
      </c>
      <c r="AP27" s="348">
        <f t="shared" si="25"/>
        <v>0.34650000000000003</v>
      </c>
      <c r="AQ27" s="348">
        <f t="shared" si="26"/>
        <v>0.61836923076923067</v>
      </c>
      <c r="AR27" s="348">
        <f t="shared" si="27"/>
        <v>0.48509999999999998</v>
      </c>
      <c r="AS27" s="348">
        <f t="shared" si="28"/>
        <v>0.34652640000000001</v>
      </c>
      <c r="AT27" s="348">
        <f t="shared" si="29"/>
        <v>1.8293631910114094</v>
      </c>
      <c r="AU27">
        <f t="shared" si="30"/>
        <v>7.1999999999999993</v>
      </c>
      <c r="AV27" s="526">
        <f t="shared" si="47"/>
        <v>0.79739842641034608</v>
      </c>
      <c r="AW27" s="534">
        <f t="shared" si="31"/>
        <v>44.120684008447718</v>
      </c>
      <c r="AX27" s="534">
        <f t="shared" si="32"/>
        <v>6.2134162339875552</v>
      </c>
      <c r="AY27" s="9"/>
      <c r="AZ27" s="4">
        <f t="shared" si="48"/>
        <v>79.739842641034613</v>
      </c>
      <c r="BA27" s="348">
        <f t="shared" si="33"/>
        <v>0.20749641719531972</v>
      </c>
      <c r="BB27" s="348">
        <f t="shared" si="34"/>
        <v>1.2058325059244761</v>
      </c>
      <c r="BC27" s="348">
        <f t="shared" si="35"/>
        <v>1.0504924763916124</v>
      </c>
      <c r="BD27" s="348">
        <f t="shared" si="36"/>
        <v>0.15266378953286375</v>
      </c>
      <c r="BE27" s="348">
        <f t="shared" si="37"/>
        <v>9.6915569604278089E-3</v>
      </c>
    </row>
    <row r="28" spans="1:65" x14ac:dyDescent="0.2">
      <c r="A28" s="22" t="s">
        <v>126</v>
      </c>
      <c r="B28" s="5">
        <f>RdsonDRT2</f>
        <v>0.5</v>
      </c>
      <c r="C28" s="431" t="s">
        <v>116</v>
      </c>
      <c r="D28" s="427" t="s">
        <v>490</v>
      </c>
      <c r="G28">
        <v>19</v>
      </c>
      <c r="H28" s="531">
        <f t="shared" si="0"/>
        <v>12</v>
      </c>
      <c r="I28" s="4">
        <f t="shared" si="1"/>
        <v>1</v>
      </c>
      <c r="J28" s="348">
        <f t="shared" si="38"/>
        <v>1.52</v>
      </c>
      <c r="K28" s="348">
        <f t="shared" si="2"/>
        <v>1.52</v>
      </c>
      <c r="L28" s="4">
        <f t="shared" si="3"/>
        <v>0.70370370370370361</v>
      </c>
      <c r="M28" s="348">
        <f t="shared" si="4"/>
        <v>0.41838688571823024</v>
      </c>
      <c r="N28" s="4">
        <f t="shared" si="5"/>
        <v>0.63178593181820131</v>
      </c>
      <c r="O28" s="4">
        <f t="shared" si="39"/>
        <v>1.8358929659091006</v>
      </c>
      <c r="P28" s="4">
        <f t="shared" si="40"/>
        <v>1.2041070340908995</v>
      </c>
      <c r="Q28" s="4">
        <f t="shared" si="6"/>
        <v>0</v>
      </c>
      <c r="R28" s="4">
        <f t="shared" si="41"/>
        <v>1.5309026058626163</v>
      </c>
      <c r="S28" s="348">
        <f t="shared" si="7"/>
        <v>8.2028197602293223E-3</v>
      </c>
      <c r="T28" s="348">
        <f t="shared" si="8"/>
        <v>0.2</v>
      </c>
      <c r="U28" s="348">
        <f t="shared" si="9"/>
        <v>0.2083395374942289</v>
      </c>
      <c r="V28" s="4">
        <f t="shared" si="42"/>
        <v>0.18238088890272855</v>
      </c>
      <c r="W28" s="348">
        <f t="shared" si="10"/>
        <v>3.3262788636949413E-5</v>
      </c>
      <c r="X28" s="348">
        <f t="shared" si="43"/>
        <v>3.3262788636949413E-5</v>
      </c>
      <c r="Y28" s="4">
        <f t="shared" si="44"/>
        <v>0.75518558078934128</v>
      </c>
      <c r="Z28" s="348">
        <f t="shared" si="11"/>
        <v>5.7030526143213463E-4</v>
      </c>
      <c r="AA28" s="525">
        <f t="shared" si="45"/>
        <v>5.7030526143213463E-4</v>
      </c>
      <c r="AB28" s="348">
        <f t="shared" si="46"/>
        <v>0.99023117266197791</v>
      </c>
      <c r="AC28" s="348">
        <f t="shared" si="12"/>
        <v>1.1766693303738191E-2</v>
      </c>
      <c r="AD28" s="348">
        <f t="shared" si="13"/>
        <v>0.15150659067357516</v>
      </c>
      <c r="AE28" s="348">
        <f t="shared" si="14"/>
        <v>0.71819999999999995</v>
      </c>
      <c r="AF28" s="348">
        <f t="shared" si="15"/>
        <v>0</v>
      </c>
      <c r="AG28" s="348">
        <f t="shared" si="16"/>
        <v>0.88321923571490535</v>
      </c>
      <c r="AH28" s="348">
        <f t="shared" si="17"/>
        <v>1.1675208834643744</v>
      </c>
      <c r="AI28" s="348">
        <f t="shared" si="18"/>
        <v>5.5887305546342761E-3</v>
      </c>
      <c r="AJ28" s="348">
        <f t="shared" si="19"/>
        <v>6.2563199999999999E-2</v>
      </c>
      <c r="AK28" s="348">
        <f t="shared" si="20"/>
        <v>6.8213994739481587E-2</v>
      </c>
      <c r="AL28" s="348">
        <f t="shared" si="21"/>
        <v>6.2563199999999999E-2</v>
      </c>
      <c r="AM28" s="348">
        <f t="shared" si="22"/>
        <v>0.28249199999999997</v>
      </c>
      <c r="AN28" s="348">
        <f t="shared" si="23"/>
        <v>1.0780848827729967E-2</v>
      </c>
      <c r="AO28" s="348">
        <f t="shared" si="24"/>
        <v>2.6400000000000001E-5</v>
      </c>
      <c r="AP28" s="348">
        <f t="shared" si="25"/>
        <v>0.34650000000000003</v>
      </c>
      <c r="AQ28" s="348">
        <f t="shared" si="26"/>
        <v>0.61836923076923067</v>
      </c>
      <c r="AR28" s="348">
        <f t="shared" si="27"/>
        <v>0.48509999999999998</v>
      </c>
      <c r="AS28" s="348">
        <f t="shared" si="28"/>
        <v>0.34652640000000001</v>
      </c>
      <c r="AT28" s="348">
        <f t="shared" si="29"/>
        <v>1.8627387848264148</v>
      </c>
      <c r="AU28">
        <f t="shared" si="30"/>
        <v>7.6</v>
      </c>
      <c r="AV28" s="526">
        <f t="shared" si="47"/>
        <v>0.80315014213291691</v>
      </c>
      <c r="AW28" s="534">
        <f t="shared" si="31"/>
        <v>44.925886140026023</v>
      </c>
      <c r="AX28" s="534">
        <f t="shared" si="32"/>
        <v>6.5704596378969011</v>
      </c>
      <c r="AY28" s="9"/>
      <c r="AZ28" s="4">
        <f t="shared" si="48"/>
        <v>80.31501421329169</v>
      </c>
      <c r="BA28" s="348">
        <f t="shared" si="33"/>
        <v>0.2083395374942289</v>
      </c>
      <c r="BB28" s="348">
        <f t="shared" si="34"/>
        <v>1.2339252304543868</v>
      </c>
      <c r="BC28" s="348">
        <f t="shared" si="35"/>
        <v>1.0696639557149052</v>
      </c>
      <c r="BD28" s="348">
        <f t="shared" si="36"/>
        <v>0.16143635473948159</v>
      </c>
      <c r="BE28" s="348">
        <f t="shared" si="37"/>
        <v>1.0780848827729967E-2</v>
      </c>
    </row>
    <row r="29" spans="1:65" x14ac:dyDescent="0.2">
      <c r="A29" s="24" t="s">
        <v>113</v>
      </c>
      <c r="B29" s="15" t="s">
        <v>111</v>
      </c>
      <c r="C29" s="24" t="s">
        <v>76</v>
      </c>
      <c r="D29" s="17" t="s">
        <v>107</v>
      </c>
      <c r="G29">
        <v>20</v>
      </c>
      <c r="H29" s="531">
        <f t="shared" si="0"/>
        <v>12</v>
      </c>
      <c r="I29" s="4">
        <f t="shared" si="1"/>
        <v>1</v>
      </c>
      <c r="J29" s="348">
        <f t="shared" si="38"/>
        <v>1.6</v>
      </c>
      <c r="K29" s="348">
        <f t="shared" si="2"/>
        <v>1.6</v>
      </c>
      <c r="L29" s="4">
        <f t="shared" si="3"/>
        <v>0.7407407407407407</v>
      </c>
      <c r="M29" s="348">
        <f t="shared" si="4"/>
        <v>0.41847746341723696</v>
      </c>
      <c r="N29" s="4">
        <f t="shared" si="5"/>
        <v>0.63181039022249152</v>
      </c>
      <c r="O29" s="4">
        <f t="shared" si="39"/>
        <v>1.9159051951112458</v>
      </c>
      <c r="P29" s="4">
        <f t="shared" si="40"/>
        <v>1.2840948048887544</v>
      </c>
      <c r="Q29" s="4">
        <f t="shared" si="6"/>
        <v>0</v>
      </c>
      <c r="R29" s="4">
        <f t="shared" si="41"/>
        <v>1.610361873648102</v>
      </c>
      <c r="S29" s="348">
        <f t="shared" si="7"/>
        <v>9.0764287743479912E-3</v>
      </c>
      <c r="T29" s="348">
        <f t="shared" si="8"/>
        <v>0.2</v>
      </c>
      <c r="U29" s="348">
        <f t="shared" si="9"/>
        <v>0.20922835247345195</v>
      </c>
      <c r="V29" s="4">
        <f t="shared" si="42"/>
        <v>0.18238794943587899</v>
      </c>
      <c r="W29" s="348">
        <f t="shared" si="10"/>
        <v>3.3265364099424751E-5</v>
      </c>
      <c r="X29" s="348">
        <f t="shared" si="43"/>
        <v>3.3265364099424751E-5</v>
      </c>
      <c r="Y29" s="4">
        <f t="shared" si="44"/>
        <v>0.79440650587637729</v>
      </c>
      <c r="Z29" s="348">
        <f t="shared" si="11"/>
        <v>6.3108169657871476E-4</v>
      </c>
      <c r="AA29" s="525">
        <f t="shared" si="45"/>
        <v>6.3108169657871476E-4</v>
      </c>
      <c r="AB29" s="348">
        <f t="shared" si="46"/>
        <v>1.0417404242593762</v>
      </c>
      <c r="AC29" s="348">
        <f t="shared" si="12"/>
        <v>1.302267733843326E-2</v>
      </c>
      <c r="AD29" s="348">
        <f t="shared" si="13"/>
        <v>0.15948062176165806</v>
      </c>
      <c r="AE29" s="348">
        <f t="shared" si="14"/>
        <v>0.71819999999999995</v>
      </c>
      <c r="AF29" s="348">
        <f t="shared" si="15"/>
        <v>0</v>
      </c>
      <c r="AG29" s="348">
        <f t="shared" si="16"/>
        <v>0.8926562612100214</v>
      </c>
      <c r="AH29" s="348">
        <f t="shared" si="17"/>
        <v>1.228023718241354</v>
      </c>
      <c r="AI29" s="348">
        <f t="shared" si="18"/>
        <v>6.182973235509614E-3</v>
      </c>
      <c r="AJ29" s="348">
        <f t="shared" si="19"/>
        <v>6.5855999999999998E-2</v>
      </c>
      <c r="AK29" s="348">
        <f t="shared" si="20"/>
        <v>7.2111559869417571E-2</v>
      </c>
      <c r="AL29" s="348">
        <f t="shared" si="21"/>
        <v>6.5855999999999998E-2</v>
      </c>
      <c r="AM29" s="348">
        <f t="shared" si="22"/>
        <v>0.29736000000000001</v>
      </c>
      <c r="AN29" s="348">
        <f t="shared" si="23"/>
        <v>1.1929020674857359E-2</v>
      </c>
      <c r="AO29" s="348">
        <f t="shared" si="24"/>
        <v>2.6400000000000001E-5</v>
      </c>
      <c r="AP29" s="348">
        <f t="shared" si="25"/>
        <v>0.34650000000000003</v>
      </c>
      <c r="AQ29" s="348">
        <f t="shared" si="26"/>
        <v>0.61836923076923067</v>
      </c>
      <c r="AR29" s="348">
        <f t="shared" si="27"/>
        <v>0.48509999999999998</v>
      </c>
      <c r="AS29" s="348">
        <f t="shared" si="28"/>
        <v>0.34652640000000001</v>
      </c>
      <c r="AT29" s="348">
        <f t="shared" si="29"/>
        <v>1.8963319412884265</v>
      </c>
      <c r="AU29">
        <f t="shared" si="30"/>
        <v>8</v>
      </c>
      <c r="AV29" s="526">
        <f t="shared" si="47"/>
        <v>0.80838032186685738</v>
      </c>
      <c r="AW29" s="534">
        <f t="shared" si="31"/>
        <v>45.734382170820894</v>
      </c>
      <c r="AX29" s="534">
        <f t="shared" si="32"/>
        <v>6.9287826466852955</v>
      </c>
      <c r="AY29" s="9"/>
      <c r="AZ29" s="4">
        <f t="shared" si="48"/>
        <v>80.838032186685737</v>
      </c>
      <c r="BA29" s="348">
        <f t="shared" si="33"/>
        <v>0.20922835247345195</v>
      </c>
      <c r="BB29" s="348">
        <f t="shared" si="34"/>
        <v>1.2621278210794389</v>
      </c>
      <c r="BC29" s="348">
        <f t="shared" si="35"/>
        <v>1.0889138612100213</v>
      </c>
      <c r="BD29" s="348">
        <f t="shared" si="36"/>
        <v>0.17024035986941757</v>
      </c>
      <c r="BE29" s="348">
        <f t="shared" si="37"/>
        <v>1.1929020674857359E-2</v>
      </c>
    </row>
    <row r="30" spans="1:65" x14ac:dyDescent="0.2">
      <c r="A30" s="22" t="s">
        <v>60</v>
      </c>
      <c r="B30" s="27">
        <v>0.7</v>
      </c>
      <c r="C30" s="431" t="s">
        <v>116</v>
      </c>
      <c r="D30" s="427" t="s">
        <v>489</v>
      </c>
      <c r="G30">
        <v>21</v>
      </c>
      <c r="H30" s="531">
        <f t="shared" si="0"/>
        <v>12</v>
      </c>
      <c r="I30" s="4">
        <f t="shared" si="1"/>
        <v>1</v>
      </c>
      <c r="J30" s="348">
        <f t="shared" si="38"/>
        <v>1.68</v>
      </c>
      <c r="K30" s="348">
        <f t="shared" si="2"/>
        <v>1.68</v>
      </c>
      <c r="L30" s="4">
        <f t="shared" si="3"/>
        <v>0.77777777777777779</v>
      </c>
      <c r="M30" s="348">
        <f t="shared" si="4"/>
        <v>0.41856804510350448</v>
      </c>
      <c r="N30" s="4">
        <f t="shared" si="5"/>
        <v>0.63183480602381736</v>
      </c>
      <c r="O30" s="4">
        <f t="shared" si="39"/>
        <v>1.9959174030119087</v>
      </c>
      <c r="P30" s="4">
        <f t="shared" si="40"/>
        <v>1.3640825969880912</v>
      </c>
      <c r="Q30" s="4">
        <f t="shared" si="6"/>
        <v>0</v>
      </c>
      <c r="R30" s="4">
        <f t="shared" si="41"/>
        <v>1.689872165335373</v>
      </c>
      <c r="S30" s="348">
        <f t="shared" si="7"/>
        <v>9.9948377731134182E-3</v>
      </c>
      <c r="T30" s="348">
        <f t="shared" si="8"/>
        <v>0.2</v>
      </c>
      <c r="U30" s="348">
        <f t="shared" si="9"/>
        <v>0.2101628812854637</v>
      </c>
      <c r="V30" s="4">
        <f t="shared" si="42"/>
        <v>0.18239499767061298</v>
      </c>
      <c r="W30" s="348">
        <f t="shared" si="10"/>
        <v>3.3267935175262917E-5</v>
      </c>
      <c r="X30" s="348">
        <f t="shared" si="43"/>
        <v>3.3267935175262917E-5</v>
      </c>
      <c r="Y30" s="4">
        <f t="shared" si="44"/>
        <v>0.83365495467079342</v>
      </c>
      <c r="Z30" s="348">
        <f t="shared" si="11"/>
        <v>6.9498058344716264E-4</v>
      </c>
      <c r="AA30" s="525">
        <f t="shared" si="45"/>
        <v>6.9498058344716264E-4</v>
      </c>
      <c r="AB30" s="348">
        <f t="shared" si="46"/>
        <v>1.0932938054754864</v>
      </c>
      <c r="AC30" s="348">
        <f t="shared" si="12"/>
        <v>1.4343496141092848E-2</v>
      </c>
      <c r="AD30" s="348">
        <f t="shared" si="13"/>
        <v>0.16745465284974093</v>
      </c>
      <c r="AE30" s="348">
        <f t="shared" si="14"/>
        <v>0.71819999999999995</v>
      </c>
      <c r="AF30" s="348">
        <f t="shared" si="15"/>
        <v>0</v>
      </c>
      <c r="AG30" s="348">
        <f t="shared" si="16"/>
        <v>0.9021721197803706</v>
      </c>
      <c r="AH30" s="348">
        <f t="shared" si="17"/>
        <v>1.2885560096806778</v>
      </c>
      <c r="AI30" s="348">
        <f t="shared" si="18"/>
        <v>6.807544019345183E-3</v>
      </c>
      <c r="AJ30" s="348">
        <f t="shared" si="19"/>
        <v>6.9148799999999983E-2</v>
      </c>
      <c r="AK30" s="348">
        <f t="shared" si="20"/>
        <v>7.6040617414975725E-2</v>
      </c>
      <c r="AL30" s="348">
        <f t="shared" si="21"/>
        <v>6.9148799999999983E-2</v>
      </c>
      <c r="AM30" s="348">
        <f t="shared" si="22"/>
        <v>0.31222799999999995</v>
      </c>
      <c r="AN30" s="348">
        <f t="shared" si="23"/>
        <v>1.3136072501806205E-2</v>
      </c>
      <c r="AO30" s="348">
        <f t="shared" si="24"/>
        <v>2.6400000000000001E-5</v>
      </c>
      <c r="AP30" s="348">
        <f t="shared" si="25"/>
        <v>0.34650000000000003</v>
      </c>
      <c r="AQ30" s="348">
        <f t="shared" si="26"/>
        <v>0.61836923076923067</v>
      </c>
      <c r="AR30" s="348">
        <f t="shared" si="27"/>
        <v>0.48509999999999998</v>
      </c>
      <c r="AS30" s="348">
        <f t="shared" si="28"/>
        <v>0.34652640000000001</v>
      </c>
      <c r="AT30" s="348">
        <f t="shared" si="29"/>
        <v>1.9301431395012387</v>
      </c>
      <c r="AU30">
        <f t="shared" si="30"/>
        <v>8.4</v>
      </c>
      <c r="AV30" s="526">
        <f t="shared" si="47"/>
        <v>0.8131542696518308</v>
      </c>
      <c r="AW30" s="534">
        <f t="shared" si="31"/>
        <v>46.546189190775564</v>
      </c>
      <c r="AX30" s="534">
        <f t="shared" si="32"/>
        <v>7.2883873967895125</v>
      </c>
      <c r="AY30" s="9"/>
      <c r="AZ30" s="4">
        <f t="shared" si="48"/>
        <v>81.315426965183079</v>
      </c>
      <c r="BA30" s="348">
        <f t="shared" si="33"/>
        <v>0.2101628812854637</v>
      </c>
      <c r="BB30" s="348">
        <f t="shared" si="34"/>
        <v>1.2904407371953464</v>
      </c>
      <c r="BC30" s="348">
        <f t="shared" si="35"/>
        <v>1.1082425997803707</v>
      </c>
      <c r="BD30" s="348">
        <f t="shared" si="36"/>
        <v>0.17907585741497573</v>
      </c>
      <c r="BE30" s="348">
        <f t="shared" si="37"/>
        <v>1.3136072501806205E-2</v>
      </c>
    </row>
    <row r="31" spans="1:65" x14ac:dyDescent="0.2">
      <c r="A31" s="22" t="s">
        <v>125</v>
      </c>
      <c r="B31" s="27">
        <v>0.5</v>
      </c>
      <c r="C31" s="431" t="s">
        <v>116</v>
      </c>
      <c r="D31" s="427" t="s">
        <v>488</v>
      </c>
      <c r="G31">
        <v>22</v>
      </c>
      <c r="H31" s="531">
        <f t="shared" si="0"/>
        <v>12</v>
      </c>
      <c r="I31" s="4">
        <f t="shared" si="1"/>
        <v>1</v>
      </c>
      <c r="J31" s="348">
        <f t="shared" si="38"/>
        <v>1.76</v>
      </c>
      <c r="K31" s="348">
        <f t="shared" si="2"/>
        <v>1.76</v>
      </c>
      <c r="L31" s="4">
        <f t="shared" si="3"/>
        <v>0.81481481481481488</v>
      </c>
      <c r="M31" s="348">
        <f t="shared" si="4"/>
        <v>0.4186586307772962</v>
      </c>
      <c r="N31" s="4">
        <f t="shared" si="5"/>
        <v>0.63185917921936563</v>
      </c>
      <c r="O31" s="4">
        <f t="shared" si="39"/>
        <v>2.0759295896096828</v>
      </c>
      <c r="P31" s="4">
        <f t="shared" si="40"/>
        <v>1.4440704103903172</v>
      </c>
      <c r="Q31" s="4">
        <f t="shared" si="6"/>
        <v>0</v>
      </c>
      <c r="R31" s="4">
        <f t="shared" si="41"/>
        <v>1.7694266025646974</v>
      </c>
      <c r="S31" s="348">
        <f t="shared" si="7"/>
        <v>1.0958046756522767E-2</v>
      </c>
      <c r="T31" s="348">
        <f t="shared" si="8"/>
        <v>0.2</v>
      </c>
      <c r="U31" s="348">
        <f t="shared" si="9"/>
        <v>0.2111431440721277</v>
      </c>
      <c r="V31" s="4">
        <f t="shared" si="42"/>
        <v>0.18240203360611837</v>
      </c>
      <c r="W31" s="348">
        <f t="shared" si="10"/>
        <v>3.3270501863647535E-5</v>
      </c>
      <c r="X31" s="348">
        <f t="shared" si="43"/>
        <v>3.3270501863647535E-5</v>
      </c>
      <c r="Y31" s="4">
        <f t="shared" si="44"/>
        <v>0.87292753217848751</v>
      </c>
      <c r="Z31" s="348">
        <f t="shared" si="11"/>
        <v>7.620024764352244E-4</v>
      </c>
      <c r="AA31" s="525">
        <f t="shared" si="45"/>
        <v>7.620024764352244E-4</v>
      </c>
      <c r="AB31" s="348">
        <f t="shared" si="46"/>
        <v>1.1448868753947969</v>
      </c>
      <c r="AC31" s="348">
        <f t="shared" si="12"/>
        <v>1.5729191489415137E-2</v>
      </c>
      <c r="AD31" s="348">
        <f t="shared" si="13"/>
        <v>0.17542868393782385</v>
      </c>
      <c r="AE31" s="348">
        <f t="shared" si="14"/>
        <v>0.71819999999999995</v>
      </c>
      <c r="AF31" s="348">
        <f t="shared" si="15"/>
        <v>0</v>
      </c>
      <c r="AG31" s="348">
        <f t="shared" si="16"/>
        <v>0.91176722411924549</v>
      </c>
      <c r="AH31" s="348">
        <f t="shared" si="17"/>
        <v>1.349112502503919</v>
      </c>
      <c r="AI31" s="348">
        <f t="shared" si="18"/>
        <v>7.4624286320907852E-3</v>
      </c>
      <c r="AJ31" s="348">
        <f t="shared" si="19"/>
        <v>7.2441599999999995E-2</v>
      </c>
      <c r="AK31" s="348">
        <f t="shared" si="20"/>
        <v>8.00012207857074E-2</v>
      </c>
      <c r="AL31" s="348">
        <f t="shared" si="21"/>
        <v>7.2441599999999995E-2</v>
      </c>
      <c r="AM31" s="348">
        <f t="shared" si="22"/>
        <v>0.32709599999999994</v>
      </c>
      <c r="AN31" s="348">
        <f t="shared" si="23"/>
        <v>1.440200430857278E-2</v>
      </c>
      <c r="AO31" s="348">
        <f t="shared" si="24"/>
        <v>2.6400000000000001E-5</v>
      </c>
      <c r="AP31" s="348">
        <f t="shared" si="25"/>
        <v>0.34650000000000003</v>
      </c>
      <c r="AQ31" s="348">
        <f t="shared" si="26"/>
        <v>0.61836923076923067</v>
      </c>
      <c r="AR31" s="348">
        <f t="shared" si="27"/>
        <v>0.48509999999999998</v>
      </c>
      <c r="AS31" s="348">
        <f t="shared" si="28"/>
        <v>0.34652640000000001</v>
      </c>
      <c r="AT31" s="348">
        <f t="shared" si="29"/>
        <v>1.9641728662639524</v>
      </c>
      <c r="AU31">
        <f t="shared" si="30"/>
        <v>8.8000000000000007</v>
      </c>
      <c r="AV31" s="526">
        <f t="shared" si="47"/>
        <v>0.81752681876562239</v>
      </c>
      <c r="AW31" s="534">
        <f t="shared" si="31"/>
        <v>47.361324533008307</v>
      </c>
      <c r="AX31" s="534">
        <f t="shared" si="32"/>
        <v>7.6492760619782914</v>
      </c>
      <c r="AY31" s="9"/>
      <c r="AZ31" s="4">
        <f t="shared" si="48"/>
        <v>81.752681876562235</v>
      </c>
      <c r="BA31" s="348">
        <f t="shared" si="33"/>
        <v>0.2111431440721277</v>
      </c>
      <c r="BB31" s="348">
        <f t="shared" si="34"/>
        <v>1.3188644449049529</v>
      </c>
      <c r="BC31" s="348">
        <f t="shared" si="35"/>
        <v>1.1276505841192455</v>
      </c>
      <c r="BD31" s="348">
        <f t="shared" si="36"/>
        <v>0.18794290078570738</v>
      </c>
      <c r="BE31" s="348">
        <f t="shared" si="37"/>
        <v>1.440200430857278E-2</v>
      </c>
    </row>
    <row r="32" spans="1:65" x14ac:dyDescent="0.2">
      <c r="A32" s="24" t="s">
        <v>62</v>
      </c>
      <c r="B32" s="15" t="s">
        <v>111</v>
      </c>
      <c r="C32" s="24" t="s">
        <v>76</v>
      </c>
      <c r="D32" s="17" t="s">
        <v>107</v>
      </c>
      <c r="G32">
        <v>23</v>
      </c>
      <c r="H32" s="531">
        <f t="shared" si="0"/>
        <v>12</v>
      </c>
      <c r="I32" s="4">
        <f t="shared" si="1"/>
        <v>1</v>
      </c>
      <c r="J32" s="348">
        <f t="shared" si="38"/>
        <v>1.84</v>
      </c>
      <c r="K32" s="348">
        <f t="shared" si="2"/>
        <v>1.84</v>
      </c>
      <c r="L32" s="4">
        <f t="shared" si="3"/>
        <v>0.85185185185185186</v>
      </c>
      <c r="M32" s="348">
        <f t="shared" si="4"/>
        <v>0.41874922043887536</v>
      </c>
      <c r="N32" s="4">
        <f t="shared" si="5"/>
        <v>0.63188350980632269</v>
      </c>
      <c r="O32" s="4">
        <f t="shared" si="39"/>
        <v>2.1559417549031616</v>
      </c>
      <c r="P32" s="4">
        <f t="shared" si="40"/>
        <v>1.5240582450968387</v>
      </c>
      <c r="Q32" s="4">
        <f t="shared" si="6"/>
        <v>0</v>
      </c>
      <c r="R32" s="4">
        <f t="shared" si="41"/>
        <v>1.8490194872320203</v>
      </c>
      <c r="S32" s="348">
        <f t="shared" si="7"/>
        <v>1.1966055724573172E-2</v>
      </c>
      <c r="T32" s="348">
        <f t="shared" si="8"/>
        <v>0.2</v>
      </c>
      <c r="U32" s="348">
        <f t="shared" si="9"/>
        <v>0.21216916196578267</v>
      </c>
      <c r="V32" s="4">
        <f t="shared" si="42"/>
        <v>0.18240905724158299</v>
      </c>
      <c r="W32" s="348">
        <f t="shared" si="10"/>
        <v>3.32730641637631E-5</v>
      </c>
      <c r="X32" s="348">
        <f t="shared" si="43"/>
        <v>3.32730641637631E-5</v>
      </c>
      <c r="Y32" s="4">
        <f t="shared" si="44"/>
        <v>0.91222142527342731</v>
      </c>
      <c r="Z32" s="348">
        <f t="shared" si="11"/>
        <v>8.321479287278831E-4</v>
      </c>
      <c r="AA32" s="525">
        <f t="shared" si="45"/>
        <v>8.321479287278831E-4</v>
      </c>
      <c r="AB32" s="348">
        <f t="shared" si="46"/>
        <v>1.1965159549283264</v>
      </c>
      <c r="AC32" s="348">
        <f t="shared" si="12"/>
        <v>1.7179805164776539E-2</v>
      </c>
      <c r="AD32" s="348">
        <f t="shared" si="13"/>
        <v>0.18340271502590677</v>
      </c>
      <c r="AE32" s="348">
        <f t="shared" si="14"/>
        <v>0.71819999999999995</v>
      </c>
      <c r="AF32" s="348">
        <f t="shared" si="15"/>
        <v>0</v>
      </c>
      <c r="AG32" s="348">
        <f t="shared" si="16"/>
        <v>0.92144199276695504</v>
      </c>
      <c r="AH32" s="348">
        <f t="shared" si="17"/>
        <v>1.4096888428889967</v>
      </c>
      <c r="AI32" s="348">
        <f t="shared" si="18"/>
        <v>8.147612798439445E-3</v>
      </c>
      <c r="AJ32" s="348">
        <f t="shared" si="19"/>
        <v>7.5734399999999993E-2</v>
      </c>
      <c r="AK32" s="348">
        <f t="shared" si="20"/>
        <v>8.3993424310780232E-2</v>
      </c>
      <c r="AL32" s="348">
        <f t="shared" si="21"/>
        <v>7.5734399999999993E-2</v>
      </c>
      <c r="AM32" s="348">
        <f t="shared" si="22"/>
        <v>0.34196400000000005</v>
      </c>
      <c r="AN32" s="348">
        <f t="shared" si="23"/>
        <v>1.572681609515331E-2</v>
      </c>
      <c r="AO32" s="348">
        <f t="shared" si="24"/>
        <v>2.6400000000000001E-5</v>
      </c>
      <c r="AP32" s="348">
        <f t="shared" si="25"/>
        <v>0.34650000000000003</v>
      </c>
      <c r="AQ32" s="348">
        <f t="shared" si="26"/>
        <v>0.61836923076923067</v>
      </c>
      <c r="AR32" s="348">
        <f t="shared" si="27"/>
        <v>0.48509999999999998</v>
      </c>
      <c r="AS32" s="348">
        <f t="shared" si="28"/>
        <v>0.34652640000000001</v>
      </c>
      <c r="AT32" s="348">
        <f t="shared" si="29"/>
        <v>1.9984216161315633</v>
      </c>
      <c r="AU32">
        <f t="shared" si="30"/>
        <v>9.2000000000000011</v>
      </c>
      <c r="AV32" s="526">
        <f t="shared" si="47"/>
        <v>0.82154434931680054</v>
      </c>
      <c r="AW32" s="534">
        <f t="shared" si="31"/>
        <v>48.179805776212113</v>
      </c>
      <c r="AX32" s="534">
        <f t="shared" si="32"/>
        <v>8.011450853448757</v>
      </c>
      <c r="AY32" s="9"/>
      <c r="AZ32" s="4">
        <f t="shared" si="48"/>
        <v>82.154434931680058</v>
      </c>
      <c r="BA32" s="348">
        <f t="shared" si="33"/>
        <v>0.21216916196578267</v>
      </c>
      <c r="BB32" s="348">
        <f t="shared" si="34"/>
        <v>1.3473994170777353</v>
      </c>
      <c r="BC32" s="348">
        <f t="shared" si="35"/>
        <v>1.147138232766955</v>
      </c>
      <c r="BD32" s="348">
        <f t="shared" si="36"/>
        <v>0.19684154431078027</v>
      </c>
      <c r="BE32" s="348">
        <f t="shared" si="37"/>
        <v>1.572681609515331E-2</v>
      </c>
    </row>
    <row r="33" spans="1:57" x14ac:dyDescent="0.2">
      <c r="A33" s="22" t="s">
        <v>62</v>
      </c>
      <c r="B33" s="5">
        <f>Deadtime*1000000000</f>
        <v>14</v>
      </c>
      <c r="C33" s="427" t="s">
        <v>75</v>
      </c>
      <c r="D33" s="21" t="s">
        <v>98</v>
      </c>
      <c r="G33">
        <v>24</v>
      </c>
      <c r="H33" s="531">
        <f t="shared" si="0"/>
        <v>12</v>
      </c>
      <c r="I33" s="4">
        <f t="shared" si="1"/>
        <v>1</v>
      </c>
      <c r="J33" s="348">
        <f t="shared" si="38"/>
        <v>1.92</v>
      </c>
      <c r="K33" s="348">
        <f t="shared" si="2"/>
        <v>1.92</v>
      </c>
      <c r="L33" s="4">
        <f t="shared" si="3"/>
        <v>0.88888888888888884</v>
      </c>
      <c r="M33" s="348">
        <f t="shared" si="4"/>
        <v>0.4188398140885054</v>
      </c>
      <c r="N33" s="4">
        <f t="shared" si="5"/>
        <v>0.63190779778187534</v>
      </c>
      <c r="O33" s="4">
        <f t="shared" si="39"/>
        <v>2.2359538988909375</v>
      </c>
      <c r="P33" s="4">
        <f t="shared" si="40"/>
        <v>1.6040461011090623</v>
      </c>
      <c r="Q33" s="4">
        <f t="shared" si="6"/>
        <v>0</v>
      </c>
      <c r="R33" s="4">
        <f t="shared" si="41"/>
        <v>1.9286460593055417</v>
      </c>
      <c r="S33" s="348">
        <f t="shared" si="7"/>
        <v>1.3018864677261783E-2</v>
      </c>
      <c r="T33" s="348">
        <f t="shared" si="8"/>
        <v>0.2</v>
      </c>
      <c r="U33" s="348">
        <f t="shared" si="9"/>
        <v>0.21324095709038254</v>
      </c>
      <c r="V33" s="4">
        <f t="shared" si="42"/>
        <v>0.18241606857619466</v>
      </c>
      <c r="W33" s="348">
        <f t="shared" si="10"/>
        <v>3.3275622074794951E-5</v>
      </c>
      <c r="X33" s="348">
        <f t="shared" si="43"/>
        <v>3.3275622074794951E-5</v>
      </c>
      <c r="Y33" s="4">
        <f t="shared" si="44"/>
        <v>0.95153428330097167</v>
      </c>
      <c r="Z33" s="348">
        <f t="shared" si="11"/>
        <v>9.0541749229709376E-4</v>
      </c>
      <c r="AA33" s="525">
        <f t="shared" si="45"/>
        <v>9.0541749229709376E-4</v>
      </c>
      <c r="AB33" s="348">
        <f t="shared" si="46"/>
        <v>1.2481779704911287</v>
      </c>
      <c r="AC33" s="348">
        <f t="shared" si="12"/>
        <v>1.8695378952232233E-2</v>
      </c>
      <c r="AD33" s="348">
        <f t="shared" si="13"/>
        <v>0.19137674611398964</v>
      </c>
      <c r="AE33" s="348">
        <f t="shared" si="14"/>
        <v>0.71819999999999995</v>
      </c>
      <c r="AF33" s="348">
        <f t="shared" si="15"/>
        <v>0</v>
      </c>
      <c r="AG33" s="348">
        <f t="shared" si="16"/>
        <v>0.93119685016905196</v>
      </c>
      <c r="AH33" s="348">
        <f t="shared" si="17"/>
        <v>1.4702813934942665</v>
      </c>
      <c r="AI33" s="348">
        <f t="shared" si="18"/>
        <v>8.8630822418273112E-3</v>
      </c>
      <c r="AJ33" s="348">
        <f t="shared" si="19"/>
        <v>7.9027199999999992E-2</v>
      </c>
      <c r="AK33" s="348">
        <f t="shared" si="20"/>
        <v>8.8017283241414848E-2</v>
      </c>
      <c r="AL33" s="348">
        <f t="shared" si="21"/>
        <v>7.9027199999999992E-2</v>
      </c>
      <c r="AM33" s="348">
        <f t="shared" si="22"/>
        <v>0.35683199999999998</v>
      </c>
      <c r="AN33" s="348">
        <f t="shared" si="23"/>
        <v>1.7110507861544055E-2</v>
      </c>
      <c r="AO33" s="348">
        <f t="shared" si="24"/>
        <v>2.6400000000000001E-5</v>
      </c>
      <c r="AP33" s="348">
        <f t="shared" si="25"/>
        <v>0.34650000000000003</v>
      </c>
      <c r="AQ33" s="348">
        <f t="shared" si="26"/>
        <v>0.61836923076923067</v>
      </c>
      <c r="AR33" s="348">
        <f t="shared" si="27"/>
        <v>0.48509999999999998</v>
      </c>
      <c r="AS33" s="348">
        <f t="shared" si="28"/>
        <v>0.34652640000000001</v>
      </c>
      <c r="AT33" s="348">
        <f t="shared" si="29"/>
        <v>2.0328898914767652</v>
      </c>
      <c r="AU33">
        <f t="shared" si="30"/>
        <v>9.6</v>
      </c>
      <c r="AV33" s="526">
        <f t="shared" si="47"/>
        <v>0.82524635662835322</v>
      </c>
      <c r="AW33" s="534">
        <f t="shared" si="31"/>
        <v>49.001650747100179</v>
      </c>
      <c r="AX33" s="534">
        <f t="shared" si="32"/>
        <v>8.3749140199255852</v>
      </c>
      <c r="AY33" s="9"/>
      <c r="AZ33" s="4">
        <f t="shared" si="48"/>
        <v>82.524635662835323</v>
      </c>
      <c r="BA33" s="348">
        <f t="shared" si="33"/>
        <v>0.21324095709038254</v>
      </c>
      <c r="BB33" s="348">
        <f t="shared" si="34"/>
        <v>1.3760461334104668</v>
      </c>
      <c r="BC33" s="348">
        <f t="shared" si="35"/>
        <v>1.1667059701690519</v>
      </c>
      <c r="BD33" s="348">
        <f t="shared" si="36"/>
        <v>0.20577184324141484</v>
      </c>
      <c r="BE33" s="348">
        <f t="shared" si="37"/>
        <v>1.7110507861544055E-2</v>
      </c>
    </row>
    <row r="34" spans="1:57" x14ac:dyDescent="0.2">
      <c r="A34" s="24" t="s">
        <v>52</v>
      </c>
      <c r="B34" s="15" t="s">
        <v>111</v>
      </c>
      <c r="C34" s="24" t="s">
        <v>76</v>
      </c>
      <c r="D34" s="17" t="s">
        <v>107</v>
      </c>
      <c r="G34">
        <v>25</v>
      </c>
      <c r="H34" s="531">
        <f t="shared" si="0"/>
        <v>12</v>
      </c>
      <c r="I34" s="4">
        <f t="shared" si="1"/>
        <v>1</v>
      </c>
      <c r="J34" s="348">
        <f t="shared" si="38"/>
        <v>2</v>
      </c>
      <c r="K34" s="348">
        <f t="shared" si="2"/>
        <v>2</v>
      </c>
      <c r="L34" s="4">
        <f t="shared" si="3"/>
        <v>0.92592592592592582</v>
      </c>
      <c r="M34" s="348">
        <f t="shared" si="4"/>
        <v>0.41893041172644957</v>
      </c>
      <c r="N34" s="4">
        <f t="shared" si="5"/>
        <v>0.63193204314320928</v>
      </c>
      <c r="O34" s="4">
        <f t="shared" si="39"/>
        <v>2.3159660215716045</v>
      </c>
      <c r="P34" s="4">
        <f t="shared" si="40"/>
        <v>1.6840339784283953</v>
      </c>
      <c r="Q34" s="4">
        <f t="shared" si="6"/>
        <v>0</v>
      </c>
      <c r="R34" s="4">
        <f t="shared" si="41"/>
        <v>2.0083023118036611</v>
      </c>
      <c r="S34" s="348">
        <f t="shared" si="7"/>
        <v>1.4116473614585755E-2</v>
      </c>
      <c r="T34" s="348">
        <f t="shared" si="8"/>
        <v>0.2</v>
      </c>
      <c r="U34" s="348">
        <f t="shared" si="9"/>
        <v>0.21435855256269074</v>
      </c>
      <c r="V34" s="4">
        <f t="shared" si="42"/>
        <v>0.18242306760914104</v>
      </c>
      <c r="W34" s="348">
        <f t="shared" si="10"/>
        <v>3.3278175595929245E-5</v>
      </c>
      <c r="X34" s="348">
        <f t="shared" si="43"/>
        <v>3.3278175595929245E-5</v>
      </c>
      <c r="Y34" s="4">
        <f t="shared" si="44"/>
        <v>0.99086412686175473</v>
      </c>
      <c r="Z34" s="348">
        <f t="shared" si="11"/>
        <v>9.8181171790150752E-4</v>
      </c>
      <c r="AA34" s="525">
        <f t="shared" si="45"/>
        <v>9.8181171790150752E-4</v>
      </c>
      <c r="AB34" s="348">
        <f t="shared" si="46"/>
        <v>1.2998703345756091</v>
      </c>
      <c r="AC34" s="348">
        <f t="shared" si="12"/>
        <v>2.0275954640516472E-2</v>
      </c>
      <c r="AD34" s="348">
        <f t="shared" si="13"/>
        <v>0.19935077720207253</v>
      </c>
      <c r="AE34" s="348">
        <f t="shared" si="14"/>
        <v>0.71819999999999995</v>
      </c>
      <c r="AF34" s="348">
        <f t="shared" si="15"/>
        <v>0</v>
      </c>
      <c r="AG34" s="348">
        <f t="shared" si="16"/>
        <v>0.94103222673567444</v>
      </c>
      <c r="AH34" s="348">
        <f t="shared" si="17"/>
        <v>1.5308870921417501</v>
      </c>
      <c r="AI34" s="348">
        <f t="shared" si="18"/>
        <v>9.6088226844335146E-3</v>
      </c>
      <c r="AJ34" s="348">
        <f t="shared" si="19"/>
        <v>8.231999999999999E-2</v>
      </c>
      <c r="AK34" s="348">
        <f t="shared" si="20"/>
        <v>9.2072853753388223E-2</v>
      </c>
      <c r="AL34" s="348">
        <f t="shared" si="21"/>
        <v>8.231999999999999E-2</v>
      </c>
      <c r="AM34" s="348">
        <f t="shared" si="22"/>
        <v>0.37169999999999997</v>
      </c>
      <c r="AN34" s="348">
        <f t="shared" si="23"/>
        <v>1.8553079607741278E-2</v>
      </c>
      <c r="AO34" s="348">
        <f t="shared" si="24"/>
        <v>2.6400000000000001E-5</v>
      </c>
      <c r="AP34" s="348">
        <f t="shared" si="25"/>
        <v>0.34650000000000003</v>
      </c>
      <c r="AQ34" s="348">
        <f t="shared" si="26"/>
        <v>0.61836923076923067</v>
      </c>
      <c r="AR34" s="348">
        <f t="shared" si="27"/>
        <v>0.48509999999999998</v>
      </c>
      <c r="AS34" s="348">
        <f t="shared" si="28"/>
        <v>0.34652640000000001</v>
      </c>
      <c r="AT34" s="348">
        <f t="shared" si="29"/>
        <v>2.0675782025529919</v>
      </c>
      <c r="AU34">
        <f t="shared" si="30"/>
        <v>10</v>
      </c>
      <c r="AV34" s="526">
        <f t="shared" si="47"/>
        <v>0.82866668292105372</v>
      </c>
      <c r="AW34" s="534">
        <f t="shared" si="31"/>
        <v>49.826877522898322</v>
      </c>
      <c r="AX34" s="534">
        <f t="shared" si="32"/>
        <v>8.7396678477629006</v>
      </c>
      <c r="AY34" s="9"/>
      <c r="AZ34" s="4">
        <f t="shared" si="48"/>
        <v>82.866668292105373</v>
      </c>
      <c r="BA34" s="348">
        <f t="shared" si="33"/>
        <v>0.21435855256269074</v>
      </c>
      <c r="BB34" s="348">
        <f t="shared" si="34"/>
        <v>1.4048050804890626</v>
      </c>
      <c r="BC34" s="348">
        <f t="shared" si="35"/>
        <v>1.1863542267356744</v>
      </c>
      <c r="BD34" s="348">
        <f t="shared" si="36"/>
        <v>0.21473385375338822</v>
      </c>
      <c r="BE34" s="348">
        <f t="shared" si="37"/>
        <v>1.8553079607741278E-2</v>
      </c>
    </row>
    <row r="35" spans="1:57" x14ac:dyDescent="0.2">
      <c r="A35" s="22" t="s">
        <v>128</v>
      </c>
      <c r="B35" s="5">
        <f>Iq*1000</f>
        <v>2.2000000000000001E-3</v>
      </c>
      <c r="C35" s="427" t="s">
        <v>64</v>
      </c>
      <c r="D35" s="21" t="s">
        <v>131</v>
      </c>
      <c r="G35">
        <v>26</v>
      </c>
      <c r="H35" s="531">
        <f t="shared" si="0"/>
        <v>12</v>
      </c>
      <c r="I35" s="4">
        <f t="shared" si="1"/>
        <v>1</v>
      </c>
      <c r="J35" s="348">
        <f t="shared" si="38"/>
        <v>2.08</v>
      </c>
      <c r="K35" s="348">
        <f t="shared" si="2"/>
        <v>2.08</v>
      </c>
      <c r="L35" s="4">
        <f t="shared" si="3"/>
        <v>0.96296296296296291</v>
      </c>
      <c r="M35" s="348">
        <f t="shared" si="4"/>
        <v>0.41902101335297121</v>
      </c>
      <c r="N35" s="4">
        <f t="shared" si="5"/>
        <v>0.63195624588751054</v>
      </c>
      <c r="O35" s="4">
        <f t="shared" si="39"/>
        <v>2.3959781229437551</v>
      </c>
      <c r="P35" s="4">
        <f t="shared" si="40"/>
        <v>1.7640218770562448</v>
      </c>
      <c r="Q35" s="4">
        <f t="shared" si="6"/>
        <v>0</v>
      </c>
      <c r="R35" s="4">
        <f t="shared" si="41"/>
        <v>2.0879848478201066</v>
      </c>
      <c r="S35" s="348">
        <f t="shared" si="7"/>
        <v>1.5258882536542237E-2</v>
      </c>
      <c r="T35" s="348">
        <f t="shared" si="8"/>
        <v>0.2</v>
      </c>
      <c r="U35" s="348">
        <f t="shared" si="9"/>
        <v>0.21552197249352806</v>
      </c>
      <c r="V35" s="4">
        <f t="shared" si="42"/>
        <v>0.18243005433960979</v>
      </c>
      <c r="W35" s="348">
        <f t="shared" si="10"/>
        <v>3.3280724726352986E-5</v>
      </c>
      <c r="X35" s="348">
        <f t="shared" si="43"/>
        <v>3.3280724726352986E-5</v>
      </c>
      <c r="Y35" s="4">
        <f t="shared" si="44"/>
        <v>1.0302092773248546</v>
      </c>
      <c r="Z35" s="348">
        <f t="shared" si="11"/>
        <v>1.0613311550861991E-3</v>
      </c>
      <c r="AA35" s="525">
        <f t="shared" si="45"/>
        <v>1.0613311550861991E-3</v>
      </c>
      <c r="AB35" s="348">
        <f t="shared" si="46"/>
        <v>1.3515908534650021</v>
      </c>
      <c r="AC35" s="348">
        <f t="shared" si="12"/>
        <v>2.1921574022043033E-2</v>
      </c>
      <c r="AD35" s="348">
        <f t="shared" si="13"/>
        <v>0.20732480829015545</v>
      </c>
      <c r="AE35" s="348">
        <f t="shared" si="14"/>
        <v>0.71819999999999995</v>
      </c>
      <c r="AF35" s="348">
        <f t="shared" si="15"/>
        <v>0</v>
      </c>
      <c r="AG35" s="348">
        <f t="shared" si="16"/>
        <v>0.95094855890201946</v>
      </c>
      <c r="AH35" s="348">
        <f t="shared" si="17"/>
        <v>1.5915033426154346</v>
      </c>
      <c r="AI35" s="348">
        <f t="shared" si="18"/>
        <v>1.0384819847180015E-2</v>
      </c>
      <c r="AJ35" s="348">
        <f t="shared" si="19"/>
        <v>8.5612799999999989E-2</v>
      </c>
      <c r="AK35" s="348">
        <f t="shared" si="20"/>
        <v>9.6160192949604983E-2</v>
      </c>
      <c r="AL35" s="348">
        <f t="shared" si="21"/>
        <v>8.5612799999999989E-2</v>
      </c>
      <c r="AM35" s="348">
        <f t="shared" si="22"/>
        <v>0.38656800000000002</v>
      </c>
      <c r="AN35" s="348">
        <f t="shared" si="23"/>
        <v>2.0054531333741226E-2</v>
      </c>
      <c r="AO35" s="348">
        <f t="shared" si="24"/>
        <v>2.6400000000000001E-5</v>
      </c>
      <c r="AP35" s="348">
        <f t="shared" si="25"/>
        <v>0.34650000000000003</v>
      </c>
      <c r="AQ35" s="348">
        <f t="shared" si="26"/>
        <v>0.61836923076923067</v>
      </c>
      <c r="AR35" s="348">
        <f t="shared" si="27"/>
        <v>0.48509999999999998</v>
      </c>
      <c r="AS35" s="348">
        <f t="shared" si="28"/>
        <v>0.34652640000000001</v>
      </c>
      <c r="AT35" s="348">
        <f t="shared" si="29"/>
        <v>2.1024870675587062</v>
      </c>
      <c r="AU35">
        <f t="shared" si="30"/>
        <v>10.4</v>
      </c>
      <c r="AV35" s="526">
        <f t="shared" si="47"/>
        <v>0.83183449371331775</v>
      </c>
      <c r="AW35" s="534">
        <f t="shared" si="31"/>
        <v>50.655504433884815</v>
      </c>
      <c r="AX35" s="534">
        <f t="shared" si="32"/>
        <v>9.105714661048923</v>
      </c>
      <c r="AY35" s="9"/>
      <c r="AZ35" s="4">
        <f t="shared" si="48"/>
        <v>83.183449371331776</v>
      </c>
      <c r="BA35" s="348">
        <f t="shared" si="33"/>
        <v>0.21552197249352806</v>
      </c>
      <c r="BB35" s="348">
        <f t="shared" si="34"/>
        <v>1.4336767518516245</v>
      </c>
      <c r="BC35" s="348">
        <f t="shared" si="35"/>
        <v>1.2060834389020194</v>
      </c>
      <c r="BD35" s="348">
        <f t="shared" si="36"/>
        <v>0.22372763294960499</v>
      </c>
      <c r="BE35" s="348">
        <f t="shared" si="37"/>
        <v>2.0054531333741226E-2</v>
      </c>
    </row>
    <row r="36" spans="1:57" x14ac:dyDescent="0.2">
      <c r="A36" s="24" t="s">
        <v>508</v>
      </c>
      <c r="B36" s="15" t="s">
        <v>111</v>
      </c>
      <c r="C36" s="24" t="s">
        <v>76</v>
      </c>
      <c r="D36" s="17" t="s">
        <v>107</v>
      </c>
      <c r="G36">
        <v>27</v>
      </c>
      <c r="H36" s="531">
        <f t="shared" si="0"/>
        <v>12</v>
      </c>
      <c r="I36" s="4">
        <f t="shared" si="1"/>
        <v>1</v>
      </c>
      <c r="J36" s="348">
        <f t="shared" si="38"/>
        <v>2.16</v>
      </c>
      <c r="K36" s="348">
        <f t="shared" si="2"/>
        <v>2.16</v>
      </c>
      <c r="L36" s="4">
        <f t="shared" si="3"/>
        <v>1</v>
      </c>
      <c r="M36" s="348">
        <f t="shared" si="4"/>
        <v>0.41911161896833388</v>
      </c>
      <c r="N36" s="4">
        <f t="shared" si="5"/>
        <v>0.6319804060119647</v>
      </c>
      <c r="O36" s="4">
        <f t="shared" si="39"/>
        <v>2.4759902030059826</v>
      </c>
      <c r="P36" s="4">
        <f t="shared" si="40"/>
        <v>1.8440097969940177</v>
      </c>
      <c r="Q36" s="4">
        <f t="shared" si="6"/>
        <v>0</v>
      </c>
      <c r="R36" s="4">
        <f t="shared" si="41"/>
        <v>2.1676907688748535</v>
      </c>
      <c r="S36" s="348">
        <f t="shared" si="7"/>
        <v>1.6446091443128388E-2</v>
      </c>
      <c r="T36" s="348">
        <f t="shared" si="8"/>
        <v>0.2</v>
      </c>
      <c r="U36" s="348">
        <f t="shared" si="9"/>
        <v>0.2167312419890752</v>
      </c>
      <c r="V36" s="4">
        <f t="shared" si="42"/>
        <v>0.18243702876678841</v>
      </c>
      <c r="W36" s="348">
        <f t="shared" si="10"/>
        <v>3.3283269465253984E-5</v>
      </c>
      <c r="X36" s="348">
        <f t="shared" si="43"/>
        <v>3.3283269465253984E-5</v>
      </c>
      <c r="Y36" s="4">
        <f t="shared" si="44"/>
        <v>1.0695683017846012</v>
      </c>
      <c r="Z36" s="348">
        <f t="shared" si="11"/>
        <v>1.1439763521823956E-3</v>
      </c>
      <c r="AA36" s="525">
        <f t="shared" si="45"/>
        <v>1.1439763521823956E-3</v>
      </c>
      <c r="AB36" s="348">
        <f t="shared" si="46"/>
        <v>1.4033376551667103</v>
      </c>
      <c r="AC36" s="348">
        <f t="shared" si="12"/>
        <v>2.3632278892905607E-2</v>
      </c>
      <c r="AD36" s="348">
        <f t="shared" si="13"/>
        <v>0.21529883937823835</v>
      </c>
      <c r="AE36" s="348">
        <f t="shared" si="14"/>
        <v>0.71819999999999995</v>
      </c>
      <c r="AF36" s="348">
        <f t="shared" si="15"/>
        <v>0</v>
      </c>
      <c r="AG36" s="348">
        <f t="shared" si="16"/>
        <v>0.96094628918996028</v>
      </c>
      <c r="AH36" s="348">
        <f t="shared" si="17"/>
        <v>1.652127929385752</v>
      </c>
      <c r="AI36" s="348">
        <f t="shared" si="18"/>
        <v>1.1191059449731453E-2</v>
      </c>
      <c r="AJ36" s="348">
        <f t="shared" si="19"/>
        <v>8.8905600000000001E-2</v>
      </c>
      <c r="AK36" s="348">
        <f t="shared" si="20"/>
        <v>0.10027935886273617</v>
      </c>
      <c r="AL36" s="348">
        <f t="shared" si="21"/>
        <v>8.8905600000000001E-2</v>
      </c>
      <c r="AM36" s="348">
        <f t="shared" si="22"/>
        <v>0.40143600000000002</v>
      </c>
      <c r="AN36" s="348">
        <f t="shared" si="23"/>
        <v>2.1614863039540164E-2</v>
      </c>
      <c r="AO36" s="348">
        <f t="shared" si="24"/>
        <v>2.6400000000000001E-5</v>
      </c>
      <c r="AP36" s="348">
        <f t="shared" si="25"/>
        <v>0.34650000000000003</v>
      </c>
      <c r="AQ36" s="348">
        <f t="shared" si="26"/>
        <v>0.61836923076923067</v>
      </c>
      <c r="AR36" s="348">
        <f t="shared" si="27"/>
        <v>0.48509999999999998</v>
      </c>
      <c r="AS36" s="348">
        <f t="shared" si="28"/>
        <v>0.34652640000000001</v>
      </c>
      <c r="AT36" s="348">
        <f t="shared" si="29"/>
        <v>2.1376170127029597</v>
      </c>
      <c r="AU36">
        <f t="shared" si="30"/>
        <v>10.8</v>
      </c>
      <c r="AV36" s="526">
        <f t="shared" si="47"/>
        <v>0.83477505860591539</v>
      </c>
      <c r="AW36" s="534">
        <f t="shared" si="31"/>
        <v>51.487550065978333</v>
      </c>
      <c r="AX36" s="534">
        <f t="shared" si="32"/>
        <v>9.4730568217133637</v>
      </c>
      <c r="AY36" s="9"/>
      <c r="AZ36" s="4">
        <f t="shared" si="48"/>
        <v>83.477505860591535</v>
      </c>
      <c r="BA36" s="348">
        <f t="shared" si="33"/>
        <v>0.2167312419890752</v>
      </c>
      <c r="BB36" s="348">
        <f t="shared" si="34"/>
        <v>1.4626616480526966</v>
      </c>
      <c r="BC36" s="348">
        <f t="shared" si="35"/>
        <v>1.2258940491899604</v>
      </c>
      <c r="BD36" s="348">
        <f t="shared" si="36"/>
        <v>0.23275323886273619</v>
      </c>
      <c r="BE36" s="348">
        <f t="shared" si="37"/>
        <v>2.1614863039540164E-2</v>
      </c>
    </row>
    <row r="37" spans="1:57" x14ac:dyDescent="0.2">
      <c r="A37" s="23" t="s">
        <v>71</v>
      </c>
      <c r="B37" s="5">
        <f>Rdson1*1000</f>
        <v>12</v>
      </c>
      <c r="C37" s="429" t="s">
        <v>450</v>
      </c>
      <c r="D37" s="427" t="s">
        <v>511</v>
      </c>
      <c r="G37">
        <v>28</v>
      </c>
      <c r="H37" s="531">
        <f t="shared" si="0"/>
        <v>12</v>
      </c>
      <c r="I37" s="4">
        <f t="shared" si="1"/>
        <v>1</v>
      </c>
      <c r="J37" s="348">
        <f t="shared" si="38"/>
        <v>2.2400000000000002</v>
      </c>
      <c r="K37" s="348">
        <f t="shared" si="2"/>
        <v>2.2400000000000002</v>
      </c>
      <c r="L37" s="4">
        <f t="shared" si="3"/>
        <v>1.037037037037037</v>
      </c>
      <c r="M37" s="348">
        <f t="shared" si="4"/>
        <v>0.41920222857280082</v>
      </c>
      <c r="N37" s="4">
        <f t="shared" si="5"/>
        <v>0.63200452351375713</v>
      </c>
      <c r="O37" s="4">
        <f t="shared" si="39"/>
        <v>2.5560022617568787</v>
      </c>
      <c r="P37" s="4">
        <f t="shared" si="40"/>
        <v>1.9239977382431217</v>
      </c>
      <c r="Q37" s="4">
        <f t="shared" si="6"/>
        <v>0</v>
      </c>
      <c r="R37" s="4">
        <f t="shared" si="41"/>
        <v>2.2474175868787318</v>
      </c>
      <c r="S37" s="348">
        <f t="shared" si="7"/>
        <v>1.7678100334341376E-2</v>
      </c>
      <c r="T37" s="348">
        <f t="shared" si="8"/>
        <v>0.2</v>
      </c>
      <c r="U37" s="348">
        <f t="shared" si="9"/>
        <v>0.21798638715222918</v>
      </c>
      <c r="V37" s="4">
        <f t="shared" si="42"/>
        <v>0.18244399088986443</v>
      </c>
      <c r="W37" s="348">
        <f t="shared" si="10"/>
        <v>3.3285809811820938E-5</v>
      </c>
      <c r="X37" s="348">
        <f t="shared" si="43"/>
        <v>3.3285809811820938E-5</v>
      </c>
      <c r="Y37" s="4">
        <f t="shared" si="44"/>
        <v>1.1089399696589555</v>
      </c>
      <c r="Z37" s="348">
        <f t="shared" si="11"/>
        <v>1.229747856307205E-3</v>
      </c>
      <c r="AA37" s="525">
        <f t="shared" si="45"/>
        <v>1.229747856307205E-3</v>
      </c>
      <c r="AB37" s="348">
        <f t="shared" si="46"/>
        <v>1.4551091325876047</v>
      </c>
      <c r="AC37" s="348">
        <f t="shared" si="12"/>
        <v>2.5408111052878216E-2</v>
      </c>
      <c r="AD37" s="348">
        <f t="shared" si="13"/>
        <v>0.22327287046632127</v>
      </c>
      <c r="AE37" s="348">
        <f t="shared" si="14"/>
        <v>0.71819999999999995</v>
      </c>
      <c r="AF37" s="348">
        <f t="shared" si="15"/>
        <v>0</v>
      </c>
      <c r="AG37" s="348">
        <f t="shared" si="16"/>
        <v>0.9710258662708311</v>
      </c>
      <c r="AH37" s="348">
        <f t="shared" si="17"/>
        <v>1.7127589503698326</v>
      </c>
      <c r="AI37" s="348">
        <f t="shared" si="18"/>
        <v>1.2027527210495079E-2</v>
      </c>
      <c r="AJ37" s="348">
        <f t="shared" si="19"/>
        <v>9.21984E-2</v>
      </c>
      <c r="AK37" s="348">
        <f t="shared" si="20"/>
        <v>0.1044304104579263</v>
      </c>
      <c r="AL37" s="348">
        <f t="shared" si="21"/>
        <v>9.21984E-2</v>
      </c>
      <c r="AM37" s="348">
        <f t="shared" si="22"/>
        <v>0.41630400000000001</v>
      </c>
      <c r="AN37" s="348">
        <f t="shared" si="23"/>
        <v>2.323407472513438E-2</v>
      </c>
      <c r="AO37" s="348">
        <f t="shared" si="24"/>
        <v>2.6400000000000001E-5</v>
      </c>
      <c r="AP37" s="348">
        <f t="shared" si="25"/>
        <v>0.34650000000000003</v>
      </c>
      <c r="AQ37" s="348">
        <f t="shared" si="26"/>
        <v>0.61836923076923067</v>
      </c>
      <c r="AR37" s="348">
        <f t="shared" si="27"/>
        <v>0.48509999999999998</v>
      </c>
      <c r="AS37" s="348">
        <f t="shared" si="28"/>
        <v>0.34652640000000001</v>
      </c>
      <c r="AT37" s="348">
        <f t="shared" si="29"/>
        <v>2.1729685722722403</v>
      </c>
      <c r="AU37">
        <f t="shared" si="30"/>
        <v>11.200000000000001</v>
      </c>
      <c r="AV37" s="526">
        <f t="shared" si="47"/>
        <v>0.83751038069604722</v>
      </c>
      <c r="AW37" s="534">
        <f t="shared" si="31"/>
        <v>52.323033263374903</v>
      </c>
      <c r="AX37" s="534">
        <f t="shared" si="32"/>
        <v>9.8416967296376008</v>
      </c>
      <c r="AY37" s="9"/>
      <c r="AZ37" s="4">
        <f t="shared" si="48"/>
        <v>83.751038069604718</v>
      </c>
      <c r="BA37" s="348">
        <f t="shared" si="33"/>
        <v>0.21798638715222918</v>
      </c>
      <c r="BB37" s="348">
        <f t="shared" si="34"/>
        <v>1.4917602767287574</v>
      </c>
      <c r="BC37" s="348">
        <f t="shared" si="35"/>
        <v>1.2457865062708311</v>
      </c>
      <c r="BD37" s="348">
        <f t="shared" si="36"/>
        <v>0.24181073045792628</v>
      </c>
      <c r="BE37" s="348">
        <f t="shared" si="37"/>
        <v>2.323407472513438E-2</v>
      </c>
    </row>
    <row r="38" spans="1:57" x14ac:dyDescent="0.2">
      <c r="A38" s="22" t="s">
        <v>79</v>
      </c>
      <c r="B38" s="5">
        <f>RdsonTopTc*1000000</f>
        <v>4000</v>
      </c>
      <c r="C38" s="427" t="s">
        <v>81</v>
      </c>
      <c r="D38" s="21" t="s">
        <v>109</v>
      </c>
      <c r="G38">
        <v>29</v>
      </c>
      <c r="H38" s="531">
        <f t="shared" si="0"/>
        <v>12</v>
      </c>
      <c r="I38" s="4">
        <f t="shared" si="1"/>
        <v>1</v>
      </c>
      <c r="J38" s="348">
        <f t="shared" si="38"/>
        <v>2.3199999999999998</v>
      </c>
      <c r="K38" s="348">
        <f t="shared" si="2"/>
        <v>2.3199999999999998</v>
      </c>
      <c r="L38" s="4">
        <f t="shared" si="3"/>
        <v>1.074074074074074</v>
      </c>
      <c r="M38" s="348">
        <f t="shared" si="4"/>
        <v>0.4192928421666357</v>
      </c>
      <c r="N38" s="4">
        <f t="shared" si="5"/>
        <v>0.63202859839007308</v>
      </c>
      <c r="O38" s="4">
        <f t="shared" si="39"/>
        <v>2.6360142991950362</v>
      </c>
      <c r="P38" s="4">
        <f t="shared" si="40"/>
        <v>2.0039857008049635</v>
      </c>
      <c r="Q38" s="4">
        <f t="shared" si="6"/>
        <v>0</v>
      </c>
      <c r="R38" s="4">
        <f t="shared" si="41"/>
        <v>2.3271631540923905</v>
      </c>
      <c r="S38" s="348">
        <f t="shared" si="7"/>
        <v>1.8954909210178353E-2</v>
      </c>
      <c r="T38" s="348">
        <f t="shared" si="8"/>
        <v>0.2</v>
      </c>
      <c r="U38" s="348">
        <f t="shared" si="9"/>
        <v>0.21928743508401438</v>
      </c>
      <c r="V38" s="4">
        <f t="shared" si="42"/>
        <v>0.18245094070802528</v>
      </c>
      <c r="W38" s="348">
        <f t="shared" si="10"/>
        <v>3.3288345765243359E-5</v>
      </c>
      <c r="X38" s="348">
        <f t="shared" si="43"/>
        <v>3.3288345765243359E-5</v>
      </c>
      <c r="Y38" s="4">
        <f t="shared" si="44"/>
        <v>1.1483232181591287</v>
      </c>
      <c r="Z38" s="348">
        <f t="shared" si="11"/>
        <v>1.3186462133633382E-3</v>
      </c>
      <c r="AA38" s="525">
        <f t="shared" si="45"/>
        <v>1.3186462133633382E-3</v>
      </c>
      <c r="AB38" s="348">
        <f t="shared" si="46"/>
        <v>1.5069038983241878</v>
      </c>
      <c r="AC38" s="348">
        <f t="shared" si="12"/>
        <v>2.7249112305415608E-2</v>
      </c>
      <c r="AD38" s="348">
        <f t="shared" si="13"/>
        <v>0.23124690155440411</v>
      </c>
      <c r="AE38" s="348">
        <f t="shared" si="14"/>
        <v>0.71819999999999995</v>
      </c>
      <c r="AF38" s="348">
        <f t="shared" si="15"/>
        <v>0</v>
      </c>
      <c r="AG38" s="348">
        <f t="shared" si="16"/>
        <v>0.98118774502939621</v>
      </c>
      <c r="AH38" s="348">
        <f t="shared" si="17"/>
        <v>1.7733947634355438</v>
      </c>
      <c r="AI38" s="348">
        <f t="shared" si="18"/>
        <v>1.2894208846620493E-2</v>
      </c>
      <c r="AJ38" s="348">
        <f t="shared" si="19"/>
        <v>9.5491199999999984E-2</v>
      </c>
      <c r="AK38" s="348">
        <f t="shared" si="20"/>
        <v>0.10861340763556833</v>
      </c>
      <c r="AL38" s="348">
        <f t="shared" si="21"/>
        <v>9.5491199999999984E-2</v>
      </c>
      <c r="AM38" s="348">
        <f t="shared" si="22"/>
        <v>0.431172</v>
      </c>
      <c r="AN38" s="348">
        <f t="shared" si="23"/>
        <v>2.4912166390520119E-2</v>
      </c>
      <c r="AO38" s="348">
        <f t="shared" si="24"/>
        <v>2.6400000000000001E-5</v>
      </c>
      <c r="AP38" s="348">
        <f t="shared" si="25"/>
        <v>0.34650000000000003</v>
      </c>
      <c r="AQ38" s="348">
        <f t="shared" si="26"/>
        <v>0.61836923076923067</v>
      </c>
      <c r="AR38" s="348">
        <f t="shared" si="27"/>
        <v>0.48509999999999998</v>
      </c>
      <c r="AS38" s="348">
        <f t="shared" si="28"/>
        <v>0.34652640000000001</v>
      </c>
      <c r="AT38" s="348">
        <f t="shared" si="29"/>
        <v>2.2085422886986277</v>
      </c>
      <c r="AU38">
        <f t="shared" si="30"/>
        <v>11.6</v>
      </c>
      <c r="AV38" s="526">
        <f t="shared" si="47"/>
        <v>0.84005970778637717</v>
      </c>
      <c r="AW38" s="534">
        <f t="shared" si="31"/>
        <v>53.161973131234639</v>
      </c>
      <c r="AX38" s="534">
        <f t="shared" si="32"/>
        <v>10.211636822767632</v>
      </c>
      <c r="AY38" s="9"/>
      <c r="AZ38" s="4">
        <f t="shared" si="48"/>
        <v>84.005970778637717</v>
      </c>
      <c r="BA38" s="348">
        <f t="shared" si="33"/>
        <v>0.21928743508401438</v>
      </c>
      <c r="BB38" s="348">
        <f t="shared" si="34"/>
        <v>1.5209731526649644</v>
      </c>
      <c r="BC38" s="348">
        <f t="shared" si="35"/>
        <v>1.2657612650293961</v>
      </c>
      <c r="BD38" s="348">
        <f t="shared" si="36"/>
        <v>0.25090016763556833</v>
      </c>
      <c r="BE38" s="348">
        <f t="shared" si="37"/>
        <v>2.4912166390520119E-2</v>
      </c>
    </row>
    <row r="39" spans="1:57" x14ac:dyDescent="0.2">
      <c r="A39" s="23" t="s">
        <v>70</v>
      </c>
      <c r="B39" s="5">
        <f>Qg_Q1*1000000000</f>
        <v>8</v>
      </c>
      <c r="C39" s="427" t="s">
        <v>65</v>
      </c>
      <c r="D39" s="21" t="s">
        <v>99</v>
      </c>
      <c r="G39">
        <v>30</v>
      </c>
      <c r="H39" s="531">
        <f t="shared" si="0"/>
        <v>12</v>
      </c>
      <c r="I39" s="4">
        <f t="shared" si="1"/>
        <v>1</v>
      </c>
      <c r="J39" s="348">
        <f t="shared" si="38"/>
        <v>2.4</v>
      </c>
      <c r="K39" s="348">
        <f t="shared" si="2"/>
        <v>2.4</v>
      </c>
      <c r="L39" s="4">
        <f t="shared" si="3"/>
        <v>1.1111111111111109</v>
      </c>
      <c r="M39" s="348">
        <f t="shared" si="4"/>
        <v>0.41938345975010172</v>
      </c>
      <c r="N39" s="4">
        <f t="shared" si="5"/>
        <v>0.63205263063809702</v>
      </c>
      <c r="O39" s="4">
        <f t="shared" si="39"/>
        <v>2.7160263153190485</v>
      </c>
      <c r="P39" s="4">
        <f t="shared" si="40"/>
        <v>2.0839736846809513</v>
      </c>
      <c r="Q39" s="4">
        <f t="shared" si="6"/>
        <v>0</v>
      </c>
      <c r="R39" s="4">
        <f t="shared" si="41"/>
        <v>2.4069256069360998</v>
      </c>
      <c r="S39" s="348">
        <f t="shared" si="7"/>
        <v>2.0276518070636494E-2</v>
      </c>
      <c r="T39" s="348">
        <f t="shared" si="8"/>
        <v>0.2</v>
      </c>
      <c r="U39" s="348">
        <f t="shared" si="9"/>
        <v>0.22063441388504806</v>
      </c>
      <c r="V39" s="4">
        <f t="shared" si="42"/>
        <v>0.18245787822045823</v>
      </c>
      <c r="W39" s="348">
        <f t="shared" si="10"/>
        <v>3.3290877324711565E-5</v>
      </c>
      <c r="X39" s="348">
        <f t="shared" si="43"/>
        <v>3.3290877324711565E-5</v>
      </c>
      <c r="Y39" s="4">
        <f t="shared" si="44"/>
        <v>1.1877171245876872</v>
      </c>
      <c r="Z39" s="348">
        <f t="shared" si="11"/>
        <v>1.4106719680388438E-3</v>
      </c>
      <c r="AA39" s="525">
        <f t="shared" si="45"/>
        <v>1.4106719680388438E-3</v>
      </c>
      <c r="AB39" s="348">
        <f t="shared" si="46"/>
        <v>1.5587207483930983</v>
      </c>
      <c r="AC39" s="348">
        <f t="shared" si="12"/>
        <v>2.9155324457653686E-2</v>
      </c>
      <c r="AD39" s="348">
        <f t="shared" si="13"/>
        <v>0.23922093264248703</v>
      </c>
      <c r="AE39" s="348">
        <f t="shared" si="14"/>
        <v>0.71819999999999995</v>
      </c>
      <c r="AF39" s="348">
        <f t="shared" si="15"/>
        <v>0</v>
      </c>
      <c r="AG39" s="348">
        <f t="shared" si="16"/>
        <v>0.99143238662901978</v>
      </c>
      <c r="AH39" s="348">
        <f t="shared" si="17"/>
        <v>1.8340339434845727</v>
      </c>
      <c r="AI39" s="348">
        <f t="shared" si="18"/>
        <v>1.3791090073999647E-2</v>
      </c>
      <c r="AJ39" s="348">
        <f t="shared" si="19"/>
        <v>9.8783999999999983E-2</v>
      </c>
      <c r="AK39" s="348">
        <f t="shared" si="20"/>
        <v>0.11282841123414772</v>
      </c>
      <c r="AL39" s="348">
        <f t="shared" si="21"/>
        <v>9.8783999999999983E-2</v>
      </c>
      <c r="AM39" s="348">
        <f t="shared" si="22"/>
        <v>0.44603999999999999</v>
      </c>
      <c r="AN39" s="348">
        <f t="shared" si="23"/>
        <v>2.6649138035693676E-2</v>
      </c>
      <c r="AO39" s="348">
        <f t="shared" si="24"/>
        <v>2.6400000000000001E-5</v>
      </c>
      <c r="AP39" s="348">
        <f t="shared" si="25"/>
        <v>0.34650000000000003</v>
      </c>
      <c r="AQ39" s="348">
        <f t="shared" si="26"/>
        <v>0.61836923076923067</v>
      </c>
      <c r="AR39" s="348">
        <f t="shared" si="27"/>
        <v>0.48509999999999998</v>
      </c>
      <c r="AS39" s="348">
        <f t="shared" si="28"/>
        <v>0.34652640000000001</v>
      </c>
      <c r="AT39" s="348">
        <f t="shared" si="29"/>
        <v>2.2443387126292724</v>
      </c>
      <c r="AU39">
        <f t="shared" si="30"/>
        <v>12</v>
      </c>
      <c r="AV39" s="526">
        <f t="shared" si="47"/>
        <v>0.84243995050192089</v>
      </c>
      <c r="AW39" s="534">
        <f t="shared" si="31"/>
        <v>54.004389038418836</v>
      </c>
      <c r="AX39" s="534">
        <f t="shared" si="32"/>
        <v>10.582879577229811</v>
      </c>
      <c r="AY39" s="9"/>
      <c r="AZ39" s="4">
        <f t="shared" si="48"/>
        <v>84.243995050192083</v>
      </c>
      <c r="BA39" s="348">
        <f t="shared" si="33"/>
        <v>0.22063441388504806</v>
      </c>
      <c r="BB39" s="348">
        <f t="shared" si="34"/>
        <v>1.5503007978631675</v>
      </c>
      <c r="BC39" s="348">
        <f t="shared" si="35"/>
        <v>1.2858187866290198</v>
      </c>
      <c r="BD39" s="348">
        <f t="shared" si="36"/>
        <v>0.26002161123414769</v>
      </c>
      <c r="BE39" s="348">
        <f t="shared" si="37"/>
        <v>2.6649138035693676E-2</v>
      </c>
    </row>
    <row r="40" spans="1:57" x14ac:dyDescent="0.2">
      <c r="A40" s="23" t="s">
        <v>120</v>
      </c>
      <c r="B40" s="5">
        <f>Qgd_Q1*1000000000</f>
        <v>2.9</v>
      </c>
      <c r="C40" s="427" t="s">
        <v>65</v>
      </c>
      <c r="D40" s="21" t="s">
        <v>121</v>
      </c>
      <c r="G40">
        <v>31</v>
      </c>
      <c r="H40" s="531">
        <f t="shared" si="0"/>
        <v>12</v>
      </c>
      <c r="I40" s="4">
        <f t="shared" si="1"/>
        <v>1</v>
      </c>
      <c r="J40" s="348">
        <f t="shared" si="38"/>
        <v>2.48</v>
      </c>
      <c r="K40" s="348">
        <f t="shared" si="2"/>
        <v>2.48</v>
      </c>
      <c r="L40" s="4">
        <f t="shared" si="3"/>
        <v>1.1481481481481481</v>
      </c>
      <c r="M40" s="348">
        <f t="shared" si="4"/>
        <v>0.41947408132346259</v>
      </c>
      <c r="N40" s="4">
        <f t="shared" si="5"/>
        <v>0.63207662025501388</v>
      </c>
      <c r="O40" s="4">
        <f t="shared" si="39"/>
        <v>2.796038310127507</v>
      </c>
      <c r="P40" s="4">
        <f t="shared" si="40"/>
        <v>2.1639616898724929</v>
      </c>
      <c r="Q40" s="4">
        <f t="shared" si="6"/>
        <v>0</v>
      </c>
      <c r="R40" s="4">
        <f t="shared" si="41"/>
        <v>2.4867033205610629</v>
      </c>
      <c r="S40" s="348">
        <f t="shared" si="7"/>
        <v>2.1642926915712957E-2</v>
      </c>
      <c r="T40" s="348">
        <f t="shared" si="8"/>
        <v>0.2</v>
      </c>
      <c r="U40" s="348">
        <f t="shared" si="9"/>
        <v>0.22202735265706064</v>
      </c>
      <c r="V40" s="4">
        <f t="shared" si="42"/>
        <v>0.18246480342635057</v>
      </c>
      <c r="W40" s="348">
        <f t="shared" si="10"/>
        <v>3.3293404489416755E-5</v>
      </c>
      <c r="X40" s="348">
        <f t="shared" si="43"/>
        <v>3.3293404489416755E-5</v>
      </c>
      <c r="Y40" s="4">
        <f t="shared" si="44"/>
        <v>1.2271208839420953</v>
      </c>
      <c r="Z40" s="348">
        <f t="shared" si="11"/>
        <v>1.5058256638068293E-3</v>
      </c>
      <c r="AA40" s="525">
        <f t="shared" si="45"/>
        <v>1.5058256638068293E-3</v>
      </c>
      <c r="AB40" s="348">
        <f t="shared" si="46"/>
        <v>1.6105586329078967</v>
      </c>
      <c r="AC40" s="348">
        <f t="shared" si="12"/>
        <v>3.1126789320409839E-2</v>
      </c>
      <c r="AD40" s="348">
        <f t="shared" si="13"/>
        <v>0.24719496373056993</v>
      </c>
      <c r="AE40" s="348">
        <f t="shared" si="14"/>
        <v>0.71819999999999995</v>
      </c>
      <c r="AF40" s="348">
        <f t="shared" si="15"/>
        <v>0</v>
      </c>
      <c r="AG40" s="348">
        <f t="shared" si="16"/>
        <v>1.0017602585780572</v>
      </c>
      <c r="AH40" s="348">
        <f t="shared" si="17"/>
        <v>1.8946752477549456</v>
      </c>
      <c r="AI40" s="348">
        <f t="shared" si="18"/>
        <v>1.4718156607266582E-2</v>
      </c>
      <c r="AJ40" s="348">
        <f t="shared" si="19"/>
        <v>0.10207679999999998</v>
      </c>
      <c r="AK40" s="348">
        <f t="shared" si="20"/>
        <v>0.11707548303315474</v>
      </c>
      <c r="AL40" s="348">
        <f t="shared" si="21"/>
        <v>0.10207679999999998</v>
      </c>
      <c r="AM40" s="348">
        <f t="shared" si="22"/>
        <v>0.46090799999999998</v>
      </c>
      <c r="AN40" s="348">
        <f t="shared" si="23"/>
        <v>2.8444989660651312E-2</v>
      </c>
      <c r="AO40" s="348">
        <f t="shared" si="24"/>
        <v>2.6400000000000001E-5</v>
      </c>
      <c r="AP40" s="348">
        <f t="shared" si="25"/>
        <v>0.34650000000000003</v>
      </c>
      <c r="AQ40" s="348">
        <f t="shared" si="26"/>
        <v>0.61836923076923067</v>
      </c>
      <c r="AR40" s="348">
        <f t="shared" si="27"/>
        <v>0.48509999999999998</v>
      </c>
      <c r="AS40" s="348">
        <f t="shared" si="28"/>
        <v>0.34652640000000001</v>
      </c>
      <c r="AT40" s="348">
        <f t="shared" si="29"/>
        <v>2.2803584029972201</v>
      </c>
      <c r="AU40">
        <f t="shared" si="30"/>
        <v>12.4</v>
      </c>
      <c r="AV40" s="526">
        <f t="shared" si="47"/>
        <v>0.8446660265098398</v>
      </c>
      <c r="AW40" s="534">
        <f t="shared" si="31"/>
        <v>54.850300620278396</v>
      </c>
      <c r="AX40" s="534">
        <f t="shared" si="32"/>
        <v>10.955427507449398</v>
      </c>
      <c r="AY40" s="9"/>
      <c r="AZ40" s="4">
        <f t="shared" si="48"/>
        <v>84.466602650983987</v>
      </c>
      <c r="BA40" s="348">
        <f t="shared" si="33"/>
        <v>0.22202735265706064</v>
      </c>
      <c r="BB40" s="348">
        <f t="shared" si="34"/>
        <v>1.5797437416112117</v>
      </c>
      <c r="BC40" s="348">
        <f t="shared" si="35"/>
        <v>1.3059595385780571</v>
      </c>
      <c r="BD40" s="348">
        <f t="shared" si="36"/>
        <v>0.26917512303315472</v>
      </c>
      <c r="BE40" s="348">
        <f t="shared" si="37"/>
        <v>2.8444989660651312E-2</v>
      </c>
    </row>
    <row r="41" spans="1:57" x14ac:dyDescent="0.2">
      <c r="A41" s="23" t="s">
        <v>124</v>
      </c>
      <c r="B41" s="5">
        <f>Qgs_Q1*1000000000</f>
        <v>3.1</v>
      </c>
      <c r="C41" s="427" t="s">
        <v>65</v>
      </c>
      <c r="D41" s="21"/>
      <c r="G41">
        <v>32</v>
      </c>
      <c r="H41" s="531">
        <f t="shared" ref="H41:H72" si="49">Vin</f>
        <v>12</v>
      </c>
      <c r="I41" s="4">
        <f t="shared" ref="I41:I72" si="50">MODE</f>
        <v>1</v>
      </c>
      <c r="J41" s="348">
        <f t="shared" si="38"/>
        <v>2.56</v>
      </c>
      <c r="K41" s="348">
        <f t="shared" ref="K41:K72" si="51">Iout*G41/100/Number_of_Phases</f>
        <v>2.56</v>
      </c>
      <c r="L41" s="4">
        <f t="shared" ref="L41:L72" si="52">Vout*K41/(Vin*Efficiency)</f>
        <v>1.1851851851851851</v>
      </c>
      <c r="M41" s="348">
        <f t="shared" ref="M41:M72" si="53">(Vout+(Rdson2+Rs+Rdcr)*K41)/(Vin+(Rs+Rdson2-Rdson1)*K41)</f>
        <v>0.41956470688698178</v>
      </c>
      <c r="N41" s="4">
        <f t="shared" ref="N41:N72" si="54">(Vin-(Rdson1+Rdcr)*K41-Vout)*M41/(Fsw*Lf)</f>
        <v>0.632100567238008</v>
      </c>
      <c r="O41" s="4">
        <f t="shared" si="39"/>
        <v>2.8760502836190041</v>
      </c>
      <c r="P41" s="4">
        <f t="shared" si="40"/>
        <v>2.2439497163809961</v>
      </c>
      <c r="Q41" s="4">
        <f t="shared" ref="Q41:Q72" si="55">IF(MIN(Vin, -P41/(Coss_Q1+Coss_Q2)*0.00000002)&lt;0, 0, MIN(Vin, -P41/(Coss_Q1+Coss_Q2)*0.00000002))</f>
        <v>0</v>
      </c>
      <c r="R41" s="4">
        <f t="shared" si="41"/>
        <v>2.5664948718551051</v>
      </c>
      <c r="S41" s="348">
        <f t="shared" ref="S41:S72" si="56">R41^2*Rdcr</f>
        <v>2.3054135745404932E-2</v>
      </c>
      <c r="T41" s="348">
        <f t="shared" ref="T41:T72" si="57">Core_Loss_Ch1</f>
        <v>0.2</v>
      </c>
      <c r="U41" s="348">
        <f t="shared" ref="U41:U72" si="58">(T41+S41*(1+Ltc*(Ta-25)))/(1-S41*Ltc*ThetaCa)</f>
        <v>0.22346628150447095</v>
      </c>
      <c r="V41" s="4">
        <f t="shared" si="42"/>
        <v>0.18247171632488954</v>
      </c>
      <c r="W41" s="348">
        <f t="shared" si="10"/>
        <v>3.3295927258550961E-5</v>
      </c>
      <c r="X41" s="348">
        <f t="shared" si="43"/>
        <v>3.3295927258550961E-5</v>
      </c>
      <c r="Y41" s="4">
        <f t="shared" si="44"/>
        <v>1.2665337906764247</v>
      </c>
      <c r="Z41" s="348">
        <f t="shared" si="11"/>
        <v>1.6041078429251936E-3</v>
      </c>
      <c r="AA41" s="525">
        <f t="shared" si="45"/>
        <v>1.6041078429251936E-3</v>
      </c>
      <c r="AB41" s="348">
        <f t="shared" si="46"/>
        <v>1.6624166322000298</v>
      </c>
      <c r="AC41" s="348">
        <f t="shared" ref="AC41:AC72" si="59">Rdson1*AB41^2</f>
        <v>3.3163548708183471E-2</v>
      </c>
      <c r="AD41" s="348">
        <f t="shared" ref="AD41:AD72" si="60">(Vin*K41/2)*Fsw*(Tr_buck+Tf_buck)</f>
        <v>0.25516899481865285</v>
      </c>
      <c r="AE41" s="348">
        <f t="shared" ref="AE41:AE72" si="61">(0.5*Coss_Q1*(Vin-Q41)^2-0.5*Coss_Q2*(Vin-Q41)^2+(Qoss_Q2*(Vin-Q41)/Vin)*Vin)*Fsw</f>
        <v>0.71819999999999995</v>
      </c>
      <c r="AF41" s="348">
        <f t="shared" ref="AF41:AF72" si="62">IF(K41&gt;N41/2,0,ABS(K41-N41/2)*Vsd_Q1*Deadtime*Fsw)</f>
        <v>0</v>
      </c>
      <c r="AG41" s="348">
        <f t="shared" ref="AG41:AG72" si="63">(AF41+AE41+AD41+AC41*(1+RdsonTopTc*Ta-RdsonTopTc*25))/(1-AC41*RdsonTopTc*ThetaJA_Q1)</f>
        <v>1.0121718347974884</v>
      </c>
      <c r="AH41" s="348">
        <f t="shared" ref="AH41:AH72" si="64">SQRT((1-M41))*SQRT(K41^2+(N41^2)/12)</f>
        <v>1.9553175875655757</v>
      </c>
      <c r="AI41" s="348">
        <f t="shared" ref="AI41:AI72" si="65">Rdson2*AH41^2</f>
        <v>1.5675394159797375E-2</v>
      </c>
      <c r="AJ41" s="348">
        <f t="shared" ref="AJ41:AJ72" si="66">IF(K41&lt;N41/2,Deadtime*Fsw*IF(VfdSky_Q2&gt;0,0,Vsd_Q2)*(K41+N41/2),2*Deadtime*Fsw*IF(VfdSky_Q2&gt;0,0,Vsd_Q2)*K41)</f>
        <v>0.10536959999999999</v>
      </c>
      <c r="AK41" s="348">
        <f t="shared" ref="AK41:AK72" si="67">(AJ41+AI41*(1+RdsonBotTc*Ta-RdsonBotTc*25))/(1-AI41*RdsonBotTc*ThetaJA_Q2)</f>
        <v>0.12135468575606635</v>
      </c>
      <c r="AL41" s="348">
        <f t="shared" ref="AL41:AL72" si="68">2*Deadtime*Fsw*IF(VfdSky_Q2&gt;0,VfdSky_Q2,Vsd_Q2)*K41</f>
        <v>0.10536959999999999</v>
      </c>
      <c r="AM41" s="348">
        <f t="shared" ref="AM41:AM72" si="69">IF(QrrSky_Q2&gt;0,QrrSky_Q2,Qrr_Q2*K41/(Iout/Number_of_Phases))*Fsw*Vin</f>
        <v>0.47577600000000003</v>
      </c>
      <c r="AN41" s="348">
        <f t="shared" ref="AN41:AN72" si="70">Rs*R41^2</f>
        <v>3.0299721265389337E-2</v>
      </c>
      <c r="AO41" s="348">
        <f t="shared" ref="AO41:AO72" si="71">Iq*Vin</f>
        <v>2.6400000000000001E-5</v>
      </c>
      <c r="AP41" s="348">
        <f t="shared" ref="AP41:AP72" si="72">IF(Ext_VCC=1,  (Qg_Q1+Qg_Q2)*Fsw*VCC, (Qg_Q1+Qg_Q2)*Fsw*Vin)</f>
        <v>0.34650000000000003</v>
      </c>
      <c r="AQ41" s="348">
        <f t="shared" si="26"/>
        <v>0.61836923076923067</v>
      </c>
      <c r="AR41" s="348">
        <f t="shared" ref="AR41:AR72" si="73">(Qg_Q1+Qg_Q2)*Fsw*(Vin-VCC)</f>
        <v>0.48509999999999998</v>
      </c>
      <c r="AS41" s="348">
        <f t="shared" ref="AS41:AS74" si="74">SUM(AO41:AP41)</f>
        <v>0.34652640000000001</v>
      </c>
      <c r="AT41" s="348">
        <f t="shared" ref="AT41:AT72" si="75" xml:space="preserve"> SUM(U41,X41,AA41,AG41,AK41,AL41,AM41,AS41,AN41)</f>
        <v>2.3166019270935987</v>
      </c>
      <c r="AU41">
        <f t="shared" ref="AU41:AU72" si="76">Vout*K41</f>
        <v>12.8</v>
      </c>
      <c r="AV41" s="526">
        <f t="shared" si="47"/>
        <v>0.84675114564328535</v>
      </c>
      <c r="AW41" s="534">
        <f t="shared" ref="AW41:AW72" si="77">ThetaJA_Q1*BC41</f>
        <v>55.699727781494516</v>
      </c>
      <c r="AX41" s="534">
        <f t="shared" ref="AX41:AX72" si="78">ThetaJA_Q2*BD41</f>
        <v>11.329283166271903</v>
      </c>
      <c r="AY41" s="9"/>
      <c r="AZ41" s="4">
        <f t="shared" si="48"/>
        <v>84.675114564328538</v>
      </c>
      <c r="BA41" s="348">
        <f t="shared" ref="BA41:BA72" si="79">U41</f>
        <v>0.22346628150447095</v>
      </c>
      <c r="BB41" s="348">
        <f t="shared" ref="BB41:BB73" si="80">AG41+AK41+AM41</f>
        <v>1.6093025205535547</v>
      </c>
      <c r="BC41" s="348">
        <f t="shared" ref="BC41:BC73" si="81">AG41+AM41*0.66</f>
        <v>1.3261839947974885</v>
      </c>
      <c r="BD41" s="348">
        <f t="shared" ref="BD41:BD73" si="82">AK41+AM41*0.33</f>
        <v>0.27836076575606639</v>
      </c>
      <c r="BE41" s="348">
        <f t="shared" ref="BE41:BE73" si="83">AN41</f>
        <v>3.0299721265389337E-2</v>
      </c>
    </row>
    <row r="42" spans="1:57" x14ac:dyDescent="0.2">
      <c r="A42" s="23" t="s">
        <v>90</v>
      </c>
      <c r="B42" s="5">
        <f>Rgate1</f>
        <v>1.2</v>
      </c>
      <c r="C42" s="431" t="s">
        <v>116</v>
      </c>
      <c r="D42" s="21" t="s">
        <v>100</v>
      </c>
      <c r="G42">
        <v>33</v>
      </c>
      <c r="H42" s="531">
        <f t="shared" si="49"/>
        <v>12</v>
      </c>
      <c r="I42" s="4">
        <f t="shared" si="50"/>
        <v>1</v>
      </c>
      <c r="J42" s="348">
        <f t="shared" ref="J42:J73" si="84">Iout*G42/100</f>
        <v>2.64</v>
      </c>
      <c r="K42" s="348">
        <f t="shared" si="51"/>
        <v>2.64</v>
      </c>
      <c r="L42" s="4">
        <f t="shared" si="52"/>
        <v>1.2222222222222223</v>
      </c>
      <c r="M42" s="348">
        <f t="shared" si="53"/>
        <v>0.41965533644092273</v>
      </c>
      <c r="N42" s="4">
        <f t="shared" si="54"/>
        <v>0.63212447158426333</v>
      </c>
      <c r="O42" s="4">
        <f t="shared" si="39"/>
        <v>2.9560622357921318</v>
      </c>
      <c r="P42" s="4">
        <f t="shared" si="40"/>
        <v>2.3239377642078685</v>
      </c>
      <c r="Q42" s="4">
        <f t="shared" si="55"/>
        <v>0</v>
      </c>
      <c r="R42" s="4">
        <f t="shared" si="41"/>
        <v>2.6462990091127851</v>
      </c>
      <c r="S42" s="348">
        <f t="shared" si="56"/>
        <v>2.4510144559709582E-2</v>
      </c>
      <c r="T42" s="348">
        <f t="shared" si="57"/>
        <v>0.2</v>
      </c>
      <c r="U42" s="348">
        <f t="shared" si="58"/>
        <v>0.22495123153601618</v>
      </c>
      <c r="V42" s="4">
        <f t="shared" si="42"/>
        <v>0.18247861691526221</v>
      </c>
      <c r="W42" s="348">
        <f t="shared" si="10"/>
        <v>3.3298445631307014E-5</v>
      </c>
      <c r="X42" s="348">
        <f t="shared" si="43"/>
        <v>3.3298445631307014E-5</v>
      </c>
      <c r="Y42" s="4">
        <f t="shared" si="44"/>
        <v>1.3059552237486354</v>
      </c>
      <c r="Z42" s="348">
        <f t="shared" si="11"/>
        <v>1.7055190464363484E-3</v>
      </c>
      <c r="AA42" s="525">
        <f t="shared" si="45"/>
        <v>1.7055190464363484E-3</v>
      </c>
      <c r="AB42" s="348">
        <f t="shared" si="46"/>
        <v>1.7142939372415167</v>
      </c>
      <c r="AC42" s="348">
        <f t="shared" si="59"/>
        <v>3.5265644439156252E-2</v>
      </c>
      <c r="AD42" s="348">
        <f t="shared" si="60"/>
        <v>0.26314302590673577</v>
      </c>
      <c r="AE42" s="348">
        <f t="shared" si="61"/>
        <v>0.71819999999999995</v>
      </c>
      <c r="AF42" s="348">
        <f t="shared" si="62"/>
        <v>0</v>
      </c>
      <c r="AG42" s="348">
        <f t="shared" si="63"/>
        <v>1.0226675956898112</v>
      </c>
      <c r="AH42" s="348">
        <f t="shared" si="64"/>
        <v>2.015960005150967</v>
      </c>
      <c r="AI42" s="348">
        <f t="shared" si="65"/>
        <v>1.6662788443709973E-2</v>
      </c>
      <c r="AJ42" s="348">
        <f t="shared" si="66"/>
        <v>0.10866239999999999</v>
      </c>
      <c r="AK42" s="348">
        <f t="shared" si="67"/>
        <v>0.12566608307339727</v>
      </c>
      <c r="AL42" s="348">
        <f t="shared" si="68"/>
        <v>0.10866239999999999</v>
      </c>
      <c r="AM42" s="348">
        <f>IF(QrrSky_Q2&gt;0,QrrSky_Q2,Qrr_Q2*K42/(Iout/Number_of_Phases))*Fsw*Vin</f>
        <v>0.49064400000000008</v>
      </c>
      <c r="AN42" s="348">
        <f t="shared" si="70"/>
        <v>3.2213332849904019E-2</v>
      </c>
      <c r="AO42" s="348">
        <f t="shared" si="71"/>
        <v>2.6400000000000001E-5</v>
      </c>
      <c r="AP42" s="348">
        <f t="shared" si="72"/>
        <v>0.34650000000000003</v>
      </c>
      <c r="AQ42" s="348">
        <f t="shared" si="26"/>
        <v>0.61836923076923067</v>
      </c>
      <c r="AR42" s="348">
        <f t="shared" si="73"/>
        <v>0.48509999999999998</v>
      </c>
      <c r="AS42" s="348">
        <f t="shared" si="74"/>
        <v>0.34652640000000001</v>
      </c>
      <c r="AT42" s="348">
        <f t="shared" si="75"/>
        <v>2.3530698606411966</v>
      </c>
      <c r="AU42">
        <f t="shared" si="76"/>
        <v>13.200000000000001</v>
      </c>
      <c r="AV42" s="526">
        <f t="shared" si="47"/>
        <v>0.84870704743660241</v>
      </c>
      <c r="AW42" s="534">
        <f t="shared" si="77"/>
        <v>56.552690698972071</v>
      </c>
      <c r="AX42" s="534">
        <f t="shared" si="78"/>
        <v>11.704449145087272</v>
      </c>
      <c r="AY42" s="9"/>
      <c r="AZ42" s="4">
        <f t="shared" si="48"/>
        <v>84.870704743660241</v>
      </c>
      <c r="BA42" s="348">
        <f t="shared" si="79"/>
        <v>0.22495123153601618</v>
      </c>
      <c r="BB42" s="348">
        <f t="shared" si="80"/>
        <v>1.6389776787632087</v>
      </c>
      <c r="BC42" s="348">
        <f t="shared" si="81"/>
        <v>1.3464926356898113</v>
      </c>
      <c r="BD42" s="348">
        <f t="shared" si="82"/>
        <v>0.28757860307339733</v>
      </c>
      <c r="BE42" s="348">
        <f t="shared" si="83"/>
        <v>3.2213332849904019E-2</v>
      </c>
    </row>
    <row r="43" spans="1:57" x14ac:dyDescent="0.2">
      <c r="A43" s="23" t="s">
        <v>69</v>
      </c>
      <c r="B43" s="5">
        <f>Gfs_Q1</f>
        <v>55</v>
      </c>
      <c r="C43" s="427" t="s">
        <v>66</v>
      </c>
      <c r="D43" s="21" t="s">
        <v>101</v>
      </c>
      <c r="G43">
        <v>34</v>
      </c>
      <c r="H43" s="531">
        <f t="shared" si="49"/>
        <v>12</v>
      </c>
      <c r="I43" s="4">
        <f t="shared" si="50"/>
        <v>1</v>
      </c>
      <c r="J43" s="348">
        <f t="shared" si="84"/>
        <v>2.72</v>
      </c>
      <c r="K43" s="348">
        <f t="shared" si="51"/>
        <v>2.72</v>
      </c>
      <c r="L43" s="4">
        <f t="shared" si="52"/>
        <v>1.2592592592592593</v>
      </c>
      <c r="M43" s="348">
        <f t="shared" si="53"/>
        <v>0.41974596998554925</v>
      </c>
      <c r="N43" s="4">
        <f t="shared" si="54"/>
        <v>0.63214833329096398</v>
      </c>
      <c r="O43" s="4">
        <f t="shared" si="39"/>
        <v>3.036074166645482</v>
      </c>
      <c r="P43" s="4">
        <f t="shared" si="40"/>
        <v>2.4039258333545184</v>
      </c>
      <c r="Q43" s="4">
        <f t="shared" si="55"/>
        <v>0</v>
      </c>
      <c r="R43" s="4">
        <f t="shared" si="41"/>
        <v>2.7261146270116523</v>
      </c>
      <c r="S43" s="348">
        <f t="shared" si="56"/>
        <v>2.6010953358624082E-2</v>
      </c>
      <c r="T43" s="348">
        <f t="shared" si="57"/>
        <v>0.2</v>
      </c>
      <c r="U43" s="348">
        <f t="shared" si="58"/>
        <v>0.22648223486643751</v>
      </c>
      <c r="V43" s="4">
        <f t="shared" si="42"/>
        <v>0.18248550519665568</v>
      </c>
      <c r="W43" s="348">
        <f t="shared" si="10"/>
        <v>3.3300959606878649E-5</v>
      </c>
      <c r="X43" s="348">
        <f t="shared" si="43"/>
        <v>3.3300959606878649E-5</v>
      </c>
      <c r="Y43" s="4">
        <f t="shared" si="44"/>
        <v>1.3453846342837985</v>
      </c>
      <c r="Z43" s="348">
        <f t="shared" si="11"/>
        <v>1.8100598141669502E-3</v>
      </c>
      <c r="AA43" s="525">
        <f t="shared" si="45"/>
        <v>1.8100598141669502E-3</v>
      </c>
      <c r="AB43" s="348">
        <f t="shared" si="46"/>
        <v>1.7661898334926309</v>
      </c>
      <c r="AC43" s="348">
        <f t="shared" si="59"/>
        <v>3.7433118335192729E-2</v>
      </c>
      <c r="AD43" s="348">
        <f t="shared" si="60"/>
        <v>0.27111705699481864</v>
      </c>
      <c r="AE43" s="348">
        <f t="shared" si="61"/>
        <v>0.71819999999999995</v>
      </c>
      <c r="AF43" s="348">
        <f t="shared" si="62"/>
        <v>0</v>
      </c>
      <c r="AG43" s="348">
        <f t="shared" si="63"/>
        <v>1.0332480282092176</v>
      </c>
      <c r="AH43" s="348">
        <f t="shared" si="64"/>
        <v>2.0766016545486408</v>
      </c>
      <c r="AI43" s="348">
        <f t="shared" si="65"/>
        <v>1.7680325169864019E-2</v>
      </c>
      <c r="AJ43" s="348">
        <f t="shared" si="66"/>
        <v>0.11195519999999999</v>
      </c>
      <c r="AK43" s="348">
        <f t="shared" si="67"/>
        <v>0.13000973960582099</v>
      </c>
      <c r="AL43" s="348">
        <f t="shared" si="68"/>
        <v>0.11195519999999999</v>
      </c>
      <c r="AM43" s="348">
        <f t="shared" si="69"/>
        <v>0.50551200000000007</v>
      </c>
      <c r="AN43" s="348">
        <f t="shared" si="70"/>
        <v>3.418582441419165E-2</v>
      </c>
      <c r="AO43" s="348">
        <f t="shared" si="71"/>
        <v>2.6400000000000001E-5</v>
      </c>
      <c r="AP43" s="348">
        <f t="shared" si="72"/>
        <v>0.34650000000000003</v>
      </c>
      <c r="AQ43" s="348">
        <f t="shared" si="26"/>
        <v>0.61836923076923067</v>
      </c>
      <c r="AR43" s="348">
        <f t="shared" si="73"/>
        <v>0.48509999999999998</v>
      </c>
      <c r="AS43" s="348">
        <f t="shared" si="74"/>
        <v>0.34652640000000001</v>
      </c>
      <c r="AT43" s="348">
        <f t="shared" si="75"/>
        <v>2.3897627878694414</v>
      </c>
      <c r="AU43">
        <f t="shared" si="76"/>
        <v>13.600000000000001</v>
      </c>
      <c r="AV43" s="526">
        <f t="shared" si="47"/>
        <v>0.85054420008766962</v>
      </c>
      <c r="AW43" s="534">
        <f t="shared" si="77"/>
        <v>57.409209824787141</v>
      </c>
      <c r="AX43" s="534">
        <f t="shared" si="78"/>
        <v>12.080928073956917</v>
      </c>
      <c r="AY43" s="9"/>
      <c r="AZ43" s="4">
        <f t="shared" si="48"/>
        <v>85.054420008766968</v>
      </c>
      <c r="BA43" s="348">
        <f t="shared" si="79"/>
        <v>0.22648223486643751</v>
      </c>
      <c r="BB43" s="348">
        <f t="shared" si="80"/>
        <v>1.6687697678150388</v>
      </c>
      <c r="BC43" s="348">
        <f t="shared" si="81"/>
        <v>1.3668859482092177</v>
      </c>
      <c r="BD43" s="348">
        <f t="shared" si="82"/>
        <v>0.29682869960582103</v>
      </c>
      <c r="BE43" s="348">
        <f t="shared" si="83"/>
        <v>3.418582441419165E-2</v>
      </c>
    </row>
    <row r="44" spans="1:57" x14ac:dyDescent="0.2">
      <c r="A44" s="23" t="s">
        <v>92</v>
      </c>
      <c r="B44" s="5">
        <f>Vth_Q1</f>
        <v>3.1</v>
      </c>
      <c r="C44" s="427" t="s">
        <v>0</v>
      </c>
      <c r="D44" s="21" t="s">
        <v>102</v>
      </c>
      <c r="G44">
        <v>35</v>
      </c>
      <c r="H44" s="531">
        <f t="shared" si="49"/>
        <v>12</v>
      </c>
      <c r="I44" s="4">
        <f t="shared" si="50"/>
        <v>1</v>
      </c>
      <c r="J44" s="348">
        <f t="shared" si="84"/>
        <v>2.8</v>
      </c>
      <c r="K44" s="348">
        <f t="shared" si="51"/>
        <v>2.8</v>
      </c>
      <c r="L44" s="4">
        <f t="shared" si="52"/>
        <v>1.2962962962962963</v>
      </c>
      <c r="M44" s="348">
        <f t="shared" si="53"/>
        <v>0.41983660752112462</v>
      </c>
      <c r="N44" s="4">
        <f t="shared" si="54"/>
        <v>0.63217215235529345</v>
      </c>
      <c r="O44" s="4">
        <f t="shared" si="39"/>
        <v>3.1160860761776465</v>
      </c>
      <c r="P44" s="4">
        <f t="shared" si="40"/>
        <v>2.4839139238223531</v>
      </c>
      <c r="Q44" s="4">
        <f t="shared" si="55"/>
        <v>0</v>
      </c>
      <c r="R44" s="4">
        <f t="shared" si="41"/>
        <v>2.8059407458434436</v>
      </c>
      <c r="S44" s="348">
        <f t="shared" si="56"/>
        <v>2.7556562142145611E-2</v>
      </c>
      <c r="T44" s="348">
        <f t="shared" si="57"/>
        <v>0.2</v>
      </c>
      <c r="U44" s="348">
        <f t="shared" si="58"/>
        <v>0.22805932461822065</v>
      </c>
      <c r="V44" s="4">
        <f t="shared" si="42"/>
        <v>0.18249238116825689</v>
      </c>
      <c r="W44" s="348">
        <f t="shared" si="10"/>
        <v>3.3303469184460363E-5</v>
      </c>
      <c r="X44" s="348">
        <f t="shared" si="43"/>
        <v>3.3303469184460363E-5</v>
      </c>
      <c r="Y44" s="4">
        <f t="shared" si="44"/>
        <v>1.3848215353350137</v>
      </c>
      <c r="Z44" s="348">
        <f t="shared" si="11"/>
        <v>1.9177306847276247E-3</v>
      </c>
      <c r="AA44" s="525">
        <f t="shared" si="45"/>
        <v>1.9177306847276247E-3</v>
      </c>
      <c r="AB44" s="348">
        <f t="shared" si="46"/>
        <v>1.8181036874960419</v>
      </c>
      <c r="AC44" s="348">
        <f t="shared" si="59"/>
        <v>3.9666012221840463E-2</v>
      </c>
      <c r="AD44" s="348">
        <f t="shared" si="60"/>
        <v>0.27909108808290151</v>
      </c>
      <c r="AE44" s="348">
        <f t="shared" si="61"/>
        <v>0.71819999999999995</v>
      </c>
      <c r="AF44" s="348">
        <f t="shared" si="62"/>
        <v>0</v>
      </c>
      <c r="AG44" s="348">
        <f t="shared" si="63"/>
        <v>1.0439136259330695</v>
      </c>
      <c r="AH44" s="348">
        <f t="shared" si="64"/>
        <v>2.1372417857364092</v>
      </c>
      <c r="AI44" s="348">
        <f t="shared" si="65"/>
        <v>1.8727990047860792E-2</v>
      </c>
      <c r="AJ44" s="348">
        <f t="shared" si="66"/>
        <v>0.11524799999999998</v>
      </c>
      <c r="AK44" s="348">
        <f t="shared" si="67"/>
        <v>0.13438572092736059</v>
      </c>
      <c r="AL44" s="348">
        <f t="shared" si="68"/>
        <v>0.11524799999999998</v>
      </c>
      <c r="AM44" s="348">
        <f t="shared" si="69"/>
        <v>0.52038000000000006</v>
      </c>
      <c r="AN44" s="348">
        <f t="shared" si="70"/>
        <v>3.6217195958248516E-2</v>
      </c>
      <c r="AO44" s="348">
        <f t="shared" si="71"/>
        <v>2.6400000000000001E-5</v>
      </c>
      <c r="AP44" s="348">
        <f t="shared" si="72"/>
        <v>0.34650000000000003</v>
      </c>
      <c r="AQ44" s="348">
        <f t="shared" si="26"/>
        <v>0.61836923076923067</v>
      </c>
      <c r="AR44" s="348">
        <f t="shared" si="73"/>
        <v>0.48509999999999998</v>
      </c>
      <c r="AS44" s="348">
        <f t="shared" si="74"/>
        <v>0.34652640000000001</v>
      </c>
      <c r="AT44" s="348">
        <f t="shared" si="75"/>
        <v>2.4266813015908113</v>
      </c>
      <c r="AU44">
        <f t="shared" si="76"/>
        <v>14</v>
      </c>
      <c r="AV44" s="526">
        <f t="shared" si="47"/>
        <v>0.85227196796252425</v>
      </c>
      <c r="AW44" s="534">
        <f t="shared" si="77"/>
        <v>58.269305889188921</v>
      </c>
      <c r="AX44" s="534">
        <f t="shared" si="78"/>
        <v>12.458722621743577</v>
      </c>
      <c r="AY44" s="9"/>
      <c r="AZ44" s="4">
        <f t="shared" si="48"/>
        <v>85.227196796252429</v>
      </c>
      <c r="BA44" s="348">
        <f t="shared" si="79"/>
        <v>0.22805932461822065</v>
      </c>
      <c r="BB44" s="348">
        <f t="shared" si="80"/>
        <v>1.6986793468604302</v>
      </c>
      <c r="BC44" s="348">
        <f t="shared" si="81"/>
        <v>1.3873644259330695</v>
      </c>
      <c r="BD44" s="348">
        <f t="shared" si="82"/>
        <v>0.30611112092736059</v>
      </c>
      <c r="BE44" s="348">
        <f t="shared" si="83"/>
        <v>3.6217195958248516E-2</v>
      </c>
    </row>
    <row r="45" spans="1:57" x14ac:dyDescent="0.2">
      <c r="A45" s="28" t="s">
        <v>123</v>
      </c>
      <c r="B45" s="434">
        <f>Vsp_Q1</f>
        <v>3.2454545454545456</v>
      </c>
      <c r="C45" s="432" t="s">
        <v>0</v>
      </c>
      <c r="G45">
        <v>36</v>
      </c>
      <c r="H45" s="531">
        <f t="shared" si="49"/>
        <v>12</v>
      </c>
      <c r="I45" s="4">
        <f t="shared" si="50"/>
        <v>1</v>
      </c>
      <c r="J45" s="348">
        <f t="shared" si="84"/>
        <v>2.88</v>
      </c>
      <c r="K45" s="348">
        <f t="shared" si="51"/>
        <v>2.88</v>
      </c>
      <c r="L45" s="4">
        <f t="shared" si="52"/>
        <v>1.333333333333333</v>
      </c>
      <c r="M45" s="348">
        <f t="shared" si="53"/>
        <v>0.41992724904791257</v>
      </c>
      <c r="N45" s="4">
        <f t="shared" si="54"/>
        <v>0.63219592877443487</v>
      </c>
      <c r="O45" s="4">
        <f t="shared" si="39"/>
        <v>3.1960979643872172</v>
      </c>
      <c r="P45" s="4">
        <f t="shared" si="40"/>
        <v>2.5639020356127826</v>
      </c>
      <c r="Q45" s="4">
        <f t="shared" si="55"/>
        <v>0</v>
      </c>
      <c r="R45" s="4">
        <f t="shared" si="41"/>
        <v>2.8857764941802491</v>
      </c>
      <c r="S45" s="348">
        <f t="shared" si="56"/>
        <v>2.9146970910271373E-2</v>
      </c>
      <c r="T45" s="348">
        <f t="shared" si="57"/>
        <v>0.2</v>
      </c>
      <c r="U45" s="348">
        <f t="shared" si="58"/>
        <v>0.22968253492339213</v>
      </c>
      <c r="V45" s="4">
        <f t="shared" si="42"/>
        <v>0.18249924482925273</v>
      </c>
      <c r="W45" s="348">
        <f t="shared" si="10"/>
        <v>3.330597436324753E-5</v>
      </c>
      <c r="X45" s="348">
        <f t="shared" si="43"/>
        <v>3.330597436324753E-5</v>
      </c>
      <c r="Y45" s="4">
        <f t="shared" si="44"/>
        <v>1.424265493337775</v>
      </c>
      <c r="Z45" s="348">
        <f t="shared" si="11"/>
        <v>2.0285321955126954E-3</v>
      </c>
      <c r="AA45" s="525">
        <f t="shared" si="45"/>
        <v>2.0285321955126954E-3</v>
      </c>
      <c r="AB45" s="348">
        <f t="shared" si="46"/>
        <v>1.8700349356881611</v>
      </c>
      <c r="AC45" s="348">
        <f t="shared" si="59"/>
        <v>4.1964367928330706E-2</v>
      </c>
      <c r="AD45" s="348">
        <f t="shared" si="60"/>
        <v>0.28706511917098448</v>
      </c>
      <c r="AE45" s="348">
        <f t="shared" si="61"/>
        <v>0.71819999999999995</v>
      </c>
      <c r="AF45" s="348">
        <f t="shared" si="62"/>
        <v>0</v>
      </c>
      <c r="AG45" s="348">
        <f t="shared" si="63"/>
        <v>1.0546648891347037</v>
      </c>
      <c r="AH45" s="348">
        <f t="shared" si="64"/>
        <v>2.1978797313931953</v>
      </c>
      <c r="AI45" s="348">
        <f t="shared" si="65"/>
        <v>1.9805768786042996E-2</v>
      </c>
      <c r="AJ45" s="348">
        <f t="shared" si="66"/>
        <v>0.11854079999999999</v>
      </c>
      <c r="AK45" s="348">
        <f t="shared" si="67"/>
        <v>0.1387940935686503</v>
      </c>
      <c r="AL45" s="348">
        <f t="shared" si="68"/>
        <v>0.11854079999999999</v>
      </c>
      <c r="AM45" s="348">
        <f t="shared" si="69"/>
        <v>0.53524799999999995</v>
      </c>
      <c r="AN45" s="348">
        <f t="shared" si="70"/>
        <v>3.8307447482070947E-2</v>
      </c>
      <c r="AO45" s="348">
        <f t="shared" si="71"/>
        <v>2.6400000000000001E-5</v>
      </c>
      <c r="AP45" s="348">
        <f t="shared" si="72"/>
        <v>0.34650000000000003</v>
      </c>
      <c r="AQ45" s="348">
        <f t="shared" si="26"/>
        <v>0.61836923076923067</v>
      </c>
      <c r="AR45" s="348">
        <f t="shared" si="73"/>
        <v>0.48509999999999998</v>
      </c>
      <c r="AS45" s="348">
        <f t="shared" si="74"/>
        <v>0.34652640000000001</v>
      </c>
      <c r="AT45" s="348">
        <f t="shared" si="75"/>
        <v>2.4638260032786929</v>
      </c>
      <c r="AU45">
        <f t="shared" si="76"/>
        <v>14.399999999999999</v>
      </c>
      <c r="AV45" s="526">
        <f t="shared" si="47"/>
        <v>0.85389875329597964</v>
      </c>
      <c r="AW45" s="534">
        <f t="shared" si="77"/>
        <v>59.132999903657556</v>
      </c>
      <c r="AX45" s="534">
        <f t="shared" si="78"/>
        <v>12.837835496244068</v>
      </c>
      <c r="AY45" s="9"/>
      <c r="AZ45" s="4">
        <f t="shared" si="48"/>
        <v>85.38987532959797</v>
      </c>
      <c r="BA45" s="348">
        <f t="shared" si="79"/>
        <v>0.22968253492339213</v>
      </c>
      <c r="BB45" s="348">
        <f t="shared" si="80"/>
        <v>1.7287069827033539</v>
      </c>
      <c r="BC45" s="348">
        <f t="shared" si="81"/>
        <v>1.4079285691347037</v>
      </c>
      <c r="BD45" s="348">
        <f t="shared" si="82"/>
        <v>0.31542593356865029</v>
      </c>
      <c r="BE45" s="348">
        <f t="shared" si="83"/>
        <v>3.8307447482070947E-2</v>
      </c>
    </row>
    <row r="46" spans="1:57" x14ac:dyDescent="0.2">
      <c r="A46" s="77" t="s">
        <v>200</v>
      </c>
      <c r="B46" s="5">
        <f>Vsd_Q1</f>
        <v>0.7</v>
      </c>
      <c r="C46" s="432" t="s">
        <v>0</v>
      </c>
      <c r="G46">
        <v>37</v>
      </c>
      <c r="H46" s="531">
        <f t="shared" si="49"/>
        <v>12</v>
      </c>
      <c r="I46" s="4">
        <f t="shared" si="50"/>
        <v>1</v>
      </c>
      <c r="J46" s="348">
        <f t="shared" si="84"/>
        <v>2.96</v>
      </c>
      <c r="K46" s="348">
        <f t="shared" si="51"/>
        <v>2.96</v>
      </c>
      <c r="L46" s="4">
        <f t="shared" si="52"/>
        <v>1.3703703703703702</v>
      </c>
      <c r="M46" s="348">
        <f t="shared" si="53"/>
        <v>0.42001789456617683</v>
      </c>
      <c r="N46" s="4">
        <f t="shared" si="54"/>
        <v>0.63221966254557171</v>
      </c>
      <c r="O46" s="4">
        <f t="shared" si="39"/>
        <v>3.2761098312727857</v>
      </c>
      <c r="P46" s="4">
        <f t="shared" si="40"/>
        <v>2.6438901687272143</v>
      </c>
      <c r="Q46" s="4">
        <f t="shared" si="55"/>
        <v>0</v>
      </c>
      <c r="R46" s="4">
        <f t="shared" si="41"/>
        <v>2.9656210943312424</v>
      </c>
      <c r="S46" s="348">
        <f t="shared" si="56"/>
        <v>3.0782179662998524E-2</v>
      </c>
      <c r="T46" s="348">
        <f t="shared" si="57"/>
        <v>0.2</v>
      </c>
      <c r="U46" s="348">
        <f t="shared" si="58"/>
        <v>0.23135190092537139</v>
      </c>
      <c r="V46" s="4">
        <f t="shared" si="42"/>
        <v>0.1825060961788301</v>
      </c>
      <c r="W46" s="348">
        <f t="shared" si="10"/>
        <v>3.3308475142436382E-5</v>
      </c>
      <c r="X46" s="348">
        <f t="shared" si="43"/>
        <v>3.3308475142436382E-5</v>
      </c>
      <c r="Y46" s="4">
        <f t="shared" si="44"/>
        <v>1.4637161209400913</v>
      </c>
      <c r="Z46" s="348">
        <f t="shared" si="11"/>
        <v>2.1424648826999077E-3</v>
      </c>
      <c r="AA46" s="525">
        <f t="shared" si="45"/>
        <v>2.1424648826999077E-3</v>
      </c>
      <c r="AB46" s="348">
        <f t="shared" si="46"/>
        <v>1.9219830750117315</v>
      </c>
      <c r="AC46" s="348">
        <f t="shared" si="59"/>
        <v>4.4328227287578612E-2</v>
      </c>
      <c r="AD46" s="348">
        <f t="shared" si="60"/>
        <v>0.2950391502590673</v>
      </c>
      <c r="AE46" s="348">
        <f t="shared" si="61"/>
        <v>0.71819999999999995</v>
      </c>
      <c r="AF46" s="348">
        <f t="shared" si="62"/>
        <v>0</v>
      </c>
      <c r="AG46" s="348">
        <f t="shared" si="63"/>
        <v>1.0655023248575766</v>
      </c>
      <c r="AH46" s="348">
        <f t="shared" si="64"/>
        <v>2.2585148957912331</v>
      </c>
      <c r="AI46" s="348">
        <f t="shared" si="65"/>
        <v>2.0913647091494625E-2</v>
      </c>
      <c r="AJ46" s="348">
        <f t="shared" si="66"/>
        <v>0.12183359999999999</v>
      </c>
      <c r="AK46" s="348">
        <f t="shared" si="67"/>
        <v>0.14323492502026725</v>
      </c>
      <c r="AL46" s="348">
        <f t="shared" si="68"/>
        <v>0.12183359999999999</v>
      </c>
      <c r="AM46" s="348">
        <f t="shared" si="69"/>
        <v>0.55011600000000005</v>
      </c>
      <c r="AN46" s="348">
        <f t="shared" si="70"/>
        <v>4.0456578985655203E-2</v>
      </c>
      <c r="AO46" s="348">
        <f t="shared" si="71"/>
        <v>2.6400000000000001E-5</v>
      </c>
      <c r="AP46" s="348">
        <f t="shared" si="72"/>
        <v>0.34650000000000003</v>
      </c>
      <c r="AQ46" s="348">
        <f t="shared" si="26"/>
        <v>0.61836923076923067</v>
      </c>
      <c r="AR46" s="348">
        <f t="shared" si="73"/>
        <v>0.48509999999999998</v>
      </c>
      <c r="AS46" s="348">
        <f t="shared" si="74"/>
        <v>0.34652640000000001</v>
      </c>
      <c r="AT46" s="348">
        <f t="shared" si="75"/>
        <v>2.5011975031467131</v>
      </c>
      <c r="AU46">
        <f t="shared" si="76"/>
        <v>14.8</v>
      </c>
      <c r="AV46" s="526">
        <f t="shared" si="47"/>
        <v>0.85543211660974339</v>
      </c>
      <c r="AW46" s="534">
        <f t="shared" si="77"/>
        <v>60.000313164018223</v>
      </c>
      <c r="AX46" s="534">
        <f t="shared" si="78"/>
        <v>13.21826944432488</v>
      </c>
      <c r="AY46" s="9"/>
      <c r="AZ46" s="4">
        <f t="shared" si="48"/>
        <v>85.543211660974336</v>
      </c>
      <c r="BA46" s="348">
        <f t="shared" si="79"/>
        <v>0.23135190092537139</v>
      </c>
      <c r="BB46" s="348">
        <f t="shared" si="80"/>
        <v>1.758853249877844</v>
      </c>
      <c r="BC46" s="348">
        <f t="shared" si="81"/>
        <v>1.4285788848575767</v>
      </c>
      <c r="BD46" s="348">
        <f t="shared" si="82"/>
        <v>0.3247732050202673</v>
      </c>
      <c r="BE46" s="348">
        <f t="shared" si="83"/>
        <v>4.0456578985655203E-2</v>
      </c>
    </row>
    <row r="47" spans="1:57" ht="15.75" x14ac:dyDescent="0.3">
      <c r="A47" s="433" t="s">
        <v>456</v>
      </c>
      <c r="B47" s="5">
        <f>ThetaJA_Q1</f>
        <v>42</v>
      </c>
      <c r="C47" s="428" t="s">
        <v>202</v>
      </c>
      <c r="D47" s="21" t="s">
        <v>103</v>
      </c>
      <c r="G47">
        <v>38</v>
      </c>
      <c r="H47" s="531">
        <f t="shared" si="49"/>
        <v>12</v>
      </c>
      <c r="I47" s="4">
        <f t="shared" si="50"/>
        <v>1</v>
      </c>
      <c r="J47" s="348">
        <f t="shared" si="84"/>
        <v>3.04</v>
      </c>
      <c r="K47" s="348">
        <f t="shared" si="51"/>
        <v>3.04</v>
      </c>
      <c r="L47" s="4">
        <f t="shared" si="52"/>
        <v>1.4074074074074072</v>
      </c>
      <c r="M47" s="348">
        <f t="shared" si="53"/>
        <v>0.42010854407618103</v>
      </c>
      <c r="N47" s="4">
        <f t="shared" si="54"/>
        <v>0.63224335366588691</v>
      </c>
      <c r="O47" s="4">
        <f t="shared" si="39"/>
        <v>3.3561216768329434</v>
      </c>
      <c r="P47" s="4">
        <f t="shared" si="40"/>
        <v>2.7238783231670567</v>
      </c>
      <c r="Q47" s="4">
        <f t="shared" si="55"/>
        <v>0</v>
      </c>
      <c r="R47" s="4">
        <f t="shared" si="41"/>
        <v>3.0454738500800209</v>
      </c>
      <c r="S47" s="348">
        <f t="shared" si="56"/>
        <v>3.2462188400324291E-2</v>
      </c>
      <c r="T47" s="348">
        <f t="shared" si="57"/>
        <v>0.2</v>
      </c>
      <c r="U47" s="348">
        <f t="shared" si="58"/>
        <v>0.23306745878087867</v>
      </c>
      <c r="V47" s="4">
        <f t="shared" si="42"/>
        <v>0.18251293521617579</v>
      </c>
      <c r="W47" s="348">
        <f t="shared" si="10"/>
        <v>3.3310971521223981E-5</v>
      </c>
      <c r="X47" s="348">
        <f t="shared" si="43"/>
        <v>3.3310971521223981E-5</v>
      </c>
      <c r="Y47" s="4">
        <f t="shared" si="44"/>
        <v>1.5031730709569546</v>
      </c>
      <c r="Z47" s="348">
        <f t="shared" si="11"/>
        <v>2.2595292812501622E-3</v>
      </c>
      <c r="AA47" s="525">
        <f t="shared" si="45"/>
        <v>2.2595292812501622E-3</v>
      </c>
      <c r="AB47" s="348">
        <f t="shared" si="46"/>
        <v>1.9739476550005017</v>
      </c>
      <c r="AC47" s="348">
        <f t="shared" si="59"/>
        <v>4.6757632136183759E-2</v>
      </c>
      <c r="AD47" s="348">
        <f t="shared" si="60"/>
        <v>0.30301318134715033</v>
      </c>
      <c r="AE47" s="348">
        <f t="shared" si="61"/>
        <v>0.71819999999999995</v>
      </c>
      <c r="AF47" s="348">
        <f t="shared" si="62"/>
        <v>0</v>
      </c>
      <c r="AG47" s="348">
        <f t="shared" si="63"/>
        <v>1.0764264469907832</v>
      </c>
      <c r="AH47" s="348">
        <f t="shared" si="64"/>
        <v>2.3191467454301473</v>
      </c>
      <c r="AI47" s="348">
        <f t="shared" si="65"/>
        <v>2.2051610670040897E-2</v>
      </c>
      <c r="AJ47" s="348">
        <f t="shared" si="66"/>
        <v>0.1251264</v>
      </c>
      <c r="AK47" s="348">
        <f t="shared" si="67"/>
        <v>0.14770828373613507</v>
      </c>
      <c r="AL47" s="348">
        <f t="shared" si="68"/>
        <v>0.1251264</v>
      </c>
      <c r="AM47" s="348">
        <f t="shared" si="69"/>
        <v>0.56498399999999993</v>
      </c>
      <c r="AN47" s="348">
        <f t="shared" si="70"/>
        <v>4.2664590468997642E-2</v>
      </c>
      <c r="AO47" s="348">
        <f t="shared" si="71"/>
        <v>2.6400000000000001E-5</v>
      </c>
      <c r="AP47" s="348">
        <f t="shared" si="72"/>
        <v>0.34650000000000003</v>
      </c>
      <c r="AQ47" s="348">
        <f t="shared" si="26"/>
        <v>0.61836923076923067</v>
      </c>
      <c r="AR47" s="348">
        <f t="shared" si="73"/>
        <v>0.48509999999999998</v>
      </c>
      <c r="AS47" s="348">
        <f t="shared" si="74"/>
        <v>0.34652640000000001</v>
      </c>
      <c r="AT47" s="348">
        <f t="shared" si="75"/>
        <v>2.5387964202295659</v>
      </c>
      <c r="AU47">
        <f t="shared" si="76"/>
        <v>15.2</v>
      </c>
      <c r="AV47" s="526">
        <f t="shared" si="47"/>
        <v>0.8568788794861929</v>
      </c>
      <c r="AW47" s="534">
        <f t="shared" si="77"/>
        <v>60.871267253612892</v>
      </c>
      <c r="AX47" s="534">
        <f t="shared" si="78"/>
        <v>13.600027252060697</v>
      </c>
      <c r="AY47" s="9"/>
      <c r="AZ47" s="4">
        <f t="shared" si="48"/>
        <v>85.687887948619291</v>
      </c>
      <c r="BA47" s="348">
        <f t="shared" si="79"/>
        <v>0.23306745878087867</v>
      </c>
      <c r="BB47" s="348">
        <f t="shared" si="80"/>
        <v>1.7891187307269181</v>
      </c>
      <c r="BC47" s="348">
        <f t="shared" si="81"/>
        <v>1.4493158869907832</v>
      </c>
      <c r="BD47" s="348">
        <f t="shared" si="82"/>
        <v>0.33415300373613505</v>
      </c>
      <c r="BE47" s="348">
        <f t="shared" si="83"/>
        <v>4.2664590468997642E-2</v>
      </c>
    </row>
    <row r="48" spans="1:57" x14ac:dyDescent="0.2">
      <c r="A48" s="24" t="s">
        <v>509</v>
      </c>
      <c r="B48" s="15" t="s">
        <v>111</v>
      </c>
      <c r="C48" s="24" t="s">
        <v>76</v>
      </c>
      <c r="D48" s="17" t="s">
        <v>107</v>
      </c>
      <c r="G48">
        <v>39</v>
      </c>
      <c r="H48" s="531">
        <f t="shared" si="49"/>
        <v>12</v>
      </c>
      <c r="I48" s="4">
        <f t="shared" si="50"/>
        <v>1</v>
      </c>
      <c r="J48" s="348">
        <f t="shared" si="84"/>
        <v>3.12</v>
      </c>
      <c r="K48" s="348">
        <f t="shared" si="51"/>
        <v>3.12</v>
      </c>
      <c r="L48" s="4">
        <f t="shared" si="52"/>
        <v>1.4444444444444444</v>
      </c>
      <c r="M48" s="348">
        <f t="shared" si="53"/>
        <v>0.4201991975781888</v>
      </c>
      <c r="N48" s="4">
        <f t="shared" si="54"/>
        <v>0.63226700213256282</v>
      </c>
      <c r="O48" s="4">
        <f t="shared" si="39"/>
        <v>3.4361335010662817</v>
      </c>
      <c r="P48" s="4">
        <f t="shared" si="40"/>
        <v>2.8038664989337185</v>
      </c>
      <c r="Q48" s="4">
        <f t="shared" si="55"/>
        <v>0</v>
      </c>
      <c r="R48" s="4">
        <f t="shared" si="41"/>
        <v>3.1253341362962792</v>
      </c>
      <c r="S48" s="348">
        <f t="shared" si="56"/>
        <v>3.4186997122245835E-2</v>
      </c>
      <c r="T48" s="348">
        <f t="shared" si="57"/>
        <v>0.2</v>
      </c>
      <c r="U48" s="348">
        <f t="shared" si="58"/>
        <v>0.23482924566189883</v>
      </c>
      <c r="V48" s="4">
        <f t="shared" si="42"/>
        <v>0.18251976194047642</v>
      </c>
      <c r="W48" s="348">
        <f t="shared" si="10"/>
        <v>3.3313463498808186E-5</v>
      </c>
      <c r="X48" s="348">
        <f t="shared" si="43"/>
        <v>3.3313463498808186E-5</v>
      </c>
      <c r="Y48" s="4">
        <f t="shared" si="44"/>
        <v>1.5426360312488594</v>
      </c>
      <c r="Z48" s="348">
        <f t="shared" si="11"/>
        <v>2.379725924907232E-3</v>
      </c>
      <c r="AA48" s="525">
        <f t="shared" si="45"/>
        <v>2.379725924907232E-3</v>
      </c>
      <c r="AB48" s="348">
        <f t="shared" si="46"/>
        <v>2.0259282710737496</v>
      </c>
      <c r="AC48" s="348">
        <f t="shared" si="59"/>
        <v>4.9252624314430463E-2</v>
      </c>
      <c r="AD48" s="348">
        <f t="shared" si="60"/>
        <v>0.31098721243523314</v>
      </c>
      <c r="AE48" s="348">
        <f t="shared" si="61"/>
        <v>0.71819999999999995</v>
      </c>
      <c r="AF48" s="348">
        <f t="shared" si="62"/>
        <v>0</v>
      </c>
      <c r="AG48" s="348">
        <f t="shared" si="63"/>
        <v>1.0874377763459631</v>
      </c>
      <c r="AH48" s="348">
        <f t="shared" si="64"/>
        <v>2.3797748011026041</v>
      </c>
      <c r="AI48" s="348">
        <f t="shared" si="65"/>
        <v>2.3219645226248045E-2</v>
      </c>
      <c r="AJ48" s="348">
        <f t="shared" si="66"/>
        <v>0.12841919999999998</v>
      </c>
      <c r="AK48" s="348">
        <f t="shared" si="67"/>
        <v>0.15221423913699836</v>
      </c>
      <c r="AL48" s="348">
        <f t="shared" si="68"/>
        <v>0.12841919999999998</v>
      </c>
      <c r="AM48" s="348">
        <f t="shared" si="69"/>
        <v>0.57985199999999992</v>
      </c>
      <c r="AN48" s="348">
        <f t="shared" si="70"/>
        <v>4.4931481932094522E-2</v>
      </c>
      <c r="AO48" s="348">
        <f t="shared" si="71"/>
        <v>2.6400000000000001E-5</v>
      </c>
      <c r="AP48" s="348">
        <f t="shared" si="72"/>
        <v>0.34650000000000003</v>
      </c>
      <c r="AQ48" s="348">
        <f t="shared" si="26"/>
        <v>0.61836923076923067</v>
      </c>
      <c r="AR48" s="348">
        <f t="shared" si="73"/>
        <v>0.48509999999999998</v>
      </c>
      <c r="AS48" s="348">
        <f t="shared" si="74"/>
        <v>0.34652640000000001</v>
      </c>
      <c r="AT48" s="348">
        <f t="shared" si="75"/>
        <v>2.5766233824653608</v>
      </c>
      <c r="AU48">
        <f t="shared" si="76"/>
        <v>15.600000000000001</v>
      </c>
      <c r="AV48" s="526">
        <f t="shared" si="47"/>
        <v>0.85824521264213571</v>
      </c>
      <c r="AW48" s="534">
        <f t="shared" si="77"/>
        <v>61.745884046530449</v>
      </c>
      <c r="AX48" s="534">
        <f t="shared" si="78"/>
        <v>13.983111744875833</v>
      </c>
      <c r="AY48" s="9"/>
      <c r="AZ48" s="4">
        <f t="shared" si="48"/>
        <v>85.824521264213573</v>
      </c>
      <c r="BA48" s="348">
        <f t="shared" si="79"/>
        <v>0.23482924566189883</v>
      </c>
      <c r="BB48" s="348">
        <f t="shared" si="80"/>
        <v>1.8195040154829614</v>
      </c>
      <c r="BC48" s="348">
        <f t="shared" si="81"/>
        <v>1.470140096345963</v>
      </c>
      <c r="BD48" s="348">
        <f t="shared" si="82"/>
        <v>0.34356539913699835</v>
      </c>
      <c r="BE48" s="348">
        <f t="shared" si="83"/>
        <v>4.4931481932094522E-2</v>
      </c>
    </row>
    <row r="49" spans="1:64" x14ac:dyDescent="0.2">
      <c r="A49" s="23" t="s">
        <v>68</v>
      </c>
      <c r="B49" s="5">
        <f>Rdson2*1000</f>
        <v>4.0999999999999996</v>
      </c>
      <c r="C49" s="429" t="s">
        <v>450</v>
      </c>
      <c r="D49" s="427" t="s">
        <v>510</v>
      </c>
      <c r="G49">
        <v>40</v>
      </c>
      <c r="H49" s="531">
        <f t="shared" si="49"/>
        <v>12</v>
      </c>
      <c r="I49" s="4">
        <f t="shared" si="50"/>
        <v>1</v>
      </c>
      <c r="J49" s="348">
        <f t="shared" si="84"/>
        <v>3.2</v>
      </c>
      <c r="K49" s="348">
        <f t="shared" si="51"/>
        <v>3.2</v>
      </c>
      <c r="L49" s="4">
        <f t="shared" si="52"/>
        <v>1.4814814814814814</v>
      </c>
      <c r="M49" s="348">
        <f t="shared" si="53"/>
        <v>0.42028985507246375</v>
      </c>
      <c r="N49" s="4">
        <f t="shared" si="54"/>
        <v>0.6322906079427818</v>
      </c>
      <c r="O49" s="4">
        <f t="shared" si="39"/>
        <v>3.516145303971391</v>
      </c>
      <c r="P49" s="4">
        <f t="shared" si="40"/>
        <v>2.8838546960286093</v>
      </c>
      <c r="Q49" s="4">
        <f t="shared" si="55"/>
        <v>0</v>
      </c>
      <c r="R49" s="4">
        <f t="shared" si="41"/>
        <v>3.2052013900961649</v>
      </c>
      <c r="S49" s="348">
        <f t="shared" si="56"/>
        <v>3.5956605828760355E-2</v>
      </c>
      <c r="T49" s="348">
        <f t="shared" si="57"/>
        <v>0.2</v>
      </c>
      <c r="U49" s="348">
        <f t="shared" si="58"/>
        <v>0.23663729975770198</v>
      </c>
      <c r="V49" s="4">
        <f t="shared" si="42"/>
        <v>0.18252657635091862</v>
      </c>
      <c r="W49" s="348">
        <f t="shared" si="10"/>
        <v>3.3315951074387731E-5</v>
      </c>
      <c r="X49" s="348">
        <f t="shared" si="43"/>
        <v>3.3315951074387731E-5</v>
      </c>
      <c r="Y49" s="4">
        <f t="shared" si="44"/>
        <v>1.5821047203638254</v>
      </c>
      <c r="Z49" s="348">
        <f t="shared" si="11"/>
        <v>2.5030553461974987E-3</v>
      </c>
      <c r="AA49" s="525">
        <f t="shared" si="45"/>
        <v>2.5030553461974987E-3</v>
      </c>
      <c r="AB49" s="348">
        <f t="shared" si="46"/>
        <v>2.0779245588304414</v>
      </c>
      <c r="AC49" s="348">
        <f t="shared" si="59"/>
        <v>5.1813245666288213E-2</v>
      </c>
      <c r="AD49" s="348">
        <f t="shared" si="60"/>
        <v>0.31896124352331612</v>
      </c>
      <c r="AE49" s="348">
        <f t="shared" si="61"/>
        <v>0.71819999999999995</v>
      </c>
      <c r="AF49" s="348">
        <f t="shared" si="62"/>
        <v>0</v>
      </c>
      <c r="AG49" s="348">
        <f t="shared" si="63"/>
        <v>1.0985368407356246</v>
      </c>
      <c r="AH49" s="348">
        <f t="shared" si="64"/>
        <v>2.4403986311428105</v>
      </c>
      <c r="AI49" s="348">
        <f t="shared" si="65"/>
        <v>2.4417736463423181E-2</v>
      </c>
      <c r="AJ49" s="348">
        <f t="shared" si="66"/>
        <v>0.131712</v>
      </c>
      <c r="AK49" s="348">
        <f t="shared" si="67"/>
        <v>0.15675286161396892</v>
      </c>
      <c r="AL49" s="348">
        <f t="shared" si="68"/>
        <v>0.131712</v>
      </c>
      <c r="AM49" s="348">
        <f t="shared" si="69"/>
        <v>0.59472000000000003</v>
      </c>
      <c r="AN49" s="348">
        <f t="shared" si="70"/>
        <v>4.7257253374942181E-2</v>
      </c>
      <c r="AO49" s="348">
        <f t="shared" si="71"/>
        <v>2.6400000000000001E-5</v>
      </c>
      <c r="AP49" s="348">
        <f t="shared" si="72"/>
        <v>0.34650000000000003</v>
      </c>
      <c r="AQ49" s="348">
        <f t="shared" si="26"/>
        <v>0.61836923076923067</v>
      </c>
      <c r="AR49" s="348">
        <f t="shared" si="73"/>
        <v>0.48509999999999998</v>
      </c>
      <c r="AS49" s="348">
        <f t="shared" si="74"/>
        <v>0.34652640000000001</v>
      </c>
      <c r="AT49" s="348">
        <f t="shared" si="75"/>
        <v>2.6146790267795095</v>
      </c>
      <c r="AU49">
        <f t="shared" si="76"/>
        <v>16</v>
      </c>
      <c r="AV49" s="526">
        <f t="shared" si="47"/>
        <v>0.85953671169844126</v>
      </c>
      <c r="AW49" s="534">
        <f t="shared" si="77"/>
        <v>62.624185710896235</v>
      </c>
      <c r="AX49" s="534">
        <f t="shared" si="78"/>
        <v>14.367525787688537</v>
      </c>
      <c r="AY49" s="9"/>
      <c r="AZ49" s="4">
        <f t="shared" si="48"/>
        <v>85.953671169844128</v>
      </c>
      <c r="BA49" s="348">
        <f t="shared" si="79"/>
        <v>0.23663729975770198</v>
      </c>
      <c r="BB49" s="348">
        <f t="shared" si="80"/>
        <v>1.8500097023495936</v>
      </c>
      <c r="BC49" s="348">
        <f t="shared" si="81"/>
        <v>1.4910520407356247</v>
      </c>
      <c r="BD49" s="348">
        <f t="shared" si="82"/>
        <v>0.35301046161396893</v>
      </c>
      <c r="BE49" s="348">
        <f t="shared" si="83"/>
        <v>4.7257253374942181E-2</v>
      </c>
    </row>
    <row r="50" spans="1:64" x14ac:dyDescent="0.2">
      <c r="A50" s="23" t="s">
        <v>80</v>
      </c>
      <c r="B50" s="5">
        <f>RdsonBotTc*1000000</f>
        <v>4000</v>
      </c>
      <c r="C50" s="427" t="s">
        <v>81</v>
      </c>
      <c r="D50" s="21" t="s">
        <v>104</v>
      </c>
      <c r="G50">
        <v>41</v>
      </c>
      <c r="H50" s="531">
        <f t="shared" si="49"/>
        <v>12</v>
      </c>
      <c r="I50" s="4">
        <f t="shared" si="50"/>
        <v>1</v>
      </c>
      <c r="J50" s="348">
        <f t="shared" si="84"/>
        <v>3.28</v>
      </c>
      <c r="K50" s="348">
        <f t="shared" si="51"/>
        <v>3.28</v>
      </c>
      <c r="L50" s="4">
        <f t="shared" si="52"/>
        <v>1.5185185185185184</v>
      </c>
      <c r="M50" s="348">
        <f t="shared" si="53"/>
        <v>0.42038051655926972</v>
      </c>
      <c r="N50" s="4">
        <f t="shared" si="54"/>
        <v>0.63231417109372601</v>
      </c>
      <c r="O50" s="4">
        <f t="shared" si="39"/>
        <v>3.5961570855468628</v>
      </c>
      <c r="P50" s="4">
        <f t="shared" si="40"/>
        <v>2.9638429144531369</v>
      </c>
      <c r="Q50" s="4">
        <f t="shared" si="55"/>
        <v>0</v>
      </c>
      <c r="R50" s="4">
        <f t="shared" si="41"/>
        <v>3.2850751032886842</v>
      </c>
      <c r="S50" s="348">
        <f t="shared" si="56"/>
        <v>3.7771014519865059E-2</v>
      </c>
      <c r="T50" s="348">
        <f t="shared" si="57"/>
        <v>0.2</v>
      </c>
      <c r="U50" s="348">
        <f t="shared" si="58"/>
        <v>0.23849166027691995</v>
      </c>
      <c r="V50" s="4">
        <f t="shared" si="42"/>
        <v>0.1825333784466889</v>
      </c>
      <c r="W50" s="348">
        <f t="shared" si="10"/>
        <v>3.3318434247162156E-5</v>
      </c>
      <c r="X50" s="348">
        <f t="shared" si="43"/>
        <v>3.3318434247162156E-5</v>
      </c>
      <c r="Y50" s="4">
        <f t="shared" si="44"/>
        <v>1.6215788838134493</v>
      </c>
      <c r="Z50" s="348">
        <f t="shared" si="11"/>
        <v>2.629518076429672E-3</v>
      </c>
      <c r="AA50" s="525">
        <f t="shared" si="45"/>
        <v>2.629518076429672E-3</v>
      </c>
      <c r="AB50" s="348">
        <f t="shared" si="46"/>
        <v>2.1299361891735193</v>
      </c>
      <c r="AC50" s="348">
        <f t="shared" si="59"/>
        <v>5.4439538039412164E-2</v>
      </c>
      <c r="AD50" s="348">
        <f t="shared" si="60"/>
        <v>0.32693527461139898</v>
      </c>
      <c r="AE50" s="348">
        <f t="shared" si="61"/>
        <v>0.71819999999999995</v>
      </c>
      <c r="AF50" s="348">
        <f t="shared" si="62"/>
        <v>0</v>
      </c>
      <c r="AG50" s="348">
        <f t="shared" si="63"/>
        <v>1.1097241750529072</v>
      </c>
      <c r="AH50" s="348">
        <f t="shared" si="64"/>
        <v>2.5010178456572723</v>
      </c>
      <c r="AI50" s="348">
        <f t="shared" si="65"/>
        <v>2.5645870083614183E-2</v>
      </c>
      <c r="AJ50" s="348">
        <f t="shared" si="66"/>
        <v>0.13500479999999998</v>
      </c>
      <c r="AK50" s="348">
        <f t="shared" si="67"/>
        <v>0.16132422253214479</v>
      </c>
      <c r="AL50" s="348">
        <f t="shared" si="68"/>
        <v>0.13500479999999998</v>
      </c>
      <c r="AM50" s="348">
        <f t="shared" si="69"/>
        <v>0.60958800000000002</v>
      </c>
      <c r="AN50" s="348">
        <f t="shared" si="70"/>
        <v>4.9641904797536926E-2</v>
      </c>
      <c r="AO50" s="348">
        <f t="shared" si="71"/>
        <v>2.6400000000000001E-5</v>
      </c>
      <c r="AP50" s="348">
        <f t="shared" si="72"/>
        <v>0.34650000000000003</v>
      </c>
      <c r="AQ50" s="348">
        <f t="shared" si="26"/>
        <v>0.61836923076923067</v>
      </c>
      <c r="AR50" s="348">
        <f t="shared" si="73"/>
        <v>0.48509999999999998</v>
      </c>
      <c r="AS50" s="348">
        <f t="shared" si="74"/>
        <v>0.34652640000000001</v>
      </c>
      <c r="AT50" s="348">
        <f t="shared" si="75"/>
        <v>2.6529639991701854</v>
      </c>
      <c r="AU50">
        <f t="shared" si="76"/>
        <v>16.399999999999999</v>
      </c>
      <c r="AV50" s="526">
        <f t="shared" si="47"/>
        <v>0.86075846260530742</v>
      </c>
      <c r="AW50" s="534">
        <f t="shared" si="77"/>
        <v>63.506194712222104</v>
      </c>
      <c r="AX50" s="534">
        <f t="shared" si="78"/>
        <v>14.753272285058296</v>
      </c>
      <c r="AY50" s="9"/>
      <c r="AZ50" s="4">
        <f t="shared" si="48"/>
        <v>86.075846260530739</v>
      </c>
      <c r="BA50" s="348">
        <f t="shared" si="79"/>
        <v>0.23849166027691995</v>
      </c>
      <c r="BB50" s="348">
        <f t="shared" si="80"/>
        <v>1.880636397585052</v>
      </c>
      <c r="BC50" s="348">
        <f t="shared" si="81"/>
        <v>1.5120522550529072</v>
      </c>
      <c r="BD50" s="348">
        <f t="shared" si="82"/>
        <v>0.36248826253214483</v>
      </c>
      <c r="BE50" s="348">
        <f t="shared" si="83"/>
        <v>4.9641904797536926E-2</v>
      </c>
    </row>
    <row r="51" spans="1:64" x14ac:dyDescent="0.2">
      <c r="A51" s="23" t="s">
        <v>67</v>
      </c>
      <c r="B51" s="5">
        <f>Qg_Q2*1000000000</f>
        <v>25</v>
      </c>
      <c r="C51" s="427" t="s">
        <v>65</v>
      </c>
      <c r="D51" s="21" t="s">
        <v>99</v>
      </c>
      <c r="G51">
        <v>42</v>
      </c>
      <c r="H51" s="531">
        <f t="shared" si="49"/>
        <v>12</v>
      </c>
      <c r="I51" s="4">
        <f t="shared" si="50"/>
        <v>1</v>
      </c>
      <c r="J51" s="348">
        <f t="shared" si="84"/>
        <v>3.36</v>
      </c>
      <c r="K51" s="348">
        <f t="shared" si="51"/>
        <v>3.36</v>
      </c>
      <c r="L51" s="4">
        <f t="shared" si="52"/>
        <v>1.5555555555555556</v>
      </c>
      <c r="M51" s="348">
        <f t="shared" si="53"/>
        <v>0.42047118203887063</v>
      </c>
      <c r="N51" s="4">
        <f t="shared" si="54"/>
        <v>0.63233769158257791</v>
      </c>
      <c r="O51" s="4">
        <f t="shared" si="39"/>
        <v>3.6761688457912887</v>
      </c>
      <c r="P51" s="4">
        <f t="shared" si="40"/>
        <v>3.0438311542087111</v>
      </c>
      <c r="Q51" s="4">
        <f t="shared" si="55"/>
        <v>0</v>
      </c>
      <c r="R51" s="4">
        <f t="shared" si="41"/>
        <v>3.3649548158952047</v>
      </c>
      <c r="S51" s="348">
        <f t="shared" si="56"/>
        <v>3.963022319555716E-2</v>
      </c>
      <c r="T51" s="348">
        <f t="shared" si="57"/>
        <v>0.2</v>
      </c>
      <c r="U51" s="348">
        <f t="shared" si="58"/>
        <v>0.24039236744968029</v>
      </c>
      <c r="V51" s="4">
        <f t="shared" si="42"/>
        <v>0.18254016822697397</v>
      </c>
      <c r="W51" s="348">
        <f t="shared" si="10"/>
        <v>3.3320913016331958E-5</v>
      </c>
      <c r="X51" s="348">
        <f t="shared" si="43"/>
        <v>3.3320913016331958E-5</v>
      </c>
      <c r="Y51" s="4">
        <f t="shared" si="44"/>
        <v>1.6610582908779947</v>
      </c>
      <c r="Z51" s="348">
        <f t="shared" si="11"/>
        <v>2.7591146456945248E-3</v>
      </c>
      <c r="AA51" s="525">
        <f t="shared" si="45"/>
        <v>2.7591146456945248E-3</v>
      </c>
      <c r="AB51" s="348">
        <f t="shared" si="46"/>
        <v>2.1819628641268447</v>
      </c>
      <c r="AC51" s="348">
        <f t="shared" si="59"/>
        <v>5.7131543285143478E-2</v>
      </c>
      <c r="AD51" s="348">
        <f t="shared" si="60"/>
        <v>0.33490930569948185</v>
      </c>
      <c r="AE51" s="348">
        <f t="shared" si="61"/>
        <v>0.71819999999999995</v>
      </c>
      <c r="AF51" s="348">
        <f t="shared" si="62"/>
        <v>0</v>
      </c>
      <c r="AG51" s="348">
        <f t="shared" si="63"/>
        <v>1.1210003213528061</v>
      </c>
      <c r="AH51" s="348">
        <f t="shared" si="64"/>
        <v>2.5616320915751554</v>
      </c>
      <c r="AI51" s="348">
        <f t="shared" si="65"/>
        <v>2.6904031787609587E-2</v>
      </c>
      <c r="AJ51" s="348">
        <f t="shared" si="66"/>
        <v>0.13829759999999997</v>
      </c>
      <c r="AK51" s="348">
        <f t="shared" si="67"/>
        <v>0.16592839423430128</v>
      </c>
      <c r="AL51" s="348">
        <f t="shared" si="68"/>
        <v>0.13829759999999997</v>
      </c>
      <c r="AM51" s="348">
        <f t="shared" si="69"/>
        <v>0.6244559999999999</v>
      </c>
      <c r="AN51" s="348">
        <f t="shared" si="70"/>
        <v>5.2085436199875122E-2</v>
      </c>
      <c r="AO51" s="348">
        <f t="shared" si="71"/>
        <v>2.6400000000000001E-5</v>
      </c>
      <c r="AP51" s="348">
        <f t="shared" si="72"/>
        <v>0.34650000000000003</v>
      </c>
      <c r="AQ51" s="348">
        <f t="shared" si="26"/>
        <v>0.61836923076923067</v>
      </c>
      <c r="AR51" s="348">
        <f t="shared" si="73"/>
        <v>0.48509999999999998</v>
      </c>
      <c r="AS51" s="348">
        <f t="shared" si="74"/>
        <v>0.34652640000000001</v>
      </c>
      <c r="AT51" s="348">
        <f t="shared" si="75"/>
        <v>2.6914789547953739</v>
      </c>
      <c r="AU51">
        <f t="shared" si="76"/>
        <v>16.8</v>
      </c>
      <c r="AV51" s="526">
        <f t="shared" si="47"/>
        <v>0.86191509833412583</v>
      </c>
      <c r="AW51" s="534">
        <f t="shared" si="77"/>
        <v>64.391933816817854</v>
      </c>
      <c r="AX51" s="534">
        <f t="shared" si="78"/>
        <v>15.140354181336061</v>
      </c>
      <c r="AY51" s="9"/>
      <c r="AZ51" s="4">
        <f t="shared" si="48"/>
        <v>86.191509833412582</v>
      </c>
      <c r="BA51" s="348">
        <f t="shared" si="79"/>
        <v>0.24039236744968029</v>
      </c>
      <c r="BB51" s="348">
        <f t="shared" si="80"/>
        <v>1.9113847155871073</v>
      </c>
      <c r="BC51" s="348">
        <f t="shared" si="81"/>
        <v>1.533141281352806</v>
      </c>
      <c r="BD51" s="348">
        <f t="shared" si="82"/>
        <v>0.37199887423430122</v>
      </c>
      <c r="BE51" s="348">
        <f t="shared" si="83"/>
        <v>5.2085436199875122E-2</v>
      </c>
    </row>
    <row r="52" spans="1:64" x14ac:dyDescent="0.2">
      <c r="A52" s="23" t="s">
        <v>91</v>
      </c>
      <c r="B52" s="5">
        <f>Rgate2</f>
        <v>1.2</v>
      </c>
      <c r="C52" s="431" t="s">
        <v>116</v>
      </c>
      <c r="D52" s="21" t="s">
        <v>100</v>
      </c>
      <c r="G52">
        <v>43</v>
      </c>
      <c r="H52" s="531">
        <f t="shared" si="49"/>
        <v>12</v>
      </c>
      <c r="I52" s="4">
        <f t="shared" si="50"/>
        <v>1</v>
      </c>
      <c r="J52" s="348">
        <f t="shared" si="84"/>
        <v>3.44</v>
      </c>
      <c r="K52" s="348">
        <f t="shared" si="51"/>
        <v>3.44</v>
      </c>
      <c r="L52" s="4">
        <f t="shared" si="52"/>
        <v>1.5925925925925923</v>
      </c>
      <c r="M52" s="348">
        <f t="shared" si="53"/>
        <v>0.42056185151152992</v>
      </c>
      <c r="N52" s="4">
        <f t="shared" si="54"/>
        <v>0.63236116940651832</v>
      </c>
      <c r="O52" s="4">
        <f t="shared" si="39"/>
        <v>3.7561805847032592</v>
      </c>
      <c r="P52" s="4">
        <f t="shared" si="40"/>
        <v>3.1238194152967407</v>
      </c>
      <c r="Q52" s="4">
        <f t="shared" si="55"/>
        <v>0</v>
      </c>
      <c r="R52" s="4">
        <f t="shared" si="41"/>
        <v>3.4448401105684279</v>
      </c>
      <c r="S52" s="348">
        <f t="shared" si="56"/>
        <v>4.1534231855833846E-2</v>
      </c>
      <c r="T52" s="348">
        <f t="shared" si="57"/>
        <v>0.2</v>
      </c>
      <c r="U52" s="348">
        <f t="shared" si="58"/>
        <v>0.2423394625297963</v>
      </c>
      <c r="V52" s="4">
        <f t="shared" si="42"/>
        <v>0.18254694569095994</v>
      </c>
      <c r="W52" s="348">
        <f t="shared" si="10"/>
        <v>3.3323387381098281E-5</v>
      </c>
      <c r="X52" s="348">
        <f t="shared" si="43"/>
        <v>3.3323387381098281E-5</v>
      </c>
      <c r="Y52" s="4">
        <f t="shared" si="44"/>
        <v>1.7005427318549249</v>
      </c>
      <c r="Z52" s="348">
        <f t="shared" si="11"/>
        <v>2.8918455828646108E-3</v>
      </c>
      <c r="AA52" s="525">
        <f t="shared" si="45"/>
        <v>2.8918455828646108E-3</v>
      </c>
      <c r="AB52" s="348">
        <f t="shared" si="46"/>
        <v>2.2340043132327367</v>
      </c>
      <c r="AC52" s="348">
        <f t="shared" si="59"/>
        <v>5.9889303258509656E-2</v>
      </c>
      <c r="AD52" s="348">
        <f t="shared" si="60"/>
        <v>0.34288333678756477</v>
      </c>
      <c r="AE52" s="348">
        <f t="shared" si="61"/>
        <v>0.71819999999999995</v>
      </c>
      <c r="AF52" s="348">
        <f t="shared" si="62"/>
        <v>0</v>
      </c>
      <c r="AG52" s="348">
        <f t="shared" si="63"/>
        <v>1.1323658289348886</v>
      </c>
      <c r="AH52" s="348">
        <f t="shared" si="64"/>
        <v>2.6222410483856411</v>
      </c>
      <c r="AI52" s="348">
        <f t="shared" si="65"/>
        <v>2.8192207274938364E-2</v>
      </c>
      <c r="AJ52" s="348">
        <f t="shared" si="66"/>
        <v>0.14159039999999998</v>
      </c>
      <c r="AK52" s="348">
        <f t="shared" si="67"/>
        <v>0.17056545004465518</v>
      </c>
      <c r="AL52" s="348">
        <f t="shared" si="68"/>
        <v>0.14159039999999998</v>
      </c>
      <c r="AM52" s="348">
        <f t="shared" si="69"/>
        <v>0.639324</v>
      </c>
      <c r="AN52" s="348">
        <f t="shared" si="70"/>
        <v>5.458784758195305E-2</v>
      </c>
      <c r="AO52" s="348">
        <f t="shared" si="71"/>
        <v>2.6400000000000001E-5</v>
      </c>
      <c r="AP52" s="348">
        <f t="shared" si="72"/>
        <v>0.34650000000000003</v>
      </c>
      <c r="AQ52" s="348">
        <f t="shared" si="26"/>
        <v>0.61836923076923067</v>
      </c>
      <c r="AR52" s="348">
        <f t="shared" si="73"/>
        <v>0.48509999999999998</v>
      </c>
      <c r="AS52" s="348">
        <f t="shared" si="74"/>
        <v>0.34652640000000001</v>
      </c>
      <c r="AT52" s="348">
        <f t="shared" si="75"/>
        <v>2.730224558061539</v>
      </c>
      <c r="AU52">
        <f t="shared" si="76"/>
        <v>17.2</v>
      </c>
      <c r="AV52" s="526">
        <f t="shared" si="47"/>
        <v>0.86301084816642493</v>
      </c>
      <c r="AW52" s="534">
        <f t="shared" si="77"/>
        <v>65.281426095265317</v>
      </c>
      <c r="AX52" s="534">
        <f t="shared" si="78"/>
        <v>15.528774460817468</v>
      </c>
      <c r="AY52" s="9"/>
      <c r="AZ52" s="4">
        <f t="shared" si="48"/>
        <v>86.301084816642486</v>
      </c>
      <c r="BA52" s="348">
        <f t="shared" si="79"/>
        <v>0.2423394625297963</v>
      </c>
      <c r="BB52" s="348">
        <f t="shared" si="80"/>
        <v>1.9422552789795438</v>
      </c>
      <c r="BC52" s="348">
        <f t="shared" si="81"/>
        <v>1.5543196689348886</v>
      </c>
      <c r="BD52" s="348">
        <f t="shared" si="82"/>
        <v>0.38154237004465519</v>
      </c>
      <c r="BE52" s="348">
        <f t="shared" si="83"/>
        <v>5.458784758195305E-2</v>
      </c>
    </row>
    <row r="53" spans="1:64" x14ac:dyDescent="0.2">
      <c r="A53" s="23" t="s">
        <v>72</v>
      </c>
      <c r="B53" s="5">
        <f>Vsd_Q2</f>
        <v>0.7</v>
      </c>
      <c r="C53" s="427" t="s">
        <v>0</v>
      </c>
      <c r="D53" s="21" t="s">
        <v>105</v>
      </c>
      <c r="G53">
        <v>44</v>
      </c>
      <c r="H53" s="531">
        <f t="shared" si="49"/>
        <v>12</v>
      </c>
      <c r="I53" s="4">
        <f t="shared" si="50"/>
        <v>1</v>
      </c>
      <c r="J53" s="348">
        <f t="shared" si="84"/>
        <v>3.52</v>
      </c>
      <c r="K53" s="348">
        <f t="shared" si="51"/>
        <v>3.52</v>
      </c>
      <c r="L53" s="4">
        <f t="shared" si="52"/>
        <v>1.6296296296296298</v>
      </c>
      <c r="M53" s="348">
        <f t="shared" si="53"/>
        <v>0.4206525249775116</v>
      </c>
      <c r="N53" s="4">
        <f t="shared" si="54"/>
        <v>0.63238460456272905</v>
      </c>
      <c r="O53" s="4">
        <f t="shared" si="39"/>
        <v>3.8361923022813644</v>
      </c>
      <c r="P53" s="4">
        <f t="shared" si="40"/>
        <v>3.2038076977186356</v>
      </c>
      <c r="Q53" s="4">
        <f t="shared" si="55"/>
        <v>0</v>
      </c>
      <c r="R53" s="4">
        <f t="shared" si="41"/>
        <v>3.5247306077685798</v>
      </c>
      <c r="S53" s="348">
        <f t="shared" si="56"/>
        <v>4.3483040500692315E-2</v>
      </c>
      <c r="T53" s="348">
        <f t="shared" si="57"/>
        <v>0.2</v>
      </c>
      <c r="U53" s="348">
        <f t="shared" si="58"/>
        <v>0.24433298779701496</v>
      </c>
      <c r="V53" s="4">
        <f t="shared" si="42"/>
        <v>0.18255371083783334</v>
      </c>
      <c r="W53" s="348">
        <f t="shared" si="10"/>
        <v>3.332585734066327E-5</v>
      </c>
      <c r="X53" s="348">
        <f t="shared" si="43"/>
        <v>3.332585734066327E-5</v>
      </c>
      <c r="Y53" s="4">
        <f t="shared" si="44"/>
        <v>1.7400320156807441</v>
      </c>
      <c r="Z53" s="348">
        <f t="shared" si="11"/>
        <v>3.027711415593993E-3</v>
      </c>
      <c r="AA53" s="525">
        <f t="shared" si="45"/>
        <v>3.027711415593993E-3</v>
      </c>
      <c r="AB53" s="348">
        <f t="shared" si="46"/>
        <v>2.2860602904382792</v>
      </c>
      <c r="AC53" s="348">
        <f t="shared" si="59"/>
        <v>6.2712859818224997E-2</v>
      </c>
      <c r="AD53" s="348">
        <f t="shared" si="60"/>
        <v>0.3508573678756477</v>
      </c>
      <c r="AE53" s="348">
        <f t="shared" si="61"/>
        <v>0.71819999999999995</v>
      </c>
      <c r="AF53" s="348">
        <f t="shared" si="62"/>
        <v>0</v>
      </c>
      <c r="AG53" s="348">
        <f t="shared" si="63"/>
        <v>1.1438212544275239</v>
      </c>
      <c r="AH53" s="348">
        <f t="shared" si="64"/>
        <v>2.6828444244536271</v>
      </c>
      <c r="AI53" s="348">
        <f t="shared" si="65"/>
        <v>2.9510382243869843E-2</v>
      </c>
      <c r="AJ53" s="348">
        <f t="shared" si="66"/>
        <v>0.14488319999999999</v>
      </c>
      <c r="AK53" s="348">
        <f t="shared" si="67"/>
        <v>0.17523546427270237</v>
      </c>
      <c r="AL53" s="348">
        <f t="shared" si="68"/>
        <v>0.14488319999999999</v>
      </c>
      <c r="AM53" s="348">
        <f t="shared" si="69"/>
        <v>0.65419199999999988</v>
      </c>
      <c r="AN53" s="348">
        <f t="shared" si="70"/>
        <v>5.7149138943767046E-2</v>
      </c>
      <c r="AO53" s="348">
        <f t="shared" si="71"/>
        <v>2.6400000000000001E-5</v>
      </c>
      <c r="AP53" s="348">
        <f t="shared" si="72"/>
        <v>0.34650000000000003</v>
      </c>
      <c r="AQ53" s="348">
        <f t="shared" si="26"/>
        <v>0.61836923076923067</v>
      </c>
      <c r="AR53" s="348">
        <f t="shared" si="73"/>
        <v>0.48509999999999998</v>
      </c>
      <c r="AS53" s="348">
        <f t="shared" si="74"/>
        <v>0.34652640000000001</v>
      </c>
      <c r="AT53" s="348">
        <f t="shared" si="75"/>
        <v>2.7692014827139428</v>
      </c>
      <c r="AU53">
        <f t="shared" si="76"/>
        <v>17.600000000000001</v>
      </c>
      <c r="AV53" s="526">
        <f t="shared" si="47"/>
        <v>0.86404958068366156</v>
      </c>
      <c r="AW53" s="534">
        <f t="shared" si="77"/>
        <v>66.174694925956004</v>
      </c>
      <c r="AX53" s="534">
        <f t="shared" si="78"/>
        <v>15.918536147898987</v>
      </c>
      <c r="AY53" s="9"/>
      <c r="AZ53" s="4">
        <f t="shared" si="48"/>
        <v>86.404958068366156</v>
      </c>
      <c r="BA53" s="348">
        <f t="shared" si="79"/>
        <v>0.24433298779701496</v>
      </c>
      <c r="BB53" s="348">
        <f t="shared" si="80"/>
        <v>1.9732487187002261</v>
      </c>
      <c r="BC53" s="348">
        <f t="shared" si="81"/>
        <v>1.5755879744275239</v>
      </c>
      <c r="BD53" s="348">
        <f t="shared" si="82"/>
        <v>0.39111882427270234</v>
      </c>
      <c r="BE53" s="348">
        <f t="shared" si="83"/>
        <v>5.7149138943767046E-2</v>
      </c>
    </row>
    <row r="54" spans="1:64" x14ac:dyDescent="0.2">
      <c r="A54" s="23" t="s">
        <v>73</v>
      </c>
      <c r="B54" s="5">
        <f>Qrr_Q2*1000000000</f>
        <v>59</v>
      </c>
      <c r="C54" s="427" t="s">
        <v>65</v>
      </c>
      <c r="D54" s="21" t="s">
        <v>110</v>
      </c>
      <c r="G54">
        <v>45</v>
      </c>
      <c r="H54" s="531">
        <f t="shared" si="49"/>
        <v>12</v>
      </c>
      <c r="I54" s="4">
        <f t="shared" si="50"/>
        <v>1</v>
      </c>
      <c r="J54" s="348">
        <f t="shared" si="84"/>
        <v>3.6</v>
      </c>
      <c r="K54" s="348">
        <f t="shared" si="51"/>
        <v>3.6</v>
      </c>
      <c r="L54" s="4">
        <f t="shared" si="52"/>
        <v>1.6666666666666665</v>
      </c>
      <c r="M54" s="348">
        <f t="shared" si="53"/>
        <v>0.42074320243707936</v>
      </c>
      <c r="N54" s="4">
        <f t="shared" si="54"/>
        <v>0.63240799704839112</v>
      </c>
      <c r="O54" s="4">
        <f t="shared" si="39"/>
        <v>3.9162039985241957</v>
      </c>
      <c r="P54" s="4">
        <f t="shared" si="40"/>
        <v>3.2837960014758045</v>
      </c>
      <c r="Q54" s="4">
        <f t="shared" si="55"/>
        <v>0</v>
      </c>
      <c r="R54" s="4">
        <f t="shared" si="41"/>
        <v>3.6046259615796798</v>
      </c>
      <c r="S54" s="348">
        <f t="shared" si="56"/>
        <v>4.5476649130129811E-2</v>
      </c>
      <c r="T54" s="348">
        <f t="shared" si="57"/>
        <v>0.2</v>
      </c>
      <c r="U54" s="348">
        <f t="shared" si="58"/>
        <v>0.24637298655932185</v>
      </c>
      <c r="V54" s="4">
        <f t="shared" si="42"/>
        <v>0.18256046366678036</v>
      </c>
      <c r="W54" s="348">
        <f t="shared" si="10"/>
        <v>3.3328322894229831E-5</v>
      </c>
      <c r="X54" s="348">
        <f t="shared" si="43"/>
        <v>3.3328322894229831E-5</v>
      </c>
      <c r="Y54" s="4">
        <f t="shared" si="44"/>
        <v>1.7795259678684034</v>
      </c>
      <c r="Z54" s="348">
        <f t="shared" si="11"/>
        <v>3.1667126703179781E-3</v>
      </c>
      <c r="AA54" s="525">
        <f t="shared" si="45"/>
        <v>3.1667126703179781E-3</v>
      </c>
      <c r="AB54" s="348">
        <f t="shared" si="46"/>
        <v>2.3381305713947897</v>
      </c>
      <c r="AC54" s="348">
        <f t="shared" si="59"/>
        <v>6.5602254826691117E-2</v>
      </c>
      <c r="AD54" s="348">
        <f t="shared" si="60"/>
        <v>0.35883139896373056</v>
      </c>
      <c r="AE54" s="348">
        <f t="shared" si="61"/>
        <v>0.71819999999999995</v>
      </c>
      <c r="AF54" s="348">
        <f t="shared" si="62"/>
        <v>0</v>
      </c>
      <c r="AG54" s="348">
        <f t="shared" si="63"/>
        <v>1.155367161873655</v>
      </c>
      <c r="AH54" s="348">
        <f t="shared" si="64"/>
        <v>2.7434419538243029</v>
      </c>
      <c r="AI54" s="348">
        <f t="shared" si="65"/>
        <v>3.0858542391413564E-2</v>
      </c>
      <c r="AJ54" s="348">
        <f t="shared" si="66"/>
        <v>0.14817599999999997</v>
      </c>
      <c r="AK54" s="348">
        <f t="shared" si="67"/>
        <v>0.17993851221712942</v>
      </c>
      <c r="AL54" s="348">
        <f t="shared" si="68"/>
        <v>0.14817599999999997</v>
      </c>
      <c r="AM54" s="348">
        <f t="shared" si="69"/>
        <v>0.66905999999999999</v>
      </c>
      <c r="AN54" s="348">
        <f t="shared" si="70"/>
        <v>5.9769310285313466E-2</v>
      </c>
      <c r="AO54" s="348">
        <f t="shared" si="71"/>
        <v>2.6400000000000001E-5</v>
      </c>
      <c r="AP54" s="348">
        <f t="shared" si="72"/>
        <v>0.34650000000000003</v>
      </c>
      <c r="AQ54" s="348">
        <f t="shared" si="26"/>
        <v>0.61836923076923067</v>
      </c>
      <c r="AR54" s="348">
        <f t="shared" si="73"/>
        <v>0.48509999999999998</v>
      </c>
      <c r="AS54" s="348">
        <f t="shared" si="74"/>
        <v>0.34652640000000001</v>
      </c>
      <c r="AT54" s="348">
        <f t="shared" si="75"/>
        <v>2.8084104119286319</v>
      </c>
      <c r="AU54">
        <f t="shared" si="76"/>
        <v>18</v>
      </c>
      <c r="AV54" s="526">
        <f t="shared" si="47"/>
        <v>0.86503484137747089</v>
      </c>
      <c r="AW54" s="534">
        <f t="shared" si="77"/>
        <v>67.071763998693513</v>
      </c>
      <c r="AX54" s="534">
        <f t="shared" si="78"/>
        <v>16.309642307237169</v>
      </c>
      <c r="AY54" s="9"/>
      <c r="AZ54" s="4">
        <f t="shared" si="48"/>
        <v>86.503484137747094</v>
      </c>
      <c r="BA54" s="348">
        <f t="shared" si="79"/>
        <v>0.24637298655932185</v>
      </c>
      <c r="BB54" s="348">
        <f t="shared" si="80"/>
        <v>2.0043656740907845</v>
      </c>
      <c r="BC54" s="348">
        <f t="shared" si="81"/>
        <v>1.596946761873655</v>
      </c>
      <c r="BD54" s="348">
        <f t="shared" si="82"/>
        <v>0.40072831221712946</v>
      </c>
      <c r="BE54" s="348">
        <f t="shared" si="83"/>
        <v>5.9769310285313466E-2</v>
      </c>
    </row>
    <row r="55" spans="1:64" x14ac:dyDescent="0.2">
      <c r="A55" s="23" t="s">
        <v>74</v>
      </c>
      <c r="B55" s="5">
        <f>Trr_Q2*1000000000</f>
        <v>40</v>
      </c>
      <c r="C55" s="427" t="s">
        <v>75</v>
      </c>
      <c r="D55" s="76" t="s">
        <v>106</v>
      </c>
      <c r="G55">
        <v>46</v>
      </c>
      <c r="H55" s="531">
        <f t="shared" si="49"/>
        <v>12</v>
      </c>
      <c r="I55" s="4">
        <f t="shared" si="50"/>
        <v>1</v>
      </c>
      <c r="J55" s="348">
        <f t="shared" si="84"/>
        <v>3.68</v>
      </c>
      <c r="K55" s="348">
        <f t="shared" si="51"/>
        <v>3.68</v>
      </c>
      <c r="L55" s="4">
        <f t="shared" si="52"/>
        <v>1.7037037037037037</v>
      </c>
      <c r="M55" s="348">
        <f t="shared" si="53"/>
        <v>0.42083388389049714</v>
      </c>
      <c r="N55" s="4">
        <f t="shared" si="54"/>
        <v>0.63243134686068525</v>
      </c>
      <c r="O55" s="4">
        <f t="shared" si="39"/>
        <v>3.9962156734303429</v>
      </c>
      <c r="P55" s="4">
        <f t="shared" si="40"/>
        <v>3.3637843265696574</v>
      </c>
      <c r="Q55" s="4">
        <f t="shared" si="55"/>
        <v>0</v>
      </c>
      <c r="R55" s="4">
        <f t="shared" si="41"/>
        <v>3.6845258560690008</v>
      </c>
      <c r="S55" s="348">
        <f t="shared" si="56"/>
        <v>4.751505774414351E-2</v>
      </c>
      <c r="T55" s="348">
        <f t="shared" si="57"/>
        <v>0.2</v>
      </c>
      <c r="U55" s="348">
        <f t="shared" si="58"/>
        <v>0.24845950315530393</v>
      </c>
      <c r="V55" s="4">
        <f t="shared" si="42"/>
        <v>0.18256720417698713</v>
      </c>
      <c r="W55" s="348">
        <f t="shared" si="10"/>
        <v>3.3330784041001706E-5</v>
      </c>
      <c r="X55" s="348">
        <f t="shared" si="43"/>
        <v>3.3330784041001706E-5</v>
      </c>
      <c r="Y55" s="4">
        <f t="shared" si="44"/>
        <v>1.8190244287124981</v>
      </c>
      <c r="Z55" s="348">
        <f t="shared" si="11"/>
        <v>3.3088498722528303E-3</v>
      </c>
      <c r="AA55" s="525">
        <f t="shared" si="45"/>
        <v>3.3088498722528303E-3</v>
      </c>
      <c r="AB55" s="348">
        <f t="shared" si="46"/>
        <v>2.3902149511079038</v>
      </c>
      <c r="AC55" s="348">
        <f t="shared" si="59"/>
        <v>6.8557530149997117E-2</v>
      </c>
      <c r="AD55" s="348">
        <f t="shared" si="60"/>
        <v>0.36680543005181354</v>
      </c>
      <c r="AE55" s="348">
        <f t="shared" si="61"/>
        <v>0.71819999999999995</v>
      </c>
      <c r="AF55" s="348">
        <f t="shared" si="62"/>
        <v>0</v>
      </c>
      <c r="AG55" s="348">
        <f t="shared" si="63"/>
        <v>1.1670041228181369</v>
      </c>
      <c r="AH55" s="348">
        <f t="shared" si="64"/>
        <v>2.8040333934426038</v>
      </c>
      <c r="AI55" s="348">
        <f t="shared" si="65"/>
        <v>3.2236673413319102E-2</v>
      </c>
      <c r="AJ55" s="348">
        <f t="shared" si="66"/>
        <v>0.15146879999999999</v>
      </c>
      <c r="AK55" s="348">
        <f t="shared" si="67"/>
        <v>0.18467467016979922</v>
      </c>
      <c r="AL55" s="348">
        <f t="shared" si="68"/>
        <v>0.15146879999999999</v>
      </c>
      <c r="AM55" s="348">
        <f t="shared" si="69"/>
        <v>0.68392800000000009</v>
      </c>
      <c r="AN55" s="348">
        <f t="shared" si="70"/>
        <v>6.2448361606588614E-2</v>
      </c>
      <c r="AO55" s="348">
        <f t="shared" si="71"/>
        <v>2.6400000000000001E-5</v>
      </c>
      <c r="AP55" s="348">
        <f t="shared" si="72"/>
        <v>0.34650000000000003</v>
      </c>
      <c r="AQ55" s="348">
        <f t="shared" si="26"/>
        <v>0.61836923076923067</v>
      </c>
      <c r="AR55" s="348">
        <f t="shared" si="73"/>
        <v>0.48509999999999998</v>
      </c>
      <c r="AS55" s="348">
        <f t="shared" si="74"/>
        <v>0.34652640000000001</v>
      </c>
      <c r="AT55" s="348">
        <f t="shared" si="75"/>
        <v>2.8478520384061228</v>
      </c>
      <c r="AU55">
        <f t="shared" si="76"/>
        <v>18.400000000000002</v>
      </c>
      <c r="AV55" s="526">
        <f t="shared" si="47"/>
        <v>0.86596988564968602</v>
      </c>
      <c r="AW55" s="534">
        <f t="shared" si="77"/>
        <v>67.972657318361755</v>
      </c>
      <c r="AX55" s="534">
        <f t="shared" si="78"/>
        <v>16.702096043910831</v>
      </c>
      <c r="AY55" s="9"/>
      <c r="AZ55" s="4">
        <f t="shared" si="48"/>
        <v>86.596988564968598</v>
      </c>
      <c r="BA55" s="348">
        <f t="shared" si="79"/>
        <v>0.24845950315530393</v>
      </c>
      <c r="BB55" s="348">
        <f t="shared" si="80"/>
        <v>2.0356067929879362</v>
      </c>
      <c r="BC55" s="348">
        <f t="shared" si="81"/>
        <v>1.6183966028181369</v>
      </c>
      <c r="BD55" s="348">
        <f t="shared" si="82"/>
        <v>0.41037091016979926</v>
      </c>
      <c r="BE55" s="348">
        <f t="shared" si="83"/>
        <v>6.2448361606588614E-2</v>
      </c>
    </row>
    <row r="56" spans="1:64" ht="15.75" x14ac:dyDescent="0.3">
      <c r="A56" s="433" t="s">
        <v>455</v>
      </c>
      <c r="B56" s="5">
        <f>ThetaJA_Q2</f>
        <v>40.700000000000003</v>
      </c>
      <c r="C56" s="428" t="s">
        <v>202</v>
      </c>
      <c r="D56" s="76" t="s">
        <v>103</v>
      </c>
      <c r="E56" s="2"/>
      <c r="G56">
        <v>47</v>
      </c>
      <c r="H56" s="531">
        <f t="shared" si="49"/>
        <v>12</v>
      </c>
      <c r="I56" s="4">
        <f t="shared" si="50"/>
        <v>1</v>
      </c>
      <c r="J56" s="348">
        <f t="shared" si="84"/>
        <v>3.76</v>
      </c>
      <c r="K56" s="348">
        <f t="shared" si="51"/>
        <v>3.76</v>
      </c>
      <c r="L56" s="4">
        <f t="shared" si="52"/>
        <v>1.7407407407407403</v>
      </c>
      <c r="M56" s="348">
        <f t="shared" si="53"/>
        <v>0.42092456933802891</v>
      </c>
      <c r="N56" s="4">
        <f t="shared" si="54"/>
        <v>0.63245465399679268</v>
      </c>
      <c r="O56" s="4">
        <f t="shared" si="39"/>
        <v>4.0762273269983957</v>
      </c>
      <c r="P56" s="4">
        <f t="shared" si="40"/>
        <v>3.4437726730016034</v>
      </c>
      <c r="Q56" s="4">
        <f t="shared" si="55"/>
        <v>0</v>
      </c>
      <c r="R56" s="4">
        <f t="shared" si="41"/>
        <v>3.7644300021092412</v>
      </c>
      <c r="S56" s="348">
        <f t="shared" si="56"/>
        <v>4.9598266342730638E-2</v>
      </c>
      <c r="T56" s="348">
        <f t="shared" si="57"/>
        <v>0.2</v>
      </c>
      <c r="U56" s="348">
        <f t="shared" si="58"/>
        <v>0.25059258295657005</v>
      </c>
      <c r="V56" s="4">
        <f t="shared" si="42"/>
        <v>0.18257393236763994</v>
      </c>
      <c r="W56" s="348">
        <f t="shared" si="10"/>
        <v>3.3333240780183566E-5</v>
      </c>
      <c r="X56" s="348">
        <f t="shared" si="43"/>
        <v>3.3333240780183566E-5</v>
      </c>
      <c r="Y56" s="4">
        <f t="shared" si="44"/>
        <v>1.8585272517225866</v>
      </c>
      <c r="Z56" s="348">
        <f t="shared" si="11"/>
        <v>3.4541235453955108E-3</v>
      </c>
      <c r="AA56" s="525">
        <f t="shared" si="45"/>
        <v>3.4541235453955108E-3</v>
      </c>
      <c r="AB56" s="348">
        <f t="shared" si="46"/>
        <v>2.4423132418863385</v>
      </c>
      <c r="AC56" s="348">
        <f t="shared" si="59"/>
        <v>7.1578727657920282E-2</v>
      </c>
      <c r="AD56" s="348">
        <f t="shared" si="60"/>
        <v>0.37477946113989635</v>
      </c>
      <c r="AE56" s="348">
        <f t="shared" si="61"/>
        <v>0.71819999999999995</v>
      </c>
      <c r="AF56" s="348">
        <f t="shared" si="62"/>
        <v>0</v>
      </c>
      <c r="AG56" s="348">
        <f t="shared" si="63"/>
        <v>1.1787327163966741</v>
      </c>
      <c r="AH56" s="348">
        <f t="shared" si="64"/>
        <v>2.8646185207260713</v>
      </c>
      <c r="AI56" s="348">
        <f t="shared" si="65"/>
        <v>3.3644761004075978E-2</v>
      </c>
      <c r="AJ56" s="348">
        <f t="shared" si="66"/>
        <v>0.15476159999999997</v>
      </c>
      <c r="AK56" s="348">
        <f t="shared" si="67"/>
        <v>0.18944401541981115</v>
      </c>
      <c r="AL56" s="348">
        <f t="shared" si="68"/>
        <v>0.15476159999999997</v>
      </c>
      <c r="AM56" s="348">
        <f t="shared" si="69"/>
        <v>0.69879599999999997</v>
      </c>
      <c r="AN56" s="348">
        <f t="shared" si="70"/>
        <v>6.518629290758883E-2</v>
      </c>
      <c r="AO56" s="348">
        <f t="shared" si="71"/>
        <v>2.6400000000000001E-5</v>
      </c>
      <c r="AP56" s="348">
        <f t="shared" si="72"/>
        <v>0.34650000000000003</v>
      </c>
      <c r="AQ56" s="348">
        <f t="shared" si="26"/>
        <v>0.61836923076923067</v>
      </c>
      <c r="AR56" s="348">
        <f t="shared" si="73"/>
        <v>0.48509999999999998</v>
      </c>
      <c r="AS56" s="348">
        <f t="shared" si="74"/>
        <v>0.34652640000000001</v>
      </c>
      <c r="AT56" s="348">
        <f t="shared" si="75"/>
        <v>2.8875270644668203</v>
      </c>
      <c r="AU56">
        <f t="shared" si="76"/>
        <v>18.799999999999997</v>
      </c>
      <c r="AV56" s="526">
        <f t="shared" si="47"/>
        <v>0.86685770784822258</v>
      </c>
      <c r="AW56" s="534">
        <f t="shared" si="77"/>
        <v>68.877399208660322</v>
      </c>
      <c r="AX56" s="534">
        <f t="shared" si="78"/>
        <v>17.095900503586314</v>
      </c>
      <c r="AY56" s="9"/>
      <c r="AZ56" s="4">
        <f t="shared" si="48"/>
        <v>86.685770784822253</v>
      </c>
      <c r="BA56" s="348">
        <f t="shared" si="79"/>
        <v>0.25059258295657005</v>
      </c>
      <c r="BB56" s="348">
        <f t="shared" si="80"/>
        <v>2.0669727318164854</v>
      </c>
      <c r="BC56" s="348">
        <f t="shared" si="81"/>
        <v>1.6399380763966742</v>
      </c>
      <c r="BD56" s="348">
        <f t="shared" si="82"/>
        <v>0.42004669541981116</v>
      </c>
      <c r="BE56" s="348">
        <f t="shared" si="83"/>
        <v>6.518629290758883E-2</v>
      </c>
      <c r="BK56" s="18"/>
      <c r="BL56" s="19"/>
    </row>
    <row r="57" spans="1:64" x14ac:dyDescent="0.2">
      <c r="A57" s="24" t="s">
        <v>221</v>
      </c>
      <c r="B57" s="15" t="s">
        <v>111</v>
      </c>
      <c r="C57" s="24" t="s">
        <v>76</v>
      </c>
      <c r="D57" s="24" t="s">
        <v>210</v>
      </c>
      <c r="G57">
        <v>48</v>
      </c>
      <c r="H57" s="531">
        <f t="shared" si="49"/>
        <v>12</v>
      </c>
      <c r="I57" s="4">
        <f t="shared" si="50"/>
        <v>1</v>
      </c>
      <c r="J57" s="348">
        <f t="shared" si="84"/>
        <v>3.84</v>
      </c>
      <c r="K57" s="348">
        <f t="shared" si="51"/>
        <v>3.84</v>
      </c>
      <c r="L57" s="4">
        <f t="shared" si="52"/>
        <v>1.7777777777777777</v>
      </c>
      <c r="M57" s="348">
        <f t="shared" si="53"/>
        <v>0.42101525877993828</v>
      </c>
      <c r="N57" s="4">
        <f t="shared" si="54"/>
        <v>0.63247791845389323</v>
      </c>
      <c r="O57" s="4">
        <f t="shared" si="39"/>
        <v>4.1562389592269469</v>
      </c>
      <c r="P57" s="4">
        <f t="shared" si="40"/>
        <v>3.5237610407730533</v>
      </c>
      <c r="Q57" s="4">
        <f t="shared" si="55"/>
        <v>0</v>
      </c>
      <c r="R57" s="4">
        <f t="shared" si="41"/>
        <v>3.8443381345962506</v>
      </c>
      <c r="S57" s="348">
        <f t="shared" si="56"/>
        <v>5.1726274925888431E-2</v>
      </c>
      <c r="T57" s="348">
        <f t="shared" si="57"/>
        <v>0.2</v>
      </c>
      <c r="U57" s="348">
        <f t="shared" si="58"/>
        <v>0.25277227237022959</v>
      </c>
      <c r="V57" s="4">
        <f t="shared" si="42"/>
        <v>0.18258064823792472</v>
      </c>
      <c r="W57" s="348">
        <f t="shared" si="10"/>
        <v>3.3335693110980799E-5</v>
      </c>
      <c r="X57" s="348">
        <f t="shared" si="43"/>
        <v>3.3335693110980799E-5</v>
      </c>
      <c r="Y57" s="4">
        <f t="shared" si="44"/>
        <v>1.8980343022515145</v>
      </c>
      <c r="Z57" s="348">
        <f t="shared" si="11"/>
        <v>3.6025342125233935E-3</v>
      </c>
      <c r="AA57" s="525">
        <f t="shared" si="45"/>
        <v>3.6025342125233935E-3</v>
      </c>
      <c r="AB57" s="348">
        <f t="shared" si="46"/>
        <v>2.4944252715459703</v>
      </c>
      <c r="AC57" s="348">
        <f t="shared" si="59"/>
        <v>7.4665889223926252E-2</v>
      </c>
      <c r="AD57" s="348">
        <f t="shared" si="60"/>
        <v>0.38275349222797928</v>
      </c>
      <c r="AE57" s="348">
        <f t="shared" si="61"/>
        <v>0.71819999999999995</v>
      </c>
      <c r="AF57" s="348">
        <f t="shared" si="62"/>
        <v>0</v>
      </c>
      <c r="AG57" s="348">
        <f t="shared" si="63"/>
        <v>1.1905535294263807</v>
      </c>
      <c r="AH57" s="348">
        <f t="shared" si="64"/>
        <v>2.9251971314398273</v>
      </c>
      <c r="AI57" s="348">
        <f t="shared" si="65"/>
        <v>3.508279085691355E-2</v>
      </c>
      <c r="AJ57" s="348">
        <f t="shared" si="66"/>
        <v>0.15805439999999998</v>
      </c>
      <c r="AK57" s="348">
        <f t="shared" si="67"/>
        <v>0.194246626257637</v>
      </c>
      <c r="AL57" s="348">
        <f t="shared" si="68"/>
        <v>0.15805439999999998</v>
      </c>
      <c r="AM57" s="348">
        <f t="shared" si="69"/>
        <v>0.71366399999999997</v>
      </c>
      <c r="AN57" s="348">
        <f t="shared" si="70"/>
        <v>6.7983104188310509E-2</v>
      </c>
      <c r="AO57" s="348">
        <f t="shared" si="71"/>
        <v>2.6400000000000001E-5</v>
      </c>
      <c r="AP57" s="348">
        <f t="shared" si="72"/>
        <v>0.34650000000000003</v>
      </c>
      <c r="AQ57" s="348">
        <f t="shared" si="26"/>
        <v>0.61836923076923067</v>
      </c>
      <c r="AR57" s="348">
        <f t="shared" si="73"/>
        <v>0.48509999999999998</v>
      </c>
      <c r="AS57" s="348">
        <f t="shared" si="74"/>
        <v>0.34652640000000001</v>
      </c>
      <c r="AT57" s="348">
        <f t="shared" si="75"/>
        <v>2.9274362021481921</v>
      </c>
      <c r="AU57">
        <f t="shared" si="76"/>
        <v>19.2</v>
      </c>
      <c r="AV57" s="526">
        <f t="shared" si="47"/>
        <v>0.86770106688347426</v>
      </c>
      <c r="AW57" s="534">
        <f t="shared" si="77"/>
        <v>69.786014315907991</v>
      </c>
      <c r="AX57" s="534">
        <f t="shared" si="78"/>
        <v>17.491058872685826</v>
      </c>
      <c r="AY57" s="9"/>
      <c r="AZ57" s="4">
        <f t="shared" si="48"/>
        <v>86.770106688347425</v>
      </c>
      <c r="BA57" s="348">
        <f t="shared" si="79"/>
        <v>0.25277227237022959</v>
      </c>
      <c r="BB57" s="348">
        <f t="shared" si="80"/>
        <v>2.0984641556840176</v>
      </c>
      <c r="BC57" s="348">
        <f t="shared" si="81"/>
        <v>1.6615717694263807</v>
      </c>
      <c r="BD57" s="348">
        <f t="shared" si="82"/>
        <v>0.42975574625763702</v>
      </c>
      <c r="BE57" s="348">
        <f t="shared" si="83"/>
        <v>6.7983104188310509E-2</v>
      </c>
      <c r="BK57" s="18"/>
      <c r="BL57" s="19"/>
    </row>
    <row r="58" spans="1:64" x14ac:dyDescent="0.2">
      <c r="A58" s="23" t="s">
        <v>192</v>
      </c>
      <c r="B58" s="73">
        <f>VfdSky_Q2</f>
        <v>0</v>
      </c>
      <c r="C58" s="427" t="s">
        <v>0</v>
      </c>
      <c r="D58" s="76" t="s">
        <v>195</v>
      </c>
      <c r="G58">
        <v>49</v>
      </c>
      <c r="H58" s="531">
        <f t="shared" si="49"/>
        <v>12</v>
      </c>
      <c r="I58" s="4">
        <f t="shared" si="50"/>
        <v>1</v>
      </c>
      <c r="J58" s="348">
        <f t="shared" si="84"/>
        <v>3.92</v>
      </c>
      <c r="K58" s="348">
        <f t="shared" si="51"/>
        <v>3.92</v>
      </c>
      <c r="L58" s="4">
        <f t="shared" si="52"/>
        <v>1.8148148148148149</v>
      </c>
      <c r="M58" s="348">
        <f t="shared" si="53"/>
        <v>0.42110595221648939</v>
      </c>
      <c r="N58" s="4">
        <f t="shared" si="54"/>
        <v>0.63250114022916704</v>
      </c>
      <c r="O58" s="4">
        <f t="shared" si="39"/>
        <v>4.2362505701145832</v>
      </c>
      <c r="P58" s="4">
        <f t="shared" si="40"/>
        <v>3.6037494298854162</v>
      </c>
      <c r="Q58" s="4">
        <f t="shared" si="55"/>
        <v>0</v>
      </c>
      <c r="R58" s="4">
        <f t="shared" si="41"/>
        <v>3.9242500100060647</v>
      </c>
      <c r="S58" s="348">
        <f t="shared" si="56"/>
        <v>5.3899083493614094E-2</v>
      </c>
      <c r="T58" s="348">
        <f t="shared" si="57"/>
        <v>0.2</v>
      </c>
      <c r="U58" s="348">
        <f t="shared" si="58"/>
        <v>0.25499861884142933</v>
      </c>
      <c r="V58" s="4">
        <f t="shared" si="42"/>
        <v>0.18258735178702742</v>
      </c>
      <c r="W58" s="348">
        <f t="shared" si="10"/>
        <v>3.3338141032599707E-5</v>
      </c>
      <c r="X58" s="348">
        <f t="shared" si="43"/>
        <v>3.3338141032599707E-5</v>
      </c>
      <c r="Y58" s="4">
        <f t="shared" si="44"/>
        <v>1.9375454562910255</v>
      </c>
      <c r="Z58" s="348">
        <f t="shared" si="11"/>
        <v>3.7540823951939984E-3</v>
      </c>
      <c r="AA58" s="525">
        <f t="shared" si="45"/>
        <v>3.7540823951939984E-3</v>
      </c>
      <c r="AB58" s="348">
        <f t="shared" si="46"/>
        <v>2.5465508818329394</v>
      </c>
      <c r="AC58" s="348">
        <f t="shared" si="59"/>
        <v>7.7819056725169464E-2</v>
      </c>
      <c r="AD58" s="348">
        <f t="shared" si="60"/>
        <v>0.3907275233160622</v>
      </c>
      <c r="AE58" s="348">
        <f t="shared" si="61"/>
        <v>0.71819999999999995</v>
      </c>
      <c r="AF58" s="348">
        <f t="shared" si="62"/>
        <v>0</v>
      </c>
      <c r="AG58" s="348">
        <f t="shared" si="63"/>
        <v>1.2024671564979923</v>
      </c>
      <c r="AH58" s="348">
        <f t="shared" si="64"/>
        <v>2.985769037830702</v>
      </c>
      <c r="AI58" s="348">
        <f t="shared" si="65"/>
        <v>3.6550748663800751E-2</v>
      </c>
      <c r="AJ58" s="348">
        <f t="shared" si="66"/>
        <v>0.16134719999999997</v>
      </c>
      <c r="AK58" s="348">
        <f t="shared" si="67"/>
        <v>0.19908258197933179</v>
      </c>
      <c r="AL58" s="348">
        <f t="shared" si="68"/>
        <v>0.16134719999999997</v>
      </c>
      <c r="AM58" s="348">
        <f t="shared" si="69"/>
        <v>0.72853199999999996</v>
      </c>
      <c r="AN58" s="348">
        <f t="shared" si="70"/>
        <v>7.083879544874995E-2</v>
      </c>
      <c r="AO58" s="348">
        <f t="shared" si="71"/>
        <v>2.6400000000000001E-5</v>
      </c>
      <c r="AP58" s="348">
        <f t="shared" si="72"/>
        <v>0.34650000000000003</v>
      </c>
      <c r="AQ58" s="348">
        <f t="shared" si="26"/>
        <v>0.61836923076923067</v>
      </c>
      <c r="AR58" s="348">
        <f t="shared" si="73"/>
        <v>0.48509999999999998</v>
      </c>
      <c r="AS58" s="348">
        <f t="shared" si="74"/>
        <v>0.34652640000000001</v>
      </c>
      <c r="AT58" s="348">
        <f t="shared" si="75"/>
        <v>2.9675801733037304</v>
      </c>
      <c r="AU58">
        <f t="shared" si="76"/>
        <v>19.600000000000001</v>
      </c>
      <c r="AV58" s="526">
        <f t="shared" si="47"/>
        <v>0.86850250888598934</v>
      </c>
      <c r="AW58" s="534">
        <f t="shared" si="77"/>
        <v>70.698527612915669</v>
      </c>
      <c r="AX58" s="534">
        <f t="shared" si="78"/>
        <v>17.887574378558806</v>
      </c>
      <c r="AY58" s="9"/>
      <c r="AZ58" s="4">
        <f t="shared" si="48"/>
        <v>86.850250888598936</v>
      </c>
      <c r="BA58" s="348">
        <f t="shared" si="79"/>
        <v>0.25499861884142933</v>
      </c>
      <c r="BB58" s="348">
        <f t="shared" si="80"/>
        <v>2.1300817384773243</v>
      </c>
      <c r="BC58" s="348">
        <f t="shared" si="81"/>
        <v>1.6832982764979922</v>
      </c>
      <c r="BD58" s="348">
        <f t="shared" si="82"/>
        <v>0.43949814197933179</v>
      </c>
      <c r="BE58" s="348">
        <f t="shared" si="83"/>
        <v>7.083879544874995E-2</v>
      </c>
      <c r="BK58" s="18"/>
      <c r="BL58" s="19"/>
    </row>
    <row r="59" spans="1:64" x14ac:dyDescent="0.2">
      <c r="A59" s="23" t="s">
        <v>193</v>
      </c>
      <c r="B59" s="73">
        <f>QrrSky_Q2*1000000000</f>
        <v>0</v>
      </c>
      <c r="C59" s="427" t="s">
        <v>65</v>
      </c>
      <c r="D59" s="76" t="s">
        <v>196</v>
      </c>
      <c r="G59">
        <v>50</v>
      </c>
      <c r="H59" s="531">
        <f t="shared" si="49"/>
        <v>12</v>
      </c>
      <c r="I59" s="4">
        <f t="shared" si="50"/>
        <v>1</v>
      </c>
      <c r="J59" s="348">
        <f t="shared" si="84"/>
        <v>4</v>
      </c>
      <c r="K59" s="348">
        <f t="shared" si="51"/>
        <v>4</v>
      </c>
      <c r="L59" s="4">
        <f t="shared" si="52"/>
        <v>1.8518518518518516</v>
      </c>
      <c r="M59" s="348">
        <f t="shared" si="53"/>
        <v>0.42119664964794606</v>
      </c>
      <c r="N59" s="4">
        <f t="shared" si="54"/>
        <v>0.63252431931979436</v>
      </c>
      <c r="O59" s="4">
        <f t="shared" si="39"/>
        <v>4.3162621596598969</v>
      </c>
      <c r="P59" s="4">
        <f t="shared" si="40"/>
        <v>3.6837378403401027</v>
      </c>
      <c r="Q59" s="4">
        <f t="shared" si="55"/>
        <v>0</v>
      </c>
      <c r="R59" s="4">
        <f t="shared" si="41"/>
        <v>4.0041654042439667</v>
      </c>
      <c r="S59" s="348">
        <f t="shared" si="56"/>
        <v>5.6116692045904873E-2</v>
      </c>
      <c r="T59" s="348">
        <f t="shared" si="57"/>
        <v>0.2</v>
      </c>
      <c r="U59" s="348">
        <f t="shared" si="58"/>
        <v>0.25727167085594954</v>
      </c>
      <c r="V59" s="4">
        <f t="shared" si="42"/>
        <v>0.18259404301413404</v>
      </c>
      <c r="W59" s="348">
        <f t="shared" si="10"/>
        <v>3.3340584544247434E-5</v>
      </c>
      <c r="X59" s="348">
        <f t="shared" si="43"/>
        <v>3.3340584544247434E-5</v>
      </c>
      <c r="Y59" s="4">
        <f t="shared" si="44"/>
        <v>1.9770605994113366</v>
      </c>
      <c r="Z59" s="348">
        <f t="shared" si="11"/>
        <v>3.9087686137447139E-3</v>
      </c>
      <c r="AA59" s="525">
        <f t="shared" si="45"/>
        <v>3.9087686137447139E-3</v>
      </c>
      <c r="AB59" s="348">
        <f t="shared" si="46"/>
        <v>2.5986899270352515</v>
      </c>
      <c r="AC59" s="348">
        <f t="shared" si="59"/>
        <v>8.1038272042493781E-2</v>
      </c>
      <c r="AD59" s="348">
        <f t="shared" si="60"/>
        <v>0.39870155440414506</v>
      </c>
      <c r="AE59" s="348">
        <f t="shared" si="61"/>
        <v>0.71819999999999995</v>
      </c>
      <c r="AF59" s="348">
        <f t="shared" si="62"/>
        <v>0</v>
      </c>
      <c r="AG59" s="348">
        <f t="shared" si="63"/>
        <v>1.2144742000697646</v>
      </c>
      <c r="AH59" s="348">
        <f t="shared" si="64"/>
        <v>3.0463340669844094</v>
      </c>
      <c r="AI59" s="348">
        <f t="shared" si="65"/>
        <v>3.8048620115446061E-2</v>
      </c>
      <c r="AJ59" s="348">
        <f t="shared" si="66"/>
        <v>0.16463999999999998</v>
      </c>
      <c r="AK59" s="348">
        <f t="shared" si="67"/>
        <v>0.20395196289082115</v>
      </c>
      <c r="AL59" s="348">
        <f t="shared" si="68"/>
        <v>0.16463999999999998</v>
      </c>
      <c r="AM59" s="348">
        <f t="shared" si="69"/>
        <v>0.74339999999999995</v>
      </c>
      <c r="AN59" s="348">
        <f t="shared" si="70"/>
        <v>7.3753366688903546E-2</v>
      </c>
      <c r="AO59" s="348">
        <f t="shared" si="71"/>
        <v>2.6400000000000001E-5</v>
      </c>
      <c r="AP59" s="348">
        <f t="shared" si="72"/>
        <v>0.34650000000000003</v>
      </c>
      <c r="AQ59" s="348">
        <f t="shared" si="26"/>
        <v>0.61836923076923067</v>
      </c>
      <c r="AR59" s="348">
        <f t="shared" si="73"/>
        <v>0.48509999999999998</v>
      </c>
      <c r="AS59" s="348">
        <f t="shared" si="74"/>
        <v>0.34652640000000001</v>
      </c>
      <c r="AT59" s="348">
        <f t="shared" si="75"/>
        <v>3.0079597097037278</v>
      </c>
      <c r="AU59">
        <f t="shared" si="76"/>
        <v>20</v>
      </c>
      <c r="AV59" s="526">
        <f t="shared" si="47"/>
        <v>0.86926438729657962</v>
      </c>
      <c r="AW59" s="534">
        <f t="shared" si="77"/>
        <v>71.614964402930113</v>
      </c>
      <c r="AX59" s="534">
        <f t="shared" si="78"/>
        <v>18.285450289656421</v>
      </c>
      <c r="AY59" s="9"/>
      <c r="AZ59" s="4">
        <f t="shared" si="48"/>
        <v>86.92643872965796</v>
      </c>
      <c r="BA59" s="348">
        <f t="shared" si="79"/>
        <v>0.25727167085594954</v>
      </c>
      <c r="BB59" s="348">
        <f t="shared" si="80"/>
        <v>2.1618261629605855</v>
      </c>
      <c r="BC59" s="348">
        <f t="shared" si="81"/>
        <v>1.7051182000697644</v>
      </c>
      <c r="BD59" s="348">
        <f t="shared" si="82"/>
        <v>0.44927396289082111</v>
      </c>
      <c r="BE59" s="348">
        <f t="shared" si="83"/>
        <v>7.3753366688903546E-2</v>
      </c>
      <c r="BK59" s="18"/>
      <c r="BL59" s="19"/>
    </row>
    <row r="60" spans="1:64" x14ac:dyDescent="0.2">
      <c r="A60" s="23" t="s">
        <v>194</v>
      </c>
      <c r="B60" s="73">
        <f>Ireverse</f>
        <v>0</v>
      </c>
      <c r="C60" s="427" t="s">
        <v>64</v>
      </c>
      <c r="D60" s="76" t="s">
        <v>197</v>
      </c>
      <c r="E60" s="2"/>
      <c r="G60">
        <v>51</v>
      </c>
      <c r="H60" s="531">
        <f t="shared" si="49"/>
        <v>12</v>
      </c>
      <c r="I60" s="4">
        <f t="shared" si="50"/>
        <v>1</v>
      </c>
      <c r="J60" s="348">
        <f t="shared" si="84"/>
        <v>4.08</v>
      </c>
      <c r="K60" s="348">
        <f t="shared" si="51"/>
        <v>4.08</v>
      </c>
      <c r="L60" s="4">
        <f t="shared" si="52"/>
        <v>1.8888888888888886</v>
      </c>
      <c r="M60" s="348">
        <f t="shared" si="53"/>
        <v>0.42128735107457232</v>
      </c>
      <c r="N60" s="4">
        <f t="shared" si="54"/>
        <v>0.63254745572295457</v>
      </c>
      <c r="O60" s="4">
        <f t="shared" si="39"/>
        <v>4.3962737278614776</v>
      </c>
      <c r="P60" s="4">
        <f t="shared" si="40"/>
        <v>3.763726272138523</v>
      </c>
      <c r="Q60" s="4">
        <f t="shared" si="55"/>
        <v>0</v>
      </c>
      <c r="R60" s="4">
        <f t="shared" si="41"/>
        <v>4.0840841107456551</v>
      </c>
      <c r="S60" s="348">
        <f t="shared" si="56"/>
        <v>5.8379100582757942E-2</v>
      </c>
      <c r="T60" s="348">
        <f t="shared" si="57"/>
        <v>0.2</v>
      </c>
      <c r="U60" s="348">
        <f t="shared" si="58"/>
        <v>0.25959147794285814</v>
      </c>
      <c r="V60" s="4">
        <f t="shared" si="42"/>
        <v>0.18260072191843035</v>
      </c>
      <c r="W60" s="348">
        <f t="shared" si="10"/>
        <v>3.3343023645131936E-5</v>
      </c>
      <c r="X60" s="348">
        <f t="shared" si="43"/>
        <v>3.3343023645131936E-5</v>
      </c>
      <c r="Y60" s="4">
        <f t="shared" si="44"/>
        <v>2.0165796258250062</v>
      </c>
      <c r="Z60" s="348">
        <f t="shared" si="11"/>
        <v>4.0665933872925221E-3</v>
      </c>
      <c r="AA60" s="525">
        <f t="shared" si="45"/>
        <v>4.0665933872925221E-3</v>
      </c>
      <c r="AB60" s="348">
        <f t="shared" si="46"/>
        <v>2.6508422727571013</v>
      </c>
      <c r="AC60" s="348">
        <f t="shared" si="59"/>
        <v>8.4323577060432406E-2</v>
      </c>
      <c r="AD60" s="348">
        <f t="shared" si="60"/>
        <v>0.40667558549222799</v>
      </c>
      <c r="AE60" s="348">
        <f t="shared" si="61"/>
        <v>0.71819999999999995</v>
      </c>
      <c r="AF60" s="348">
        <f t="shared" si="62"/>
        <v>0</v>
      </c>
      <c r="AG60" s="348">
        <f t="shared" si="63"/>
        <v>1.2265752705630819</v>
      </c>
      <c r="AH60" s="348">
        <f t="shared" si="64"/>
        <v>3.1068920593752685</v>
      </c>
      <c r="AI60" s="348">
        <f t="shared" si="65"/>
        <v>3.9576390901297297E-2</v>
      </c>
      <c r="AJ60" s="348">
        <f t="shared" si="66"/>
        <v>0.16793279999999999</v>
      </c>
      <c r="AK60" s="348">
        <f t="shared" si="67"/>
        <v>0.20885485031226497</v>
      </c>
      <c r="AL60" s="348">
        <f t="shared" si="68"/>
        <v>0.16793279999999999</v>
      </c>
      <c r="AM60" s="348">
        <f t="shared" si="69"/>
        <v>0.75826799999999994</v>
      </c>
      <c r="AN60" s="348">
        <f t="shared" si="70"/>
        <v>7.6726817908767578E-2</v>
      </c>
      <c r="AO60" s="348">
        <f t="shared" si="71"/>
        <v>2.6400000000000001E-5</v>
      </c>
      <c r="AP60" s="348">
        <f t="shared" si="72"/>
        <v>0.34650000000000003</v>
      </c>
      <c r="AQ60" s="348">
        <f t="shared" si="26"/>
        <v>0.61836923076923067</v>
      </c>
      <c r="AR60" s="348">
        <f t="shared" si="73"/>
        <v>0.48509999999999998</v>
      </c>
      <c r="AS60" s="348">
        <f t="shared" si="74"/>
        <v>0.34652640000000001</v>
      </c>
      <c r="AT60" s="348">
        <f t="shared" si="75"/>
        <v>3.0485755531379106</v>
      </c>
      <c r="AU60">
        <f t="shared" si="76"/>
        <v>20.399999999999999</v>
      </c>
      <c r="AV60" s="526">
        <f t="shared" si="47"/>
        <v>0.86998888072201264</v>
      </c>
      <c r="AW60" s="534">
        <f t="shared" si="77"/>
        <v>72.535350323649439</v>
      </c>
      <c r="AX60" s="534">
        <f t="shared" si="78"/>
        <v>18.684689915709185</v>
      </c>
      <c r="AY60" s="9"/>
      <c r="AZ60" s="4">
        <f t="shared" si="48"/>
        <v>86.998888072201268</v>
      </c>
      <c r="BA60" s="348">
        <f t="shared" si="79"/>
        <v>0.25959147794285814</v>
      </c>
      <c r="BB60" s="348">
        <f t="shared" si="80"/>
        <v>2.1936981208753465</v>
      </c>
      <c r="BC60" s="348">
        <f t="shared" si="81"/>
        <v>1.7270321505630819</v>
      </c>
      <c r="BD60" s="348">
        <f t="shared" si="82"/>
        <v>0.45908329031226497</v>
      </c>
      <c r="BE60" s="348">
        <f t="shared" si="83"/>
        <v>7.6726817908767578E-2</v>
      </c>
      <c r="BK60" s="18"/>
      <c r="BL60" s="19"/>
    </row>
    <row r="61" spans="1:64" x14ac:dyDescent="0.2">
      <c r="A61" s="24" t="s">
        <v>117</v>
      </c>
      <c r="B61" s="15" t="s">
        <v>111</v>
      </c>
      <c r="C61" s="24" t="s">
        <v>76</v>
      </c>
      <c r="D61" s="24" t="s">
        <v>210</v>
      </c>
      <c r="G61">
        <v>52</v>
      </c>
      <c r="H61" s="531">
        <f t="shared" si="49"/>
        <v>12</v>
      </c>
      <c r="I61" s="4">
        <f t="shared" si="50"/>
        <v>1</v>
      </c>
      <c r="J61" s="348">
        <f t="shared" si="84"/>
        <v>4.16</v>
      </c>
      <c r="K61" s="348">
        <f t="shared" si="51"/>
        <v>4.16</v>
      </c>
      <c r="L61" s="4">
        <f t="shared" si="52"/>
        <v>1.9259259259259258</v>
      </c>
      <c r="M61" s="348">
        <f t="shared" si="53"/>
        <v>0.42137805649663218</v>
      </c>
      <c r="N61" s="4">
        <f t="shared" si="54"/>
        <v>0.63257054943582736</v>
      </c>
      <c r="O61" s="4">
        <f t="shared" si="39"/>
        <v>4.476285274717914</v>
      </c>
      <c r="P61" s="4">
        <f t="shared" si="40"/>
        <v>3.8437147252820862</v>
      </c>
      <c r="Q61" s="4">
        <f t="shared" si="55"/>
        <v>0</v>
      </c>
      <c r="R61" s="4">
        <f t="shared" si="41"/>
        <v>4.1640059387967332</v>
      </c>
      <c r="S61" s="348">
        <f t="shared" si="56"/>
        <v>6.0686309104170624E-2</v>
      </c>
      <c r="T61" s="348">
        <f t="shared" si="57"/>
        <v>0.2</v>
      </c>
      <c r="U61" s="348">
        <f t="shared" si="58"/>
        <v>0.2619580906772247</v>
      </c>
      <c r="V61" s="4">
        <f t="shared" si="42"/>
        <v>0.18260738849910221</v>
      </c>
      <c r="W61" s="348">
        <f t="shared" si="10"/>
        <v>3.3345458334462052E-5</v>
      </c>
      <c r="X61" s="348">
        <f t="shared" si="43"/>
        <v>3.3345458334462052E-5</v>
      </c>
      <c r="Y61" s="4">
        <f t="shared" si="44"/>
        <v>2.056102437558434</v>
      </c>
      <c r="Z61" s="348">
        <f t="shared" si="11"/>
        <v>4.2275572337337336E-3</v>
      </c>
      <c r="AA61" s="525">
        <f t="shared" si="45"/>
        <v>4.2275572337337336E-3</v>
      </c>
      <c r="AB61" s="348">
        <f t="shared" si="46"/>
        <v>2.7030077948341336</v>
      </c>
      <c r="AC61" s="348">
        <f t="shared" si="59"/>
        <v>8.767501366720902E-2</v>
      </c>
      <c r="AD61" s="348">
        <f t="shared" si="60"/>
        <v>0.41464961658031091</v>
      </c>
      <c r="AE61" s="348">
        <f t="shared" si="61"/>
        <v>0.71819999999999995</v>
      </c>
      <c r="AF61" s="348">
        <f t="shared" si="62"/>
        <v>0</v>
      </c>
      <c r="AG61" s="348">
        <f t="shared" si="63"/>
        <v>1.238770986459812</v>
      </c>
      <c r="AH61" s="348">
        <f t="shared" si="64"/>
        <v>3.167442867582678</v>
      </c>
      <c r="AI61" s="348">
        <f t="shared" si="65"/>
        <v>4.1134046709541544E-2</v>
      </c>
      <c r="AJ61" s="348">
        <f t="shared" si="66"/>
        <v>0.17122559999999998</v>
      </c>
      <c r="AK61" s="348">
        <f t="shared" si="67"/>
        <v>0.21379132658249828</v>
      </c>
      <c r="AL61" s="348">
        <f t="shared" si="68"/>
        <v>0.17122559999999998</v>
      </c>
      <c r="AM61" s="348">
        <f t="shared" si="69"/>
        <v>0.77313600000000005</v>
      </c>
      <c r="AN61" s="348">
        <f t="shared" si="70"/>
        <v>7.9759149108338534E-2</v>
      </c>
      <c r="AO61" s="348">
        <f t="shared" si="71"/>
        <v>2.6400000000000001E-5</v>
      </c>
      <c r="AP61" s="348">
        <f t="shared" si="72"/>
        <v>0.34650000000000003</v>
      </c>
      <c r="AQ61" s="348">
        <f t="shared" si="26"/>
        <v>0.61836923076923067</v>
      </c>
      <c r="AR61" s="348">
        <f t="shared" si="73"/>
        <v>0.48509999999999998</v>
      </c>
      <c r="AS61" s="348">
        <f t="shared" si="74"/>
        <v>0.34652640000000001</v>
      </c>
      <c r="AT61" s="348">
        <f t="shared" si="75"/>
        <v>3.0894284555199421</v>
      </c>
      <c r="AU61">
        <f t="shared" si="76"/>
        <v>20.8</v>
      </c>
      <c r="AV61" s="526">
        <f t="shared" si="47"/>
        <v>0.87067800884093172</v>
      </c>
      <c r="AW61" s="534">
        <f t="shared" si="77"/>
        <v>73.459711351312109</v>
      </c>
      <c r="AX61" s="534">
        <f t="shared" si="78"/>
        <v>19.085296607907683</v>
      </c>
      <c r="AY61" s="9"/>
      <c r="AZ61" s="4">
        <f t="shared" si="48"/>
        <v>87.067800884093174</v>
      </c>
      <c r="BA61" s="348">
        <f t="shared" si="79"/>
        <v>0.2619580906772247</v>
      </c>
      <c r="BB61" s="348">
        <f t="shared" si="80"/>
        <v>2.2256983130423103</v>
      </c>
      <c r="BC61" s="348">
        <f t="shared" si="81"/>
        <v>1.7490407464598121</v>
      </c>
      <c r="BD61" s="348">
        <f t="shared" si="82"/>
        <v>0.46892620658249828</v>
      </c>
      <c r="BE61" s="348">
        <f t="shared" si="83"/>
        <v>7.9759149108338534E-2</v>
      </c>
      <c r="BK61" s="18"/>
      <c r="BL61" s="19"/>
    </row>
    <row r="62" spans="1:64" ht="15.75" x14ac:dyDescent="0.3">
      <c r="A62" s="433" t="s">
        <v>454</v>
      </c>
      <c r="B62" s="74">
        <v>30</v>
      </c>
      <c r="C62" s="428" t="s">
        <v>202</v>
      </c>
      <c r="D62" s="76" t="s">
        <v>103</v>
      </c>
      <c r="G62">
        <v>53</v>
      </c>
      <c r="H62" s="531">
        <f t="shared" si="49"/>
        <v>12</v>
      </c>
      <c r="I62" s="4">
        <f t="shared" si="50"/>
        <v>1</v>
      </c>
      <c r="J62" s="348">
        <f t="shared" si="84"/>
        <v>4.24</v>
      </c>
      <c r="K62" s="348">
        <f t="shared" si="51"/>
        <v>4.24</v>
      </c>
      <c r="L62" s="4">
        <f t="shared" si="52"/>
        <v>1.962962962962963</v>
      </c>
      <c r="M62" s="348">
        <f t="shared" si="53"/>
        <v>0.42146876591438948</v>
      </c>
      <c r="N62" s="4">
        <f t="shared" si="54"/>
        <v>0.63259360045559143</v>
      </c>
      <c r="O62" s="4">
        <f t="shared" si="39"/>
        <v>4.5562968002277957</v>
      </c>
      <c r="P62" s="4">
        <f t="shared" si="40"/>
        <v>3.9237031997722047</v>
      </c>
      <c r="Q62" s="4">
        <f t="shared" si="55"/>
        <v>0</v>
      </c>
      <c r="R62" s="4">
        <f t="shared" si="41"/>
        <v>4.24393071204178</v>
      </c>
      <c r="S62" s="348">
        <f t="shared" si="56"/>
        <v>6.3038317610140074E-2</v>
      </c>
      <c r="T62" s="348">
        <f t="shared" si="57"/>
        <v>0.2</v>
      </c>
      <c r="U62" s="348">
        <f t="shared" si="58"/>
        <v>0.26437156068289341</v>
      </c>
      <c r="V62" s="4">
        <f t="shared" si="42"/>
        <v>0.18261404275533516</v>
      </c>
      <c r="W62" s="348">
        <f t="shared" si="10"/>
        <v>3.3347888611447376E-5</v>
      </c>
      <c r="X62" s="348">
        <f t="shared" si="43"/>
        <v>3.3347888611447376E-5</v>
      </c>
      <c r="Y62" s="4">
        <f t="shared" si="44"/>
        <v>2.0956289437168261</v>
      </c>
      <c r="Z62" s="348">
        <f t="shared" si="11"/>
        <v>4.3916606697437001E-3</v>
      </c>
      <c r="AA62" s="525">
        <f t="shared" si="45"/>
        <v>4.3916606697437001E-3</v>
      </c>
      <c r="AB62" s="348">
        <f t="shared" si="46"/>
        <v>2.7551863783710617</v>
      </c>
      <c r="AC62" s="348">
        <f t="shared" si="59"/>
        <v>9.1092623754737367E-2</v>
      </c>
      <c r="AD62" s="348">
        <f t="shared" si="60"/>
        <v>0.42262364766839378</v>
      </c>
      <c r="AE62" s="348">
        <f t="shared" si="61"/>
        <v>0.71819999999999995</v>
      </c>
      <c r="AF62" s="348">
        <f t="shared" si="62"/>
        <v>0</v>
      </c>
      <c r="AG62" s="348">
        <f t="shared" si="63"/>
        <v>1.2510619744014366</v>
      </c>
      <c r="AH62" s="348">
        <f t="shared" si="64"/>
        <v>3.2279863551523889</v>
      </c>
      <c r="AI62" s="348">
        <f t="shared" si="65"/>
        <v>4.2721573227105007E-2</v>
      </c>
      <c r="AJ62" s="348">
        <f t="shared" si="66"/>
        <v>0.17451839999999999</v>
      </c>
      <c r="AK62" s="348">
        <f t="shared" si="67"/>
        <v>0.21876147506354987</v>
      </c>
      <c r="AL62" s="348">
        <f t="shared" si="68"/>
        <v>0.17451839999999999</v>
      </c>
      <c r="AM62" s="348">
        <f t="shared" si="69"/>
        <v>0.78800400000000004</v>
      </c>
      <c r="AN62" s="348">
        <f t="shared" si="70"/>
        <v>8.2850360287612668E-2</v>
      </c>
      <c r="AO62" s="348">
        <f t="shared" si="71"/>
        <v>2.6400000000000001E-5</v>
      </c>
      <c r="AP62" s="348">
        <f t="shared" si="72"/>
        <v>0.34650000000000003</v>
      </c>
      <c r="AQ62" s="348">
        <f t="shared" si="26"/>
        <v>0.61836923076923067</v>
      </c>
      <c r="AR62" s="348">
        <f t="shared" si="73"/>
        <v>0.48509999999999998</v>
      </c>
      <c r="AS62" s="348">
        <f t="shared" si="74"/>
        <v>0.34652640000000001</v>
      </c>
      <c r="AT62" s="348">
        <f t="shared" si="75"/>
        <v>3.1305191789938478</v>
      </c>
      <c r="AU62">
        <f t="shared" si="76"/>
        <v>21.200000000000003</v>
      </c>
      <c r="AV62" s="526">
        <f t="shared" si="47"/>
        <v>0.87133364660394785</v>
      </c>
      <c r="AW62" s="534">
        <f t="shared" si="77"/>
        <v>74.38807380486034</v>
      </c>
      <c r="AX62" s="534">
        <f t="shared" si="78"/>
        <v>19.487273759086481</v>
      </c>
      <c r="AY62" s="9"/>
      <c r="AZ62" s="4">
        <f t="shared" si="48"/>
        <v>87.13336466039479</v>
      </c>
      <c r="BA62" s="348">
        <f t="shared" si="79"/>
        <v>0.26437156068289341</v>
      </c>
      <c r="BB62" s="348">
        <f t="shared" si="80"/>
        <v>2.2578274494649864</v>
      </c>
      <c r="BC62" s="348">
        <f t="shared" si="81"/>
        <v>1.7711446144014367</v>
      </c>
      <c r="BD62" s="348">
        <f t="shared" si="82"/>
        <v>0.47880279506354989</v>
      </c>
      <c r="BE62" s="348">
        <f t="shared" si="83"/>
        <v>8.2850360287612668E-2</v>
      </c>
      <c r="BK62" s="18"/>
      <c r="BL62" s="19"/>
    </row>
    <row r="63" spans="1:64" x14ac:dyDescent="0.2">
      <c r="A63" s="23" t="s">
        <v>118</v>
      </c>
      <c r="B63" s="74">
        <v>2</v>
      </c>
      <c r="C63" s="428" t="s">
        <v>202</v>
      </c>
      <c r="D63" s="21" t="s">
        <v>103</v>
      </c>
      <c r="G63">
        <v>54</v>
      </c>
      <c r="H63" s="531">
        <f t="shared" si="49"/>
        <v>12</v>
      </c>
      <c r="I63" s="4">
        <f t="shared" si="50"/>
        <v>1</v>
      </c>
      <c r="J63" s="348">
        <f t="shared" si="84"/>
        <v>4.32</v>
      </c>
      <c r="K63" s="348">
        <f t="shared" si="51"/>
        <v>4.32</v>
      </c>
      <c r="L63" s="4">
        <f t="shared" si="52"/>
        <v>2</v>
      </c>
      <c r="M63" s="348">
        <f t="shared" si="53"/>
        <v>0.42155947932810844</v>
      </c>
      <c r="N63" s="4">
        <f t="shared" si="54"/>
        <v>0.63261660877942627</v>
      </c>
      <c r="O63" s="4">
        <f t="shared" si="39"/>
        <v>4.6363083043897131</v>
      </c>
      <c r="P63" s="4">
        <f t="shared" si="40"/>
        <v>4.0036916956102875</v>
      </c>
      <c r="Q63" s="4">
        <f t="shared" si="55"/>
        <v>0</v>
      </c>
      <c r="R63" s="4">
        <f t="shared" si="41"/>
        <v>4.3238582671585455</v>
      </c>
      <c r="S63" s="348">
        <f t="shared" si="56"/>
        <v>6.5435126100663557E-2</v>
      </c>
      <c r="T63" s="348">
        <f t="shared" si="57"/>
        <v>0.2</v>
      </c>
      <c r="U63" s="348">
        <f t="shared" si="58"/>
        <v>0.26683194063531607</v>
      </c>
      <c r="V63" s="4">
        <f t="shared" si="42"/>
        <v>0.18262068468631498</v>
      </c>
      <c r="W63" s="348">
        <f t="shared" si="10"/>
        <v>3.3350314475298481E-5</v>
      </c>
      <c r="X63" s="348">
        <f t="shared" si="43"/>
        <v>3.3350314475298481E-5</v>
      </c>
      <c r="Y63" s="4">
        <f t="shared" si="44"/>
        <v>2.135159059830567</v>
      </c>
      <c r="Z63" s="348">
        <f t="shared" si="11"/>
        <v>4.5589042107765506E-3</v>
      </c>
      <c r="AA63" s="525">
        <f t="shared" si="45"/>
        <v>4.5589042107765506E-3</v>
      </c>
      <c r="AB63" s="348">
        <f t="shared" si="46"/>
        <v>2.8073779168858843</v>
      </c>
      <c r="AC63" s="348">
        <f t="shared" si="59"/>
        <v>9.4576449218622335E-2</v>
      </c>
      <c r="AD63" s="348">
        <f t="shared" si="60"/>
        <v>0.4305976787564767</v>
      </c>
      <c r="AE63" s="348">
        <f t="shared" si="61"/>
        <v>0.71819999999999995</v>
      </c>
      <c r="AF63" s="348">
        <f t="shared" si="62"/>
        <v>0</v>
      </c>
      <c r="AG63" s="348">
        <f t="shared" si="63"/>
        <v>1.2634488692899897</v>
      </c>
      <c r="AH63" s="348">
        <f t="shared" si="64"/>
        <v>3.2885223955838847</v>
      </c>
      <c r="AI63" s="348">
        <f t="shared" si="65"/>
        <v>4.433895613965276E-2</v>
      </c>
      <c r="AJ63" s="348">
        <f t="shared" si="66"/>
        <v>0.1778112</v>
      </c>
      <c r="AK63" s="348">
        <f t="shared" si="67"/>
        <v>0.22376538014523831</v>
      </c>
      <c r="AL63" s="348">
        <f t="shared" si="68"/>
        <v>0.1778112</v>
      </c>
      <c r="AM63" s="348">
        <f t="shared" si="69"/>
        <v>0.80287200000000003</v>
      </c>
      <c r="AN63" s="348">
        <f t="shared" si="70"/>
        <v>8.6000451446586385E-2</v>
      </c>
      <c r="AO63" s="348">
        <f t="shared" si="71"/>
        <v>2.6400000000000001E-5</v>
      </c>
      <c r="AP63" s="348">
        <f t="shared" si="72"/>
        <v>0.34650000000000003</v>
      </c>
      <c r="AQ63" s="348">
        <f t="shared" si="26"/>
        <v>0.61836923076923067</v>
      </c>
      <c r="AR63" s="348">
        <f t="shared" si="73"/>
        <v>0.48509999999999998</v>
      </c>
      <c r="AS63" s="348">
        <f t="shared" si="74"/>
        <v>0.34652640000000001</v>
      </c>
      <c r="AT63" s="348">
        <f t="shared" si="75"/>
        <v>3.1718484960423821</v>
      </c>
      <c r="AU63">
        <f t="shared" si="76"/>
        <v>21.6</v>
      </c>
      <c r="AV63" s="526">
        <f t="shared" si="47"/>
        <v>0.87195753693757949</v>
      </c>
      <c r="AW63" s="534">
        <f t="shared" si="77"/>
        <v>75.320464350179577</v>
      </c>
      <c r="AX63" s="534">
        <f t="shared" si="78"/>
        <v>19.890624803911201</v>
      </c>
      <c r="AY63" s="9"/>
      <c r="AZ63" s="4">
        <f t="shared" si="48"/>
        <v>87.19575369375795</v>
      </c>
      <c r="BA63" s="348">
        <f t="shared" si="79"/>
        <v>0.26683194063531607</v>
      </c>
      <c r="BB63" s="348">
        <f t="shared" si="80"/>
        <v>2.2900862494352281</v>
      </c>
      <c r="BC63" s="348">
        <f t="shared" si="81"/>
        <v>1.7933443892899898</v>
      </c>
      <c r="BD63" s="348">
        <f t="shared" si="82"/>
        <v>0.48871314014523837</v>
      </c>
      <c r="BE63" s="348">
        <f t="shared" si="83"/>
        <v>8.6000451446586385E-2</v>
      </c>
      <c r="BK63" s="18"/>
      <c r="BL63" s="19"/>
    </row>
    <row r="64" spans="1:64" x14ac:dyDescent="0.2">
      <c r="A64" s="75"/>
      <c r="B64" s="30"/>
      <c r="G64">
        <v>55</v>
      </c>
      <c r="H64" s="531">
        <f t="shared" si="49"/>
        <v>12</v>
      </c>
      <c r="I64" s="4">
        <f t="shared" si="50"/>
        <v>1</v>
      </c>
      <c r="J64" s="348">
        <f t="shared" si="84"/>
        <v>4.4000000000000004</v>
      </c>
      <c r="K64" s="348">
        <f t="shared" si="51"/>
        <v>4.4000000000000004</v>
      </c>
      <c r="L64" s="4">
        <f t="shared" si="52"/>
        <v>2.0370370370370368</v>
      </c>
      <c r="M64" s="348">
        <f t="shared" si="53"/>
        <v>0.42165019673805298</v>
      </c>
      <c r="N64" s="4">
        <f t="shared" si="54"/>
        <v>0.63263957440450991</v>
      </c>
      <c r="O64" s="4">
        <f t="shared" si="39"/>
        <v>4.7163197872022558</v>
      </c>
      <c r="P64" s="4">
        <f t="shared" si="40"/>
        <v>4.083680212797745</v>
      </c>
      <c r="Q64" s="4">
        <f t="shared" si="55"/>
        <v>0</v>
      </c>
      <c r="R64" s="4">
        <f t="shared" si="41"/>
        <v>4.403788452676312</v>
      </c>
      <c r="S64" s="348">
        <f t="shared" si="56"/>
        <v>6.7876734575738298E-2</v>
      </c>
      <c r="T64" s="348">
        <f t="shared" si="57"/>
        <v>0.2</v>
      </c>
      <c r="U64" s="348">
        <f t="shared" si="58"/>
        <v>0.26933928426444526</v>
      </c>
      <c r="V64" s="4">
        <f t="shared" si="42"/>
        <v>0.18262731429122706</v>
      </c>
      <c r="W64" s="348">
        <f t="shared" si="10"/>
        <v>3.3352735925226623E-5</v>
      </c>
      <c r="X64" s="348">
        <f t="shared" si="43"/>
        <v>3.3352735925226623E-5</v>
      </c>
      <c r="Y64" s="4">
        <f t="shared" si="44"/>
        <v>2.1746927072726652</v>
      </c>
      <c r="Z64" s="348">
        <f t="shared" si="11"/>
        <v>4.7292883710649131E-3</v>
      </c>
      <c r="AA64" s="525">
        <f t="shared" si="45"/>
        <v>4.7292883710649131E-3</v>
      </c>
      <c r="AB64" s="348">
        <f t="shared" si="46"/>
        <v>2.8595823115471477</v>
      </c>
      <c r="AC64" s="348">
        <f t="shared" si="59"/>
        <v>9.8126531958159957E-2</v>
      </c>
      <c r="AD64" s="348">
        <f t="shared" si="60"/>
        <v>0.43857170984455968</v>
      </c>
      <c r="AE64" s="348">
        <f t="shared" si="61"/>
        <v>0.71819999999999995</v>
      </c>
      <c r="AF64" s="348">
        <f t="shared" si="62"/>
        <v>0</v>
      </c>
      <c r="AG64" s="348">
        <f t="shared" si="63"/>
        <v>1.2759323143908392</v>
      </c>
      <c r="AH64" s="348">
        <f t="shared" si="64"/>
        <v>3.3490508714278877</v>
      </c>
      <c r="AI64" s="348">
        <f t="shared" si="65"/>
        <v>4.5986181131588762E-2</v>
      </c>
      <c r="AJ64" s="348">
        <f t="shared" si="66"/>
        <v>0.18110399999999999</v>
      </c>
      <c r="AK64" s="348">
        <f t="shared" si="67"/>
        <v>0.22880312724984733</v>
      </c>
      <c r="AL64" s="348">
        <f t="shared" si="68"/>
        <v>0.18110399999999999</v>
      </c>
      <c r="AM64" s="348">
        <f t="shared" si="69"/>
        <v>0.81774000000000013</v>
      </c>
      <c r="AN64" s="348">
        <f t="shared" si="70"/>
        <v>8.9209422585256035E-2</v>
      </c>
      <c r="AO64" s="348">
        <f t="shared" si="71"/>
        <v>2.6400000000000001E-5</v>
      </c>
      <c r="AP64" s="348">
        <f t="shared" si="72"/>
        <v>0.34650000000000003</v>
      </c>
      <c r="AQ64" s="348">
        <f t="shared" si="26"/>
        <v>0.61836923076923067</v>
      </c>
      <c r="AR64" s="348">
        <f t="shared" si="73"/>
        <v>0.48509999999999998</v>
      </c>
      <c r="AS64" s="348">
        <f t="shared" si="74"/>
        <v>0.34652640000000001</v>
      </c>
      <c r="AT64" s="348">
        <f t="shared" si="75"/>
        <v>3.2134171895973784</v>
      </c>
      <c r="AU64">
        <f t="shared" si="76"/>
        <v>22</v>
      </c>
      <c r="AV64" s="526">
        <f t="shared" si="47"/>
        <v>0.87255130213277166</v>
      </c>
      <c r="AW64" s="534">
        <f t="shared" si="77"/>
        <v>76.256910004415246</v>
      </c>
      <c r="AX64" s="534">
        <f t="shared" si="78"/>
        <v>20.29535321906879</v>
      </c>
      <c r="AY64" s="9"/>
      <c r="AZ64" s="4">
        <f t="shared" si="48"/>
        <v>87.25513021327717</v>
      </c>
      <c r="BA64" s="348">
        <f t="shared" si="79"/>
        <v>0.26933928426444526</v>
      </c>
      <c r="BB64" s="348">
        <f t="shared" si="80"/>
        <v>2.3224754416406865</v>
      </c>
      <c r="BC64" s="348">
        <f t="shared" si="81"/>
        <v>1.8156407143908393</v>
      </c>
      <c r="BD64" s="348">
        <f t="shared" si="82"/>
        <v>0.49865732724984735</v>
      </c>
      <c r="BE64" s="348">
        <f t="shared" si="83"/>
        <v>8.9209422585256035E-2</v>
      </c>
      <c r="BK64" s="18"/>
      <c r="BL64" s="19"/>
    </row>
    <row r="65" spans="1:64" x14ac:dyDescent="0.2">
      <c r="G65">
        <v>56</v>
      </c>
      <c r="H65" s="531">
        <f t="shared" si="49"/>
        <v>12</v>
      </c>
      <c r="I65" s="4">
        <f t="shared" si="50"/>
        <v>1</v>
      </c>
      <c r="J65" s="348">
        <f t="shared" si="84"/>
        <v>4.4800000000000004</v>
      </c>
      <c r="K65" s="348">
        <f t="shared" si="51"/>
        <v>4.4800000000000004</v>
      </c>
      <c r="L65" s="4">
        <f t="shared" si="52"/>
        <v>2.074074074074074</v>
      </c>
      <c r="M65" s="348">
        <f t="shared" si="53"/>
        <v>0.42174091814448733</v>
      </c>
      <c r="N65" s="4">
        <f t="shared" si="54"/>
        <v>0.63266249732802116</v>
      </c>
      <c r="O65" s="4">
        <f t="shared" si="39"/>
        <v>4.7963312486640106</v>
      </c>
      <c r="P65" s="4">
        <f t="shared" si="40"/>
        <v>4.1636687513359902</v>
      </c>
      <c r="Q65" s="4">
        <f t="shared" si="55"/>
        <v>0</v>
      </c>
      <c r="R65" s="4">
        <f t="shared" si="41"/>
        <v>4.4837211279204734</v>
      </c>
      <c r="S65" s="348">
        <f t="shared" si="56"/>
        <v>7.036314303536155E-2</v>
      </c>
      <c r="T65" s="348">
        <f t="shared" si="57"/>
        <v>0.2</v>
      </c>
      <c r="U65" s="348">
        <f t="shared" si="58"/>
        <v>0.27189364635768731</v>
      </c>
      <c r="V65" s="4">
        <f t="shared" si="42"/>
        <v>0.18263393156925697</v>
      </c>
      <c r="W65" s="348">
        <f t="shared" si="10"/>
        <v>3.3355152960444036E-5</v>
      </c>
      <c r="X65" s="348">
        <f t="shared" si="43"/>
        <v>3.3355152960444036E-5</v>
      </c>
      <c r="Y65" s="4">
        <f t="shared" si="44"/>
        <v>2.2142298127384259</v>
      </c>
      <c r="Z65" s="348">
        <f t="shared" si="11"/>
        <v>4.9028136636196451E-3</v>
      </c>
      <c r="AA65" s="525">
        <f t="shared" si="45"/>
        <v>4.9028136636196451E-3</v>
      </c>
      <c r="AB65" s="348">
        <f t="shared" si="46"/>
        <v>2.9117994704926895</v>
      </c>
      <c r="AC65" s="348">
        <f t="shared" si="59"/>
        <v>0.10174291387633809</v>
      </c>
      <c r="AD65" s="348">
        <f t="shared" si="60"/>
        <v>0.44654574093264254</v>
      </c>
      <c r="AE65" s="348">
        <f t="shared" si="61"/>
        <v>0.71819999999999995</v>
      </c>
      <c r="AF65" s="348">
        <f t="shared" si="62"/>
        <v>0</v>
      </c>
      <c r="AG65" s="348">
        <f t="shared" si="63"/>
        <v>1.2885129614373436</v>
      </c>
      <c r="AH65" s="348">
        <f t="shared" si="64"/>
        <v>3.4095716734802535</v>
      </c>
      <c r="AI65" s="348">
        <f t="shared" si="65"/>
        <v>4.7663233886055638E-2</v>
      </c>
      <c r="AJ65" s="348">
        <f t="shared" si="66"/>
        <v>0.1843968</v>
      </c>
      <c r="AK65" s="348">
        <f t="shared" si="67"/>
        <v>0.23387480283688022</v>
      </c>
      <c r="AL65" s="348">
        <f t="shared" si="68"/>
        <v>0.1843968</v>
      </c>
      <c r="AM65" s="348">
        <f t="shared" si="69"/>
        <v>0.83260800000000001</v>
      </c>
      <c r="AN65" s="348">
        <f t="shared" si="70"/>
        <v>9.2477273703618038E-2</v>
      </c>
      <c r="AO65" s="348">
        <f t="shared" si="71"/>
        <v>2.6400000000000001E-5</v>
      </c>
      <c r="AP65" s="348">
        <f t="shared" si="72"/>
        <v>0.34650000000000003</v>
      </c>
      <c r="AQ65" s="348">
        <f t="shared" si="26"/>
        <v>0.61836923076923067</v>
      </c>
      <c r="AR65" s="348">
        <f t="shared" si="73"/>
        <v>0.48509999999999998</v>
      </c>
      <c r="AS65" s="348">
        <f t="shared" si="74"/>
        <v>0.34652640000000001</v>
      </c>
      <c r="AT65" s="348">
        <f t="shared" si="75"/>
        <v>3.2552260531521093</v>
      </c>
      <c r="AU65">
        <f t="shared" si="76"/>
        <v>22.400000000000002</v>
      </c>
      <c r="AV65" s="526">
        <f t="shared" si="47"/>
        <v>0.87311645407419203</v>
      </c>
      <c r="AW65" s="534">
        <f t="shared" si="77"/>
        <v>77.197438140368433</v>
      </c>
      <c r="AX65" s="534">
        <f t="shared" si="78"/>
        <v>20.701462523461025</v>
      </c>
      <c r="AY65" s="9"/>
      <c r="AZ65" s="4">
        <f t="shared" si="48"/>
        <v>87.311645407419206</v>
      </c>
      <c r="BA65" s="348">
        <f t="shared" si="79"/>
        <v>0.27189364635768731</v>
      </c>
      <c r="BB65" s="348">
        <f t="shared" si="80"/>
        <v>2.3549957642742241</v>
      </c>
      <c r="BC65" s="348">
        <f t="shared" si="81"/>
        <v>1.8380342414373436</v>
      </c>
      <c r="BD65" s="348">
        <f t="shared" si="82"/>
        <v>0.50863544283688022</v>
      </c>
      <c r="BE65" s="348">
        <f t="shared" si="83"/>
        <v>9.2477273703618038E-2</v>
      </c>
      <c r="BK65" s="18"/>
      <c r="BL65" s="19"/>
    </row>
    <row r="66" spans="1:64" x14ac:dyDescent="0.2">
      <c r="A66" s="11" t="s">
        <v>77</v>
      </c>
      <c r="B66" s="31"/>
      <c r="C66" s="31"/>
      <c r="G66">
        <v>57</v>
      </c>
      <c r="H66" s="531">
        <f t="shared" si="49"/>
        <v>12</v>
      </c>
      <c r="I66" s="4">
        <f t="shared" si="50"/>
        <v>1</v>
      </c>
      <c r="J66" s="348">
        <f t="shared" si="84"/>
        <v>4.5599999999999996</v>
      </c>
      <c r="K66" s="348">
        <f t="shared" si="51"/>
        <v>4.5599999999999996</v>
      </c>
      <c r="L66" s="4">
        <f t="shared" si="52"/>
        <v>2.1111111111111107</v>
      </c>
      <c r="M66" s="348">
        <f t="shared" si="53"/>
        <v>0.42183164354767549</v>
      </c>
      <c r="N66" s="4">
        <f t="shared" si="54"/>
        <v>0.63268537754713827</v>
      </c>
      <c r="O66" s="4">
        <f t="shared" si="39"/>
        <v>4.876342688773569</v>
      </c>
      <c r="P66" s="4">
        <f t="shared" si="40"/>
        <v>4.2436573112264302</v>
      </c>
      <c r="Q66" s="4">
        <f t="shared" si="55"/>
        <v>0</v>
      </c>
      <c r="R66" s="4">
        <f t="shared" si="41"/>
        <v>4.5636561620678835</v>
      </c>
      <c r="S66" s="348">
        <f t="shared" si="56"/>
        <v>7.2894351479530564E-2</v>
      </c>
      <c r="T66" s="348">
        <f t="shared" si="57"/>
        <v>0.2</v>
      </c>
      <c r="U66" s="348">
        <f t="shared" si="58"/>
        <v>0.2744950827629164</v>
      </c>
      <c r="V66" s="4">
        <f t="shared" si="42"/>
        <v>0.18264053651959017</v>
      </c>
      <c r="W66" s="348">
        <f t="shared" si="10"/>
        <v>3.335756558016375E-5</v>
      </c>
      <c r="X66" s="348">
        <f t="shared" si="43"/>
        <v>3.335756558016375E-5</v>
      </c>
      <c r="Y66" s="4">
        <f t="shared" si="44"/>
        <v>2.2537703077797335</v>
      </c>
      <c r="Z66" s="348">
        <f t="shared" si="11"/>
        <v>5.0794806002295552E-3</v>
      </c>
      <c r="AA66" s="525">
        <f t="shared" si="45"/>
        <v>5.0794806002295552E-3</v>
      </c>
      <c r="AB66" s="348">
        <f t="shared" si="46"/>
        <v>2.9640293082198723</v>
      </c>
      <c r="AC66" s="348">
        <f t="shared" si="59"/>
        <v>0.1054256368798365</v>
      </c>
      <c r="AD66" s="348">
        <f t="shared" si="60"/>
        <v>0.45451977202072541</v>
      </c>
      <c r="AE66" s="348">
        <f t="shared" si="61"/>
        <v>0.71819999999999995</v>
      </c>
      <c r="AF66" s="348">
        <f t="shared" si="62"/>
        <v>0</v>
      </c>
      <c r="AG66" s="348">
        <f t="shared" si="63"/>
        <v>1.3011914707374193</v>
      </c>
      <c r="AH66" s="348">
        <f t="shared" si="64"/>
        <v>3.4700847000604744</v>
      </c>
      <c r="AI66" s="348">
        <f t="shared" si="65"/>
        <v>4.9370100084934546E-2</v>
      </c>
      <c r="AJ66" s="348">
        <f t="shared" si="66"/>
        <v>0.18768959999999996</v>
      </c>
      <c r="AK66" s="348">
        <f t="shared" si="67"/>
        <v>0.23898049440789321</v>
      </c>
      <c r="AL66" s="348">
        <f t="shared" si="68"/>
        <v>0.18768959999999996</v>
      </c>
      <c r="AM66" s="348">
        <f t="shared" si="69"/>
        <v>0.8474759999999999</v>
      </c>
      <c r="AN66" s="348">
        <f t="shared" si="70"/>
        <v>9.5804004801668743E-2</v>
      </c>
      <c r="AO66" s="348">
        <f t="shared" si="71"/>
        <v>2.6400000000000001E-5</v>
      </c>
      <c r="AP66" s="348">
        <f t="shared" si="72"/>
        <v>0.34650000000000003</v>
      </c>
      <c r="AQ66" s="348">
        <f t="shared" si="26"/>
        <v>0.61836923076923067</v>
      </c>
      <c r="AR66" s="348">
        <f t="shared" si="73"/>
        <v>0.48509999999999998</v>
      </c>
      <c r="AS66" s="348">
        <f t="shared" si="74"/>
        <v>0.34652640000000001</v>
      </c>
      <c r="AT66" s="348">
        <f t="shared" si="75"/>
        <v>3.2972758908757074</v>
      </c>
      <c r="AU66">
        <f t="shared" si="76"/>
        <v>22.799999999999997</v>
      </c>
      <c r="AV66" s="526">
        <f t="shared" si="47"/>
        <v>0.87365440344566692</v>
      </c>
      <c r="AW66" s="534">
        <f t="shared" si="77"/>
        <v>78.142076490971604</v>
      </c>
      <c r="AX66" s="534">
        <f t="shared" si="78"/>
        <v>21.108956278401251</v>
      </c>
      <c r="AY66" s="9"/>
      <c r="AZ66" s="4">
        <f t="shared" si="48"/>
        <v>87.365440344566693</v>
      </c>
      <c r="BA66" s="348">
        <f t="shared" si="79"/>
        <v>0.2744950827629164</v>
      </c>
      <c r="BB66" s="348">
        <f t="shared" si="80"/>
        <v>2.3876479651453124</v>
      </c>
      <c r="BC66" s="348">
        <f t="shared" si="81"/>
        <v>1.8605256307374192</v>
      </c>
      <c r="BD66" s="348">
        <f t="shared" si="82"/>
        <v>0.51864757440789311</v>
      </c>
      <c r="BE66" s="348">
        <f t="shared" si="83"/>
        <v>9.5804004801668743E-2</v>
      </c>
      <c r="BK66" s="18"/>
      <c r="BL66" s="19"/>
    </row>
    <row r="67" spans="1:64" x14ac:dyDescent="0.2">
      <c r="A67" s="14" t="s">
        <v>55</v>
      </c>
      <c r="B67" s="15" t="s">
        <v>7</v>
      </c>
      <c r="C67" s="15" t="s">
        <v>76</v>
      </c>
      <c r="G67">
        <v>58</v>
      </c>
      <c r="H67" s="531">
        <f t="shared" si="49"/>
        <v>12</v>
      </c>
      <c r="I67" s="4">
        <f t="shared" si="50"/>
        <v>1</v>
      </c>
      <c r="J67" s="348">
        <f t="shared" si="84"/>
        <v>4.6399999999999997</v>
      </c>
      <c r="K67" s="348">
        <f t="shared" si="51"/>
        <v>4.6399999999999997</v>
      </c>
      <c r="L67" s="4">
        <f t="shared" si="52"/>
        <v>2.1481481481481479</v>
      </c>
      <c r="M67" s="348">
        <f t="shared" si="53"/>
        <v>0.42192237294788149</v>
      </c>
      <c r="N67" s="4">
        <f t="shared" si="54"/>
        <v>0.63270821505903863</v>
      </c>
      <c r="O67" s="4">
        <f t="shared" si="39"/>
        <v>4.9563541075295188</v>
      </c>
      <c r="P67" s="4">
        <f t="shared" si="40"/>
        <v>4.3236458924704806</v>
      </c>
      <c r="Q67" s="4">
        <f t="shared" si="55"/>
        <v>0</v>
      </c>
      <c r="R67" s="4">
        <f t="shared" si="41"/>
        <v>4.6435934332996469</v>
      </c>
      <c r="S67" s="348">
        <f t="shared" si="56"/>
        <v>7.5470359908242607E-2</v>
      </c>
      <c r="T67" s="348">
        <f t="shared" si="57"/>
        <v>0.2</v>
      </c>
      <c r="U67" s="348">
        <f t="shared" si="58"/>
        <v>0.27714365039154942</v>
      </c>
      <c r="V67" s="4">
        <f t="shared" si="42"/>
        <v>0.18264712914141179</v>
      </c>
      <c r="W67" s="348">
        <f t="shared" si="10"/>
        <v>3.3359973783599556E-5</v>
      </c>
      <c r="X67" s="348">
        <f t="shared" si="43"/>
        <v>3.3359973783599556E-5</v>
      </c>
      <c r="Y67" s="4">
        <f t="shared" si="44"/>
        <v>2.2933141283873693</v>
      </c>
      <c r="Z67" s="348">
        <f t="shared" si="11"/>
        <v>5.2592896914611196E-3</v>
      </c>
      <c r="AA67" s="525">
        <f t="shared" si="45"/>
        <v>5.2592896914611196E-3</v>
      </c>
      <c r="AB67" s="348">
        <f t="shared" si="46"/>
        <v>3.0162717450387269</v>
      </c>
      <c r="AC67" s="348">
        <f t="shared" si="59"/>
        <v>0.10917474287902759</v>
      </c>
      <c r="AD67" s="348">
        <f t="shared" si="60"/>
        <v>0.46249380310880822</v>
      </c>
      <c r="AE67" s="348">
        <f t="shared" si="61"/>
        <v>0.71819999999999995</v>
      </c>
      <c r="AF67" s="348">
        <f t="shared" si="62"/>
        <v>0</v>
      </c>
      <c r="AG67" s="348">
        <f t="shared" si="63"/>
        <v>1.3139685112820556</v>
      </c>
      <c r="AH67" s="348">
        <f t="shared" si="64"/>
        <v>3.5305898563646041</v>
      </c>
      <c r="AI67" s="348">
        <f t="shared" si="65"/>
        <v>5.1106765408845005E-2</v>
      </c>
      <c r="AJ67" s="348">
        <f t="shared" si="66"/>
        <v>0.19098239999999997</v>
      </c>
      <c r="AK67" s="348">
        <f t="shared" si="67"/>
        <v>0.24412029051141027</v>
      </c>
      <c r="AL67" s="348">
        <f t="shared" si="68"/>
        <v>0.19098239999999997</v>
      </c>
      <c r="AM67" s="348">
        <f t="shared" si="69"/>
        <v>0.862344</v>
      </c>
      <c r="AN67" s="348">
        <f t="shared" si="70"/>
        <v>9.9189615879404572E-2</v>
      </c>
      <c r="AO67" s="348">
        <f t="shared" si="71"/>
        <v>2.6400000000000001E-5</v>
      </c>
      <c r="AP67" s="348">
        <f t="shared" si="72"/>
        <v>0.34650000000000003</v>
      </c>
      <c r="AQ67" s="348">
        <f t="shared" si="26"/>
        <v>0.61836923076923067</v>
      </c>
      <c r="AR67" s="348">
        <f t="shared" si="73"/>
        <v>0.48509999999999998</v>
      </c>
      <c r="AS67" s="348">
        <f t="shared" si="74"/>
        <v>0.34652640000000001</v>
      </c>
      <c r="AT67" s="348">
        <f t="shared" si="75"/>
        <v>3.3395675177296646</v>
      </c>
      <c r="AU67">
        <f t="shared" si="76"/>
        <v>23.2</v>
      </c>
      <c r="AV67" s="526">
        <f t="shared" si="47"/>
        <v>0.87416646802934228</v>
      </c>
      <c r="AW67" s="534">
        <f t="shared" si="77"/>
        <v>79.090853153846339</v>
      </c>
      <c r="AX67" s="534">
        <f t="shared" si="78"/>
        <v>21.5178380878144</v>
      </c>
      <c r="AY67" s="9"/>
      <c r="AZ67" s="4">
        <f t="shared" si="48"/>
        <v>87.416646802934224</v>
      </c>
      <c r="BA67" s="348">
        <f t="shared" si="79"/>
        <v>0.27714365039154942</v>
      </c>
      <c r="BB67" s="348">
        <f t="shared" si="80"/>
        <v>2.4204328017934662</v>
      </c>
      <c r="BC67" s="348">
        <f t="shared" si="81"/>
        <v>1.8831155512820557</v>
      </c>
      <c r="BD67" s="348">
        <f t="shared" si="82"/>
        <v>0.52869381051141029</v>
      </c>
      <c r="BE67" s="348">
        <f t="shared" si="83"/>
        <v>9.9189615879404572E-2</v>
      </c>
      <c r="BK67" s="18"/>
      <c r="BL67" s="19"/>
    </row>
    <row r="68" spans="1:64" x14ac:dyDescent="0.2">
      <c r="A68" s="32" t="s">
        <v>205</v>
      </c>
      <c r="B68" s="436">
        <f>D1_Vinmin</f>
        <v>0.5</v>
      </c>
      <c r="C68" s="21" t="s">
        <v>18</v>
      </c>
      <c r="G68">
        <v>59</v>
      </c>
      <c r="H68" s="531">
        <f t="shared" si="49"/>
        <v>12</v>
      </c>
      <c r="I68" s="4">
        <f t="shared" si="50"/>
        <v>1</v>
      </c>
      <c r="J68" s="348">
        <f t="shared" si="84"/>
        <v>4.72</v>
      </c>
      <c r="K68" s="348">
        <f t="shared" si="51"/>
        <v>4.72</v>
      </c>
      <c r="L68" s="4">
        <f t="shared" si="52"/>
        <v>2.1851851851851847</v>
      </c>
      <c r="M68" s="348">
        <f t="shared" si="53"/>
        <v>0.42201310634536965</v>
      </c>
      <c r="N68" s="4">
        <f t="shared" si="54"/>
        <v>0.63273100986090047</v>
      </c>
      <c r="O68" s="4">
        <f t="shared" si="39"/>
        <v>5.0363655049304503</v>
      </c>
      <c r="P68" s="4">
        <f t="shared" si="40"/>
        <v>4.4036344950695492</v>
      </c>
      <c r="Q68" s="4">
        <f t="shared" si="55"/>
        <v>0</v>
      </c>
      <c r="R68" s="4">
        <f t="shared" si="41"/>
        <v>4.723532828039831</v>
      </c>
      <c r="S68" s="348">
        <f t="shared" si="56"/>
        <v>7.8091168321494875E-2</v>
      </c>
      <c r="T68" s="348">
        <f t="shared" si="57"/>
        <v>0.2</v>
      </c>
      <c r="U68" s="348">
        <f t="shared" si="58"/>
        <v>0.27983940722168177</v>
      </c>
      <c r="V68" s="4">
        <f t="shared" si="42"/>
        <v>0.18265370943390732</v>
      </c>
      <c r="W68" s="348">
        <f t="shared" si="10"/>
        <v>3.3362377569966249E-5</v>
      </c>
      <c r="X68" s="348">
        <f t="shared" si="43"/>
        <v>3.3362377569966249E-5</v>
      </c>
      <c r="Y68" s="4">
        <f t="shared" si="44"/>
        <v>2.3328612146156988</v>
      </c>
      <c r="Z68" s="348">
        <f t="shared" si="11"/>
        <v>5.4422414466582343E-3</v>
      </c>
      <c r="AA68" s="525">
        <f t="shared" si="45"/>
        <v>5.4422414466582343E-3</v>
      </c>
      <c r="AB68" s="348">
        <f t="shared" si="46"/>
        <v>3.0685267065805459</v>
      </c>
      <c r="AC68" s="348">
        <f t="shared" si="59"/>
        <v>0.11299027378797662</v>
      </c>
      <c r="AD68" s="348">
        <f t="shared" si="60"/>
        <v>0.4704678341968912</v>
      </c>
      <c r="AE68" s="348">
        <f t="shared" si="61"/>
        <v>0.71819999999999995</v>
      </c>
      <c r="AF68" s="348">
        <f t="shared" si="62"/>
        <v>0</v>
      </c>
      <c r="AG68" s="348">
        <f t="shared" si="63"/>
        <v>1.3268447608558123</v>
      </c>
      <c r="AH68" s="348">
        <f t="shared" si="64"/>
        <v>3.5910870538838116</v>
      </c>
      <c r="AI68" s="348">
        <f t="shared" si="65"/>
        <v>5.2873215537144837E-2</v>
      </c>
      <c r="AJ68" s="348">
        <f t="shared" si="66"/>
        <v>0.19427519999999995</v>
      </c>
      <c r="AK68" s="348">
        <f t="shared" si="67"/>
        <v>0.24929428074791757</v>
      </c>
      <c r="AL68" s="348">
        <f t="shared" si="68"/>
        <v>0.19427519999999995</v>
      </c>
      <c r="AM68" s="348">
        <f t="shared" si="69"/>
        <v>0.87721199999999999</v>
      </c>
      <c r="AN68" s="348">
        <f t="shared" si="70"/>
        <v>0.10263410693682183</v>
      </c>
      <c r="AO68" s="348">
        <f t="shared" si="71"/>
        <v>2.6400000000000001E-5</v>
      </c>
      <c r="AP68" s="348">
        <f t="shared" si="72"/>
        <v>0.34650000000000003</v>
      </c>
      <c r="AQ68" s="348">
        <f t="shared" si="26"/>
        <v>0.61836923076923067</v>
      </c>
      <c r="AR68" s="348">
        <f t="shared" si="73"/>
        <v>0.48509999999999998</v>
      </c>
      <c r="AS68" s="348">
        <f t="shared" si="74"/>
        <v>0.34652640000000001</v>
      </c>
      <c r="AT68" s="348">
        <f t="shared" si="75"/>
        <v>3.3821017595864618</v>
      </c>
      <c r="AU68">
        <f t="shared" si="76"/>
        <v>23.599999999999998</v>
      </c>
      <c r="AV68" s="526">
        <f t="shared" si="47"/>
        <v>0.87465388020098045</v>
      </c>
      <c r="AW68" s="534">
        <f t="shared" si="77"/>
        <v>80.043796595944116</v>
      </c>
      <c r="AX68" s="534">
        <f t="shared" si="78"/>
        <v>21.928111598440246</v>
      </c>
      <c r="AY68" s="9"/>
      <c r="AZ68" s="4">
        <f t="shared" si="48"/>
        <v>87.465388020098047</v>
      </c>
      <c r="BA68" s="348">
        <f t="shared" si="79"/>
        <v>0.27983940722168177</v>
      </c>
      <c r="BB68" s="348">
        <f t="shared" si="80"/>
        <v>2.4533510416037299</v>
      </c>
      <c r="BC68" s="348">
        <f t="shared" si="81"/>
        <v>1.9058046808558124</v>
      </c>
      <c r="BD68" s="348">
        <f t="shared" si="82"/>
        <v>0.53877424074791758</v>
      </c>
      <c r="BE68" s="348">
        <f t="shared" si="83"/>
        <v>0.10263410693682183</v>
      </c>
      <c r="BK68" s="18"/>
      <c r="BL68" s="19"/>
    </row>
    <row r="69" spans="1:64" x14ac:dyDescent="0.2">
      <c r="A69" s="23" t="s">
        <v>78</v>
      </c>
      <c r="B69" s="436">
        <f>1-B68</f>
        <v>0.5</v>
      </c>
      <c r="C69" s="21" t="s">
        <v>18</v>
      </c>
      <c r="G69">
        <v>60</v>
      </c>
      <c r="H69" s="531">
        <f t="shared" si="49"/>
        <v>12</v>
      </c>
      <c r="I69" s="4">
        <f t="shared" si="50"/>
        <v>1</v>
      </c>
      <c r="J69" s="348">
        <f t="shared" si="84"/>
        <v>4.8</v>
      </c>
      <c r="K69" s="348">
        <f t="shared" si="51"/>
        <v>4.8</v>
      </c>
      <c r="L69" s="4">
        <f t="shared" si="52"/>
        <v>2.2222222222222219</v>
      </c>
      <c r="M69" s="348">
        <f t="shared" si="53"/>
        <v>0.42210384374040399</v>
      </c>
      <c r="N69" s="4">
        <f t="shared" si="54"/>
        <v>0.63275376194990074</v>
      </c>
      <c r="O69" s="4">
        <f t="shared" si="39"/>
        <v>5.1163768809749506</v>
      </c>
      <c r="P69" s="4">
        <f t="shared" si="40"/>
        <v>4.4836231190250491</v>
      </c>
      <c r="Q69" s="4">
        <f t="shared" si="55"/>
        <v>0</v>
      </c>
      <c r="R69" s="4">
        <f t="shared" si="41"/>
        <v>4.8034742402701065</v>
      </c>
      <c r="S69" s="348">
        <f t="shared" si="56"/>
        <v>8.0756776719284662E-2</v>
      </c>
      <c r="T69" s="348">
        <f t="shared" si="57"/>
        <v>0.2</v>
      </c>
      <c r="U69" s="348">
        <f t="shared" si="58"/>
        <v>0.28258241230128561</v>
      </c>
      <c r="V69" s="4">
        <f t="shared" si="42"/>
        <v>0.18266027739626178</v>
      </c>
      <c r="W69" s="348">
        <f t="shared" si="10"/>
        <v>3.3364776938479299E-5</v>
      </c>
      <c r="X69" s="348">
        <f t="shared" si="43"/>
        <v>3.3364776938479299E-5</v>
      </c>
      <c r="Y69" s="4">
        <f t="shared" si="44"/>
        <v>2.3724115102447789</v>
      </c>
      <c r="Z69" s="348">
        <f t="shared" si="11"/>
        <v>5.6283363739419133E-3</v>
      </c>
      <c r="AA69" s="525">
        <f t="shared" si="45"/>
        <v>5.6283363739419133E-3</v>
      </c>
      <c r="AB69" s="348">
        <f t="shared" si="46"/>
        <v>3.1207941233554934</v>
      </c>
      <c r="AC69" s="348">
        <f t="shared" si="59"/>
        <v>0.1168722715244422</v>
      </c>
      <c r="AD69" s="348">
        <f t="shared" si="60"/>
        <v>0.47844186528497407</v>
      </c>
      <c r="AE69" s="348">
        <f t="shared" si="61"/>
        <v>0.71819999999999995</v>
      </c>
      <c r="AF69" s="348">
        <f t="shared" si="62"/>
        <v>0</v>
      </c>
      <c r="AG69" s="348">
        <f t="shared" si="63"/>
        <v>1.3398209061493345</v>
      </c>
      <c r="AH69" s="348">
        <f t="shared" si="64"/>
        <v>3.6515762098809188</v>
      </c>
      <c r="AI69" s="348">
        <f t="shared" si="65"/>
        <v>5.466943614793001E-2</v>
      </c>
      <c r="AJ69" s="348">
        <f t="shared" si="66"/>
        <v>0.19756799999999997</v>
      </c>
      <c r="AK69" s="348">
        <f t="shared" si="67"/>
        <v>0.25450255577494046</v>
      </c>
      <c r="AL69" s="348">
        <f t="shared" si="68"/>
        <v>0.19756799999999997</v>
      </c>
      <c r="AM69" s="348">
        <f t="shared" si="69"/>
        <v>0.89207999999999998</v>
      </c>
      <c r="AN69" s="348">
        <f t="shared" si="70"/>
        <v>0.10613747797391698</v>
      </c>
      <c r="AO69" s="348">
        <f t="shared" si="71"/>
        <v>2.6400000000000001E-5</v>
      </c>
      <c r="AP69" s="348">
        <f t="shared" si="72"/>
        <v>0.34650000000000003</v>
      </c>
      <c r="AQ69" s="348">
        <f t="shared" si="26"/>
        <v>0.61836923076923067</v>
      </c>
      <c r="AR69" s="348">
        <f t="shared" si="73"/>
        <v>0.48509999999999998</v>
      </c>
      <c r="AS69" s="348">
        <f t="shared" si="74"/>
        <v>0.34652640000000001</v>
      </c>
      <c r="AT69" s="348">
        <f t="shared" si="75"/>
        <v>3.4248794533503579</v>
      </c>
      <c r="AU69">
        <f t="shared" si="76"/>
        <v>24</v>
      </c>
      <c r="AV69" s="526">
        <f t="shared" si="47"/>
        <v>0.87511779371077758</v>
      </c>
      <c r="AW69" s="534">
        <f t="shared" si="77"/>
        <v>81.000935658272041</v>
      </c>
      <c r="AX69" s="534">
        <f t="shared" si="78"/>
        <v>22.339780500040078</v>
      </c>
      <c r="AY69" s="9"/>
      <c r="AZ69" s="4">
        <f t="shared" si="48"/>
        <v>87.511779371077765</v>
      </c>
      <c r="BA69" s="348">
        <f t="shared" si="79"/>
        <v>0.28258241230128561</v>
      </c>
      <c r="BB69" s="348">
        <f t="shared" si="80"/>
        <v>2.486403461924275</v>
      </c>
      <c r="BC69" s="348">
        <f t="shared" si="81"/>
        <v>1.9285937061493343</v>
      </c>
      <c r="BD69" s="348">
        <f t="shared" si="82"/>
        <v>0.54888895577494046</v>
      </c>
      <c r="BE69" s="348">
        <f t="shared" si="83"/>
        <v>0.10613747797391698</v>
      </c>
      <c r="BK69" s="18"/>
      <c r="BL69" s="19"/>
    </row>
    <row r="70" spans="1:64" x14ac:dyDescent="0.2">
      <c r="A70" s="33" t="s">
        <v>206</v>
      </c>
      <c r="B70" s="436">
        <f>Iripple_Vinnom</f>
        <v>0.63753982735771919</v>
      </c>
      <c r="C70" s="21" t="s">
        <v>1</v>
      </c>
      <c r="G70">
        <v>61</v>
      </c>
      <c r="H70" s="531">
        <f t="shared" si="49"/>
        <v>12</v>
      </c>
      <c r="I70" s="4">
        <f t="shared" si="50"/>
        <v>1</v>
      </c>
      <c r="J70" s="348">
        <f t="shared" si="84"/>
        <v>4.88</v>
      </c>
      <c r="K70" s="348">
        <f t="shared" si="51"/>
        <v>4.88</v>
      </c>
      <c r="L70" s="4">
        <f t="shared" si="52"/>
        <v>2.2592592592592591</v>
      </c>
      <c r="M70" s="348">
        <f t="shared" si="53"/>
        <v>0.42219458513324881</v>
      </c>
      <c r="N70" s="4">
        <f t="shared" si="54"/>
        <v>0.63277647132321702</v>
      </c>
      <c r="O70" s="4">
        <f t="shared" si="39"/>
        <v>5.1963882356616082</v>
      </c>
      <c r="P70" s="4">
        <f t="shared" si="40"/>
        <v>4.5636117643383916</v>
      </c>
      <c r="Q70" s="4">
        <f t="shared" si="55"/>
        <v>0</v>
      </c>
      <c r="R70" s="4">
        <f t="shared" si="41"/>
        <v>4.8834175709116208</v>
      </c>
      <c r="S70" s="348">
        <f t="shared" si="56"/>
        <v>8.3467185101609234E-2</v>
      </c>
      <c r="T70" s="348">
        <f t="shared" si="57"/>
        <v>0.2</v>
      </c>
      <c r="U70" s="348">
        <f t="shared" si="58"/>
        <v>0.2853727257514691</v>
      </c>
      <c r="V70" s="4">
        <f t="shared" si="42"/>
        <v>0.18266683302766043</v>
      </c>
      <c r="W70" s="348">
        <f t="shared" si="10"/>
        <v>3.3367171888355174E-5</v>
      </c>
      <c r="X70" s="348">
        <f t="shared" si="43"/>
        <v>3.3367171888355174E-5</v>
      </c>
      <c r="Y70" s="4">
        <f t="shared" si="44"/>
        <v>2.4119649624756225</v>
      </c>
      <c r="Z70" s="348">
        <f t="shared" si="11"/>
        <v>5.817574980210031E-3</v>
      </c>
      <c r="AA70" s="525">
        <f t="shared" si="45"/>
        <v>5.817574980210031E-3</v>
      </c>
      <c r="AB70" s="348">
        <f t="shared" si="46"/>
        <v>3.1730739303536115</v>
      </c>
      <c r="AC70" s="348">
        <f t="shared" si="59"/>
        <v>0.1208207780098766</v>
      </c>
      <c r="AD70" s="348">
        <f t="shared" si="60"/>
        <v>0.48641589637305699</v>
      </c>
      <c r="AE70" s="348">
        <f t="shared" si="61"/>
        <v>0.71819999999999995</v>
      </c>
      <c r="AF70" s="348">
        <f t="shared" si="62"/>
        <v>0</v>
      </c>
      <c r="AG70" s="348">
        <f t="shared" si="63"/>
        <v>1.3528976428739325</v>
      </c>
      <c r="AH70" s="348">
        <f t="shared" si="64"/>
        <v>3.7120572469182962</v>
      </c>
      <c r="AI70" s="348">
        <f t="shared" si="65"/>
        <v>5.6495412918034421E-2</v>
      </c>
      <c r="AJ70" s="348">
        <f t="shared" si="66"/>
        <v>0.20086079999999998</v>
      </c>
      <c r="AK70" s="348">
        <f t="shared" si="67"/>
        <v>0.25974520731220135</v>
      </c>
      <c r="AL70" s="348">
        <f t="shared" si="68"/>
        <v>0.20086079999999998</v>
      </c>
      <c r="AM70" s="348">
        <f t="shared" si="69"/>
        <v>0.90694799999999987</v>
      </c>
      <c r="AN70" s="348">
        <f t="shared" si="70"/>
        <v>0.10969972899068642</v>
      </c>
      <c r="AO70" s="348">
        <f t="shared" si="71"/>
        <v>2.6400000000000001E-5</v>
      </c>
      <c r="AP70" s="348">
        <f t="shared" si="72"/>
        <v>0.34650000000000003</v>
      </c>
      <c r="AQ70" s="348">
        <f t="shared" si="26"/>
        <v>0.61836923076923067</v>
      </c>
      <c r="AR70" s="348">
        <f t="shared" si="73"/>
        <v>0.48509999999999998</v>
      </c>
      <c r="AS70" s="348">
        <f t="shared" si="74"/>
        <v>0.34652640000000001</v>
      </c>
      <c r="AT70" s="348">
        <f t="shared" si="75"/>
        <v>3.4679014470803877</v>
      </c>
      <c r="AU70">
        <f t="shared" si="76"/>
        <v>24.4</v>
      </c>
      <c r="AV70" s="526">
        <f t="shared" si="47"/>
        <v>0.87555928982791398</v>
      </c>
      <c r="AW70" s="534">
        <f t="shared" si="77"/>
        <v>81.962299560705162</v>
      </c>
      <c r="AX70" s="534">
        <f t="shared" si="78"/>
        <v>22.752848525606595</v>
      </c>
      <c r="AY70" s="9"/>
      <c r="AZ70" s="4">
        <f t="shared" si="48"/>
        <v>87.5559289827914</v>
      </c>
      <c r="BA70" s="348">
        <f t="shared" si="79"/>
        <v>0.2853727257514691</v>
      </c>
      <c r="BB70" s="348">
        <f t="shared" si="80"/>
        <v>2.5195908501861339</v>
      </c>
      <c r="BC70" s="348">
        <f t="shared" si="81"/>
        <v>1.9514833228739326</v>
      </c>
      <c r="BD70" s="348">
        <f t="shared" si="82"/>
        <v>0.5590380473122013</v>
      </c>
      <c r="BE70" s="348">
        <f t="shared" si="83"/>
        <v>0.10969972899068642</v>
      </c>
      <c r="BK70" s="18"/>
      <c r="BL70" s="19"/>
    </row>
    <row r="71" spans="1:64" x14ac:dyDescent="0.2">
      <c r="A71" s="14" t="s">
        <v>59</v>
      </c>
      <c r="B71" s="15" t="s">
        <v>7</v>
      </c>
      <c r="C71" s="17" t="s">
        <v>76</v>
      </c>
      <c r="G71">
        <v>62</v>
      </c>
      <c r="H71" s="531">
        <f t="shared" si="49"/>
        <v>12</v>
      </c>
      <c r="I71" s="4">
        <f t="shared" si="50"/>
        <v>1</v>
      </c>
      <c r="J71" s="348">
        <f t="shared" si="84"/>
        <v>4.96</v>
      </c>
      <c r="K71" s="348">
        <f t="shared" si="51"/>
        <v>4.96</v>
      </c>
      <c r="L71" s="4">
        <f t="shared" si="52"/>
        <v>2.2962962962962963</v>
      </c>
      <c r="M71" s="348">
        <f t="shared" si="53"/>
        <v>0.42228533052416833</v>
      </c>
      <c r="N71" s="4">
        <f t="shared" si="54"/>
        <v>0.63279913797802612</v>
      </c>
      <c r="O71" s="4">
        <f t="shared" si="39"/>
        <v>5.2763995689890129</v>
      </c>
      <c r="P71" s="4">
        <f t="shared" si="40"/>
        <v>4.6436004310109871</v>
      </c>
      <c r="Q71" s="4">
        <f t="shared" si="55"/>
        <v>0</v>
      </c>
      <c r="R71" s="4">
        <f t="shared" si="41"/>
        <v>4.9633627272665466</v>
      </c>
      <c r="S71" s="348">
        <f t="shared" si="56"/>
        <v>8.6222393468465844E-2</v>
      </c>
      <c r="T71" s="348">
        <f t="shared" si="57"/>
        <v>0.2</v>
      </c>
      <c r="U71" s="348">
        <f t="shared" si="58"/>
        <v>0.28821040876979842</v>
      </c>
      <c r="V71" s="4">
        <f t="shared" si="42"/>
        <v>0.18267337632728828</v>
      </c>
      <c r="W71" s="348">
        <f t="shared" si="10"/>
        <v>3.3369562418811086E-5</v>
      </c>
      <c r="X71" s="348">
        <f t="shared" si="43"/>
        <v>3.3369562418811086E-5</v>
      </c>
      <c r="Y71" s="4">
        <f t="shared" si="44"/>
        <v>2.4515215216548767</v>
      </c>
      <c r="Z71" s="348">
        <f t="shared" si="11"/>
        <v>6.009957771137042E-3</v>
      </c>
      <c r="AA71" s="525">
        <f t="shared" si="45"/>
        <v>6.009957771137042E-3</v>
      </c>
      <c r="AB71" s="348">
        <f t="shared" si="46"/>
        <v>3.2253660666843467</v>
      </c>
      <c r="AC71" s="348">
        <f t="shared" si="59"/>
        <v>0.12483583516942624</v>
      </c>
      <c r="AD71" s="348">
        <f t="shared" si="60"/>
        <v>0.49438992746113986</v>
      </c>
      <c r="AE71" s="348">
        <f t="shared" si="61"/>
        <v>0.71819999999999995</v>
      </c>
      <c r="AF71" s="348">
        <f t="shared" si="62"/>
        <v>0</v>
      </c>
      <c r="AG71" s="348">
        <f t="shared" si="63"/>
        <v>1.3660756758782533</v>
      </c>
      <c r="AH71" s="348">
        <f t="shared" si="64"/>
        <v>3.7725300924313325</v>
      </c>
      <c r="AI71" s="348">
        <f t="shared" si="65"/>
        <v>5.8351131523029821E-2</v>
      </c>
      <c r="AJ71" s="348">
        <f t="shared" si="66"/>
        <v>0.20415359999999996</v>
      </c>
      <c r="AK71" s="348">
        <f t="shared" si="67"/>
        <v>0.26502232814686116</v>
      </c>
      <c r="AL71" s="348">
        <f t="shared" si="68"/>
        <v>0.20415359999999996</v>
      </c>
      <c r="AM71" s="348">
        <f t="shared" si="69"/>
        <v>0.92181599999999997</v>
      </c>
      <c r="AN71" s="348">
        <f t="shared" si="70"/>
        <v>0.11332085998712653</v>
      </c>
      <c r="AO71" s="348">
        <f t="shared" si="71"/>
        <v>2.6400000000000001E-5</v>
      </c>
      <c r="AP71" s="348">
        <f t="shared" si="72"/>
        <v>0.34650000000000003</v>
      </c>
      <c r="AQ71" s="348">
        <f t="shared" si="26"/>
        <v>0.61836923076923067</v>
      </c>
      <c r="AR71" s="348">
        <f t="shared" si="73"/>
        <v>0.48509999999999998</v>
      </c>
      <c r="AS71" s="348">
        <f t="shared" si="74"/>
        <v>0.34652640000000001</v>
      </c>
      <c r="AT71" s="348">
        <f t="shared" si="75"/>
        <v>3.5111686001155951</v>
      </c>
      <c r="AU71">
        <f t="shared" si="76"/>
        <v>24.8</v>
      </c>
      <c r="AV71" s="526">
        <f t="shared" si="47"/>
        <v>0.87597938291740951</v>
      </c>
      <c r="AW71" s="534">
        <f t="shared" si="77"/>
        <v>82.927917906886634</v>
      </c>
      <c r="AX71" s="534">
        <f t="shared" si="78"/>
        <v>23.167319451577253</v>
      </c>
      <c r="AY71" s="9"/>
      <c r="AZ71" s="4">
        <f t="shared" si="48"/>
        <v>87.597938291740945</v>
      </c>
      <c r="BA71" s="348">
        <f t="shared" si="79"/>
        <v>0.28821040876979842</v>
      </c>
      <c r="BB71" s="348">
        <f t="shared" si="80"/>
        <v>2.5529140040251144</v>
      </c>
      <c r="BC71" s="348">
        <f t="shared" si="81"/>
        <v>1.9744742358782532</v>
      </c>
      <c r="BD71" s="348">
        <f t="shared" si="82"/>
        <v>0.56922160814686118</v>
      </c>
      <c r="BE71" s="348">
        <f t="shared" si="83"/>
        <v>0.11332085998712653</v>
      </c>
      <c r="BK71" s="18"/>
      <c r="BL71" s="19"/>
    </row>
    <row r="72" spans="1:64" x14ac:dyDescent="0.2">
      <c r="A72" s="32" t="s">
        <v>88</v>
      </c>
      <c r="B72" s="437">
        <f>(Qgd_Q1+Qgs_Q1/2)*(RdsonDRT+Rgate1)/(VCC-Vsp_Q1)*1000000000</f>
        <v>5.5797927461139905</v>
      </c>
      <c r="C72" s="21" t="s">
        <v>75</v>
      </c>
      <c r="D72" s="113" t="s">
        <v>492</v>
      </c>
      <c r="G72">
        <v>63</v>
      </c>
      <c r="H72" s="531">
        <f t="shared" si="49"/>
        <v>12</v>
      </c>
      <c r="I72" s="4">
        <f t="shared" si="50"/>
        <v>1</v>
      </c>
      <c r="J72" s="348">
        <f t="shared" si="84"/>
        <v>5.04</v>
      </c>
      <c r="K72" s="348">
        <f t="shared" si="51"/>
        <v>5.04</v>
      </c>
      <c r="L72" s="4">
        <f t="shared" si="52"/>
        <v>2.333333333333333</v>
      </c>
      <c r="M72" s="348">
        <f t="shared" si="53"/>
        <v>0.42237607991342663</v>
      </c>
      <c r="N72" s="4">
        <f t="shared" si="54"/>
        <v>0.63282176191150419</v>
      </c>
      <c r="O72" s="4">
        <f t="shared" si="39"/>
        <v>5.3564108809557522</v>
      </c>
      <c r="P72" s="4">
        <f t="shared" si="40"/>
        <v>4.7235891190442478</v>
      </c>
      <c r="Q72" s="4">
        <f t="shared" si="55"/>
        <v>0</v>
      </c>
      <c r="R72" s="4">
        <f t="shared" si="41"/>
        <v>5.0433096225126874</v>
      </c>
      <c r="S72" s="348">
        <f t="shared" si="56"/>
        <v>8.9022401819851729E-2</v>
      </c>
      <c r="T72" s="348">
        <f t="shared" si="57"/>
        <v>0.2</v>
      </c>
      <c r="U72" s="348">
        <f t="shared" si="58"/>
        <v>0.29109552363368196</v>
      </c>
      <c r="V72" s="4">
        <f t="shared" si="42"/>
        <v>0.18267990729433012</v>
      </c>
      <c r="W72" s="348">
        <f t="shared" si="10"/>
        <v>3.3371948529065049E-5</v>
      </c>
      <c r="X72" s="348">
        <f t="shared" si="43"/>
        <v>3.3371948529065049E-5</v>
      </c>
      <c r="Y72" s="4">
        <f t="shared" si="44"/>
        <v>2.491081141025659</v>
      </c>
      <c r="Z72" s="348">
        <f t="shared" si="11"/>
        <v>6.2054852511736992E-3</v>
      </c>
      <c r="AA72" s="525">
        <f t="shared" si="45"/>
        <v>6.2054852511736992E-3</v>
      </c>
      <c r="AB72" s="348">
        <f t="shared" si="46"/>
        <v>3.2776704752503232</v>
      </c>
      <c r="AC72" s="348">
        <f t="shared" si="59"/>
        <v>0.12891748493193214</v>
      </c>
      <c r="AD72" s="348">
        <f t="shared" si="60"/>
        <v>0.50236395854922289</v>
      </c>
      <c r="AE72" s="348">
        <f t="shared" si="61"/>
        <v>0.71819999999999995</v>
      </c>
      <c r="AF72" s="348">
        <f t="shared" si="62"/>
        <v>0</v>
      </c>
      <c r="AG72" s="348">
        <f t="shared" si="63"/>
        <v>1.3793557192670927</v>
      </c>
      <c r="AH72" s="348">
        <f t="shared" si="64"/>
        <v>3.83299467834243</v>
      </c>
      <c r="AI72" s="348">
        <f t="shared" si="65"/>
        <v>6.0236577637225688E-2</v>
      </c>
      <c r="AJ72" s="348">
        <f t="shared" si="66"/>
        <v>0.20744639999999998</v>
      </c>
      <c r="AK72" s="348">
        <f t="shared" si="67"/>
        <v>0.27033401213884362</v>
      </c>
      <c r="AL72" s="348">
        <f t="shared" si="68"/>
        <v>0.20744639999999998</v>
      </c>
      <c r="AM72" s="348">
        <f t="shared" si="69"/>
        <v>0.93668400000000007</v>
      </c>
      <c r="AN72" s="348">
        <f t="shared" si="70"/>
        <v>0.11700087096323369</v>
      </c>
      <c r="AO72" s="348">
        <f t="shared" si="71"/>
        <v>2.6400000000000001E-5</v>
      </c>
      <c r="AP72" s="348">
        <f t="shared" si="72"/>
        <v>0.34650000000000003</v>
      </c>
      <c r="AQ72" s="348">
        <f t="shared" si="26"/>
        <v>0.61836923076923067</v>
      </c>
      <c r="AR72" s="348">
        <f t="shared" si="73"/>
        <v>0.48509999999999998</v>
      </c>
      <c r="AS72" s="348">
        <f t="shared" si="74"/>
        <v>0.34652640000000001</v>
      </c>
      <c r="AT72" s="348">
        <f t="shared" si="75"/>
        <v>3.5546817832025548</v>
      </c>
      <c r="AU72">
        <f t="shared" si="76"/>
        <v>25.2</v>
      </c>
      <c r="AV72" s="526">
        <f t="shared" si="47"/>
        <v>0.87637902550954083</v>
      </c>
      <c r="AW72" s="534">
        <f t="shared" si="77"/>
        <v>83.897820689217895</v>
      </c>
      <c r="AX72" s="534">
        <f t="shared" si="78"/>
        <v>23.583197098050935</v>
      </c>
      <c r="AY72" s="9"/>
      <c r="AZ72" s="4">
        <f t="shared" si="48"/>
        <v>87.637902550954081</v>
      </c>
      <c r="BA72" s="348">
        <f t="shared" si="79"/>
        <v>0.29109552363368196</v>
      </c>
      <c r="BB72" s="348">
        <f t="shared" si="80"/>
        <v>2.5863737314059363</v>
      </c>
      <c r="BC72" s="348">
        <f t="shared" si="81"/>
        <v>1.9975671592670927</v>
      </c>
      <c r="BD72" s="348">
        <f t="shared" si="82"/>
        <v>0.57943973213884359</v>
      </c>
      <c r="BE72" s="348">
        <f t="shared" si="83"/>
        <v>0.11700087096323369</v>
      </c>
      <c r="BK72" s="18"/>
      <c r="BL72" s="19"/>
    </row>
    <row r="73" spans="1:64" x14ac:dyDescent="0.2">
      <c r="A73" s="33" t="s">
        <v>89</v>
      </c>
      <c r="B73" s="437">
        <f>(Qgd_Q1+Qgs_Q1/2)*(RdsonDRT2+Rgate1)/(Vsp_Q1)*1000000000</f>
        <v>2.3309523809523811</v>
      </c>
      <c r="C73" s="21" t="s">
        <v>75</v>
      </c>
      <c r="D73" s="113" t="s">
        <v>493</v>
      </c>
      <c r="G73">
        <v>64</v>
      </c>
      <c r="H73" s="531">
        <f t="shared" ref="H73:H109" si="85">Vin</f>
        <v>12</v>
      </c>
      <c r="I73" s="4">
        <f t="shared" ref="I73:I109" si="86">MODE</f>
        <v>1</v>
      </c>
      <c r="J73" s="348">
        <f t="shared" si="84"/>
        <v>5.12</v>
      </c>
      <c r="K73" s="348">
        <f t="shared" ref="K73:K109" si="87">Iout*G73/100/Number_of_Phases</f>
        <v>5.12</v>
      </c>
      <c r="L73" s="4">
        <f t="shared" ref="L73:L104" si="88">Vout*K73/(Vin*Efficiency)</f>
        <v>2.3703703703703702</v>
      </c>
      <c r="M73" s="348">
        <f t="shared" ref="M73:M109" si="89">(Vout+(Rdson2+Rs+Rdcr)*K73)/(Vin+(Rs+Rdson2-Rdson1)*K73)</f>
        <v>0.4224668333012882</v>
      </c>
      <c r="N73" s="4">
        <f t="shared" ref="N73:N104" si="90">(Vin-(Rdson1+Rdcr)*K73-Vout)*M73/(Fsw*Lf)</f>
        <v>0.63284434312082838</v>
      </c>
      <c r="O73" s="4">
        <f t="shared" si="39"/>
        <v>5.4364221715604142</v>
      </c>
      <c r="P73" s="4">
        <f t="shared" si="40"/>
        <v>4.803577828439586</v>
      </c>
      <c r="Q73" s="4">
        <f t="shared" ref="Q73:Q104" si="91">IF(MIN(Vin, -P73/(Coss_Q1+Coss_Q2)*0.00000002)&lt;0, 0, MIN(Vin, -P73/(Coss_Q1+Coss_Q2)*0.00000002))</f>
        <v>0</v>
      </c>
      <c r="R73" s="4">
        <f t="shared" si="41"/>
        <v>5.1232581752453523</v>
      </c>
      <c r="S73" s="348">
        <f t="shared" ref="S73:S104" si="92">R73^2*Rdcr</f>
        <v>9.1867210155764184E-2</v>
      </c>
      <c r="T73" s="348">
        <f t="shared" ref="T73:T109" si="93">Core_Loss_Ch1</f>
        <v>0.2</v>
      </c>
      <c r="U73" s="348">
        <f t="shared" ref="U73:U104" si="94">(T73+S73*(1+Ltc*(Ta-25)))/(1-S73*Ltc*ThetaCa)</f>
        <v>0.29402813370381831</v>
      </c>
      <c r="V73" s="4">
        <f t="shared" si="42"/>
        <v>0.1826864259279711</v>
      </c>
      <c r="W73" s="348">
        <f t="shared" si="10"/>
        <v>3.337433021833607E-5</v>
      </c>
      <c r="X73" s="348">
        <f t="shared" si="43"/>
        <v>3.337433021833607E-5</v>
      </c>
      <c r="Y73" s="4">
        <f t="shared" si="44"/>
        <v>2.5306437765017025</v>
      </c>
      <c r="Z73" s="348">
        <f t="shared" si="11"/>
        <v>6.4041579235467987E-3</v>
      </c>
      <c r="AA73" s="525">
        <f t="shared" si="45"/>
        <v>6.4041579235467987E-3</v>
      </c>
      <c r="AB73" s="348">
        <f t="shared" si="46"/>
        <v>3.3299871024516268</v>
      </c>
      <c r="AC73" s="348">
        <f t="shared" ref="AC73:AC104" si="95">Rdson1*AB73^2</f>
        <v>0.13306576922993019</v>
      </c>
      <c r="AD73" s="348">
        <f t="shared" ref="AD73:AD109" si="96">(Vin*K73/2)*Fsw*(Tr_buck+Tf_buck)</f>
        <v>0.5103379896373057</v>
      </c>
      <c r="AE73" s="348">
        <f t="shared" ref="AE73:AE109" si="97">(0.5*Coss_Q1*(Vin-Q73)^2-0.5*Coss_Q2*(Vin-Q73)^2+(Qoss_Q2*(Vin-Q73)/Vin)*Vin)*Fsw</f>
        <v>0.71819999999999995</v>
      </c>
      <c r="AF73" s="348">
        <f t="shared" ref="AF73:AF109" si="98">IF(K73&gt;N73/2,0,ABS(K73-N73/2)*Vsd_Q1*Deadtime*Fsw)</f>
        <v>0</v>
      </c>
      <c r="AG73" s="348">
        <f t="shared" ref="AG73:AG104" si="99">(AF73+AE73+AD73+AC73*(1+RdsonTopTc*Ta-RdsonTopTc*25))/(1-AC73*RdsonTopTc*ThetaJA_Q1)</f>
        <v>1.392738496522385</v>
      </c>
      <c r="AH73" s="348">
        <f t="shared" ref="AH73:AH109" si="100">SQRT((1-M73))*SQRT(K73^2+(N73^2)/12)</f>
        <v>3.8934509407111006</v>
      </c>
      <c r="AI73" s="348">
        <f t="shared" ref="AI73:AI104" si="101">Rdson2*AH73^2</f>
        <v>6.2151736933669023E-2</v>
      </c>
      <c r="AJ73" s="348">
        <f t="shared" ref="AJ73:AJ109" si="102">IF(K73&lt;N73/2,Deadtime*Fsw*IF(VfdSky_Q2&gt;0,0,Vsd_Q2)*(K73+N73/2),2*Deadtime*Fsw*IF(VfdSky_Q2&gt;0,0,Vsd_Q2)*K73)</f>
        <v>0.21073919999999999</v>
      </c>
      <c r="AK73" s="348">
        <f t="shared" ref="AK73:AK104" si="103">(AJ73+AI73*(1+RdsonBotTc*Ta-RdsonBotTc*25))/(1-AI73*RdsonBotTc*ThetaJA_Q2)</f>
        <v>0.27568035422624326</v>
      </c>
      <c r="AL73" s="348">
        <f t="shared" ref="AL73:AL109" si="104">2*Deadtime*Fsw*IF(VfdSky_Q2&gt;0,VfdSky_Q2,Vsd_Q2)*K73</f>
        <v>0.21073919999999999</v>
      </c>
      <c r="AM73" s="348">
        <f t="shared" ref="AM73:AM109" si="105">IF(QrrSky_Q2&gt;0,QrrSky_Q2,Qrr_Q2*K73/(Iout/Number_of_Phases))*Fsw*Vin</f>
        <v>0.95155200000000006</v>
      </c>
      <c r="AN73" s="348">
        <f t="shared" ref="AN73:AN109" si="106">Rs*R73^2</f>
        <v>0.12073976191900435</v>
      </c>
      <c r="AO73" s="348">
        <f t="shared" ref="AO73:AO109" si="107">Iq*Vin</f>
        <v>2.6400000000000001E-5</v>
      </c>
      <c r="AP73" s="348">
        <f t="shared" ref="AP73:AP109" si="108">IF(Ext_VCC=1,  (Qg_Q1+Qg_Q2)*Fsw*VCC, (Qg_Q1+Qg_Q2)*Fsw*Vin)</f>
        <v>0.34650000000000003</v>
      </c>
      <c r="AQ73" s="348">
        <f t="shared" ref="AQ73:AQ109" si="109">(Vin-VCC)*Fsw*(Qg_Q1+Qg_Q2)+(RdsonDRT+RdsonDRT2)*Fsw*Qg_Q1*VCC/(RdsonDRT+2*Rgate1+RdsonDRT2)+(RdsonDRB+RdsonDRB2)*Fsw*Qg_Q2*VCC/(RdsonDRB+2*Rgate2+RdsonDRB2)</f>
        <v>0.61836923076923067</v>
      </c>
      <c r="AR73" s="348">
        <f t="shared" ref="AR73:AR109" si="110">(Qg_Q1+Qg_Q2)*Fsw*(Vin-VCC)</f>
        <v>0.48509999999999998</v>
      </c>
      <c r="AS73" s="348">
        <f t="shared" si="74"/>
        <v>0.34652640000000001</v>
      </c>
      <c r="AT73" s="348">
        <f t="shared" ref="AT73:AT104" si="111" xml:space="preserve"> SUM(U73,X73,AA73,AG73,AK73,AL73,AM73,AS73,AN73)</f>
        <v>3.5984418786252159</v>
      </c>
      <c r="AU73">
        <f t="shared" ref="AU73:AU109" si="112">Vout*K73</f>
        <v>25.6</v>
      </c>
      <c r="AV73" s="526">
        <f t="shared" si="47"/>
        <v>0.87675911291487563</v>
      </c>
      <c r="AW73" s="534">
        <f t="shared" ref="AW73:AW109" si="113">ThetaJA_Q1*BC73</f>
        <v>84.872038293940179</v>
      </c>
      <c r="AX73" s="534">
        <f t="shared" ref="AX73:AX109" si="114">ThetaJA_Q2*BD73</f>
        <v>24.0004853290081</v>
      </c>
      <c r="AY73" s="9"/>
      <c r="AZ73" s="4">
        <f t="shared" si="48"/>
        <v>87.675911291487566</v>
      </c>
      <c r="BA73" s="348">
        <f t="shared" ref="BA73:BA109" si="115">U73</f>
        <v>0.29402813370381831</v>
      </c>
      <c r="BB73" s="348">
        <f t="shared" si="80"/>
        <v>2.6199708507486283</v>
      </c>
      <c r="BC73" s="348">
        <f t="shared" si="81"/>
        <v>2.0207628165223852</v>
      </c>
      <c r="BD73" s="348">
        <f t="shared" si="82"/>
        <v>0.58969251422624325</v>
      </c>
      <c r="BE73" s="348">
        <f t="shared" si="83"/>
        <v>0.12073976191900435</v>
      </c>
      <c r="BK73" s="18"/>
      <c r="BL73" s="19"/>
    </row>
    <row r="74" spans="1:64" x14ac:dyDescent="0.2">
      <c r="A74" s="14" t="s">
        <v>114</v>
      </c>
      <c r="B74" s="15" t="s">
        <v>7</v>
      </c>
      <c r="C74" s="17" t="s">
        <v>76</v>
      </c>
      <c r="G74">
        <v>65</v>
      </c>
      <c r="H74" s="531">
        <f t="shared" si="85"/>
        <v>12</v>
      </c>
      <c r="I74" s="4">
        <f t="shared" si="86"/>
        <v>1</v>
      </c>
      <c r="J74" s="348">
        <f t="shared" ref="J74:J109" si="116">Iout*G74/100</f>
        <v>5.2</v>
      </c>
      <c r="K74" s="348">
        <f t="shared" si="87"/>
        <v>5.2</v>
      </c>
      <c r="L74" s="4">
        <f t="shared" si="88"/>
        <v>2.4074074074074074</v>
      </c>
      <c r="M74" s="348">
        <f t="shared" si="89"/>
        <v>0.42255759068801724</v>
      </c>
      <c r="N74" s="4">
        <f t="shared" si="90"/>
        <v>0.6328668816031745</v>
      </c>
      <c r="O74" s="4">
        <f t="shared" ref="O74:O109" si="117">K74+N74/2</f>
        <v>5.5164334408015874</v>
      </c>
      <c r="P74" s="4">
        <f t="shared" ref="P74:P109" si="118">K74-N74/2</f>
        <v>4.883566559198413</v>
      </c>
      <c r="Q74" s="4">
        <f t="shared" si="91"/>
        <v>0</v>
      </c>
      <c r="R74" s="4">
        <f t="shared" ref="R74:R109" si="119">SQRT(K74^2+(N74^2)/12)</f>
        <v>5.2032083090614245</v>
      </c>
      <c r="S74" s="348">
        <f t="shared" si="92"/>
        <v>9.4756818476200474E-2</v>
      </c>
      <c r="T74" s="348">
        <f t="shared" si="93"/>
        <v>0.2</v>
      </c>
      <c r="U74" s="348">
        <f t="shared" si="94"/>
        <v>0.2970083034277064</v>
      </c>
      <c r="V74" s="4">
        <f t="shared" ref="V74:V109" si="120">N74/SQRT(12)</f>
        <v>0.18269293222739591</v>
      </c>
      <c r="W74" s="348">
        <f t="shared" ref="W74:W109" si="121">RCoutEsr*V74^2</f>
        <v>3.3376707485843876E-5</v>
      </c>
      <c r="X74" s="348">
        <f t="shared" ref="X74:X109" si="122">W74</f>
        <v>3.3376707485843876E-5</v>
      </c>
      <c r="Y74" s="4">
        <f t="shared" ref="Y74:Y109" si="123">SQRT(M74*(1-M74))*SQRT(K74^2+(N74^2)/12)</f>
        <v>2.5702093864622952</v>
      </c>
      <c r="Z74" s="348">
        <f t="shared" ref="Z74:Z109" si="124">RCinEsr*Y74^2</f>
        <v>6.6059762902588885E-3</v>
      </c>
      <c r="AA74" s="525">
        <f t="shared" ref="AA74:AA109" si="125">Z74</f>
        <v>6.6059762902588885E-3</v>
      </c>
      <c r="AB74" s="348">
        <f t="shared" ref="AB74:AB109" si="126">SQRT(M74)*SQRT(K74^2+(N74^2)/12)</f>
        <v>3.3823158979173287</v>
      </c>
      <c r="AC74" s="348">
        <f t="shared" si="95"/>
        <v>0.13728072999965166</v>
      </c>
      <c r="AD74" s="348">
        <f t="shared" si="96"/>
        <v>0.51831202072538862</v>
      </c>
      <c r="AE74" s="348">
        <f t="shared" si="97"/>
        <v>0.71819999999999995</v>
      </c>
      <c r="AF74" s="348">
        <f t="shared" si="98"/>
        <v>0</v>
      </c>
      <c r="AG74" s="348">
        <f t="shared" si="99"/>
        <v>1.4062247406264168</v>
      </c>
      <c r="AH74" s="348">
        <f t="shared" si="100"/>
        <v>3.9538988194162914</v>
      </c>
      <c r="AI74" s="348">
        <f t="shared" si="101"/>
        <v>6.4096595084144323E-2</v>
      </c>
      <c r="AJ74" s="348">
        <f t="shared" si="102"/>
        <v>0.21403199999999997</v>
      </c>
      <c r="AK74" s="348">
        <f t="shared" si="103"/>
        <v>0.2810614504308182</v>
      </c>
      <c r="AL74" s="348">
        <f t="shared" si="104"/>
        <v>0.21403199999999997</v>
      </c>
      <c r="AM74" s="348">
        <f t="shared" si="105"/>
        <v>0.96642000000000006</v>
      </c>
      <c r="AN74" s="348">
        <f t="shared" si="106"/>
        <v>0.1245375328544349</v>
      </c>
      <c r="AO74" s="348">
        <f t="shared" si="107"/>
        <v>2.6400000000000001E-5</v>
      </c>
      <c r="AP74" s="348">
        <f t="shared" si="108"/>
        <v>0.34650000000000003</v>
      </c>
      <c r="AQ74" s="348">
        <f t="shared" si="109"/>
        <v>0.61836923076923067</v>
      </c>
      <c r="AR74" s="348">
        <f t="shared" si="110"/>
        <v>0.48509999999999998</v>
      </c>
      <c r="AS74" s="348">
        <f t="shared" si="74"/>
        <v>0.34652640000000001</v>
      </c>
      <c r="AT74" s="348">
        <f t="shared" si="111"/>
        <v>3.6424497803371207</v>
      </c>
      <c r="AU74">
        <f t="shared" si="112"/>
        <v>26</v>
      </c>
      <c r="AV74" s="526">
        <f t="shared" ref="AV74:AV109" si="127">AU74/(AU74+AT74)</f>
        <v>0.87712048743173432</v>
      </c>
      <c r="AW74" s="534">
        <f t="shared" si="113"/>
        <v>85.850601506309516</v>
      </c>
      <c r="AX74" s="534">
        <f t="shared" si="114"/>
        <v>24.419188052534306</v>
      </c>
      <c r="AY74" s="9"/>
      <c r="AZ74" s="4">
        <f t="shared" ref="AZ74:AZ109" si="128">AV74*100</f>
        <v>87.712048743173426</v>
      </c>
      <c r="BA74" s="348">
        <f t="shared" si="115"/>
        <v>0.2970083034277064</v>
      </c>
      <c r="BB74" s="348">
        <f t="shared" ref="BB74:BB109" si="129">AG74+AK74+AM74</f>
        <v>2.653706191057235</v>
      </c>
      <c r="BC74" s="348">
        <f t="shared" ref="BC74:BC109" si="130">AG74+AM74*0.66</f>
        <v>2.0440619406264169</v>
      </c>
      <c r="BD74" s="348">
        <f t="shared" ref="BD74:BD109" si="131">AK74+AM74*0.33</f>
        <v>0.59998005043081826</v>
      </c>
      <c r="BE74" s="348">
        <f t="shared" ref="BE74:BE109" si="132">AN74</f>
        <v>0.1245375328544349</v>
      </c>
      <c r="BK74" s="18"/>
      <c r="BL74" s="19"/>
    </row>
    <row r="75" spans="1:64" x14ac:dyDescent="0.2">
      <c r="A75" s="34" t="s">
        <v>115</v>
      </c>
      <c r="B75" s="566">
        <f>AS9</f>
        <v>0.34652640000000001</v>
      </c>
      <c r="C75" s="78" t="s">
        <v>116</v>
      </c>
      <c r="G75">
        <v>66</v>
      </c>
      <c r="H75" s="531">
        <f t="shared" si="85"/>
        <v>12</v>
      </c>
      <c r="I75" s="4">
        <f t="shared" si="86"/>
        <v>1</v>
      </c>
      <c r="J75" s="348">
        <f t="shared" si="116"/>
        <v>5.28</v>
      </c>
      <c r="K75" s="348">
        <f t="shared" si="87"/>
        <v>5.28</v>
      </c>
      <c r="L75" s="4">
        <f t="shared" si="88"/>
        <v>2.4444444444444446</v>
      </c>
      <c r="M75" s="348">
        <f t="shared" si="89"/>
        <v>0.42264835207387791</v>
      </c>
      <c r="N75" s="4">
        <f t="shared" si="90"/>
        <v>0.63288937735571849</v>
      </c>
      <c r="O75" s="4">
        <f t="shared" si="117"/>
        <v>5.5964446886778596</v>
      </c>
      <c r="P75" s="4">
        <f t="shared" si="118"/>
        <v>4.9635553113221409</v>
      </c>
      <c r="Q75" s="4">
        <f t="shared" si="91"/>
        <v>0</v>
      </c>
      <c r="R75" s="4">
        <f t="shared" si="119"/>
        <v>5.2831599521811574</v>
      </c>
      <c r="S75" s="348">
        <f t="shared" si="92"/>
        <v>9.7691226781157839E-2</v>
      </c>
      <c r="T75" s="348">
        <f t="shared" si="93"/>
        <v>0.2</v>
      </c>
      <c r="U75" s="348">
        <f t="shared" si="94"/>
        <v>0.30003609834322031</v>
      </c>
      <c r="V75" s="4">
        <f t="shared" si="120"/>
        <v>0.18269942619178936</v>
      </c>
      <c r="W75" s="348">
        <f t="shared" si="121"/>
        <v>3.3379080330809089E-5</v>
      </c>
      <c r="X75" s="348">
        <f t="shared" si="122"/>
        <v>3.3379080330809089E-5</v>
      </c>
      <c r="Y75" s="4">
        <f t="shared" si="123"/>
        <v>2.6097779315658243</v>
      </c>
      <c r="Z75" s="348">
        <f t="shared" si="124"/>
        <v>6.8109408520879919E-3</v>
      </c>
      <c r="AA75" s="525">
        <f t="shared" si="125"/>
        <v>6.8109408520879919E-3</v>
      </c>
      <c r="AB75" s="348">
        <f t="shared" si="126"/>
        <v>3.4346568142613547</v>
      </c>
      <c r="AC75" s="348">
        <f t="shared" si="95"/>
        <v>0.1415624091810235</v>
      </c>
      <c r="AD75" s="348">
        <f t="shared" si="96"/>
        <v>0.52628605181347154</v>
      </c>
      <c r="AE75" s="348">
        <f t="shared" si="97"/>
        <v>0.71819999999999995</v>
      </c>
      <c r="AF75" s="348">
        <f t="shared" si="98"/>
        <v>0</v>
      </c>
      <c r="AG75" s="348">
        <f t="shared" si="99"/>
        <v>1.4198151941872992</v>
      </c>
      <c r="AH75" s="348">
        <f t="shared" si="100"/>
        <v>4.0143382578675215</v>
      </c>
      <c r="AI75" s="348">
        <f t="shared" si="101"/>
        <v>6.6071137759173268E-2</v>
      </c>
      <c r="AJ75" s="348">
        <f t="shared" si="102"/>
        <v>0.21732479999999998</v>
      </c>
      <c r="AK75" s="348">
        <f t="shared" si="103"/>
        <v>0.28647739786356813</v>
      </c>
      <c r="AL75" s="348">
        <f t="shared" si="104"/>
        <v>0.21732479999999998</v>
      </c>
      <c r="AM75" s="348">
        <f t="shared" si="105"/>
        <v>0.98128800000000016</v>
      </c>
      <c r="AN75" s="348">
        <f t="shared" si="106"/>
        <v>0.12839418376952172</v>
      </c>
      <c r="AO75" s="348">
        <f t="shared" si="107"/>
        <v>2.6400000000000001E-5</v>
      </c>
      <c r="AP75" s="348">
        <f t="shared" si="108"/>
        <v>0.34650000000000003</v>
      </c>
      <c r="AQ75" s="348">
        <f t="shared" si="109"/>
        <v>0.61836923076923067</v>
      </c>
      <c r="AR75" s="348">
        <f t="shared" si="110"/>
        <v>0.48509999999999998</v>
      </c>
      <c r="AS75" s="348">
        <f t="shared" ref="AS75:AS109" si="133">SUM(AO75:AP75)</f>
        <v>0.34652640000000001</v>
      </c>
      <c r="AT75" s="348">
        <f t="shared" si="111"/>
        <v>3.6867063940960287</v>
      </c>
      <c r="AU75">
        <f t="shared" si="112"/>
        <v>26.400000000000002</v>
      </c>
      <c r="AV75" s="526">
        <f t="shared" si="127"/>
        <v>0.87746394218745472</v>
      </c>
      <c r="AW75" s="534">
        <f t="shared" si="113"/>
        <v>86.833541515866571</v>
      </c>
      <c r="AX75" s="534">
        <f t="shared" si="114"/>
        <v>24.839309221047227</v>
      </c>
      <c r="AY75" s="9"/>
      <c r="AZ75" s="4">
        <f t="shared" si="128"/>
        <v>87.746394218745465</v>
      </c>
      <c r="BA75" s="348">
        <f t="shared" si="115"/>
        <v>0.30003609834322031</v>
      </c>
      <c r="BB75" s="348">
        <f t="shared" si="129"/>
        <v>2.6875805920508675</v>
      </c>
      <c r="BC75" s="348">
        <f t="shared" si="130"/>
        <v>2.0674652741872994</v>
      </c>
      <c r="BD75" s="348">
        <f t="shared" si="131"/>
        <v>0.61030243786356819</v>
      </c>
      <c r="BE75" s="348">
        <f t="shared" si="132"/>
        <v>0.12839418376952172</v>
      </c>
      <c r="BK75" s="18"/>
      <c r="BL75" s="19"/>
    </row>
    <row r="76" spans="1:64" x14ac:dyDescent="0.2">
      <c r="A76" s="34" t="s">
        <v>119</v>
      </c>
      <c r="B76" s="567">
        <f>B75*B62</f>
        <v>10.395792</v>
      </c>
      <c r="C76" s="427" t="s">
        <v>449</v>
      </c>
      <c r="G76">
        <v>67</v>
      </c>
      <c r="H76" s="531">
        <f t="shared" si="85"/>
        <v>12</v>
      </c>
      <c r="I76" s="4">
        <f t="shared" si="86"/>
        <v>1</v>
      </c>
      <c r="J76" s="348">
        <f t="shared" si="116"/>
        <v>5.36</v>
      </c>
      <c r="K76" s="348">
        <f t="shared" si="87"/>
        <v>5.36</v>
      </c>
      <c r="L76" s="4">
        <f t="shared" si="88"/>
        <v>2.4814814814814814</v>
      </c>
      <c r="M76" s="348">
        <f t="shared" si="89"/>
        <v>0.42273911745913478</v>
      </c>
      <c r="N76" s="4">
        <f t="shared" si="90"/>
        <v>0.63291183037563592</v>
      </c>
      <c r="O76" s="4">
        <f t="shared" si="117"/>
        <v>5.6764559151878187</v>
      </c>
      <c r="P76" s="4">
        <f t="shared" si="118"/>
        <v>5.043544084812182</v>
      </c>
      <c r="Q76" s="4">
        <f t="shared" si="91"/>
        <v>0</v>
      </c>
      <c r="R76" s="4">
        <f t="shared" si="119"/>
        <v>5.3631130371037736</v>
      </c>
      <c r="S76" s="348">
        <f t="shared" si="92"/>
        <v>0.10067043507063363</v>
      </c>
      <c r="T76" s="348">
        <f t="shared" si="93"/>
        <v>0.2</v>
      </c>
      <c r="U76" s="348">
        <f t="shared" si="94"/>
        <v>0.30311158508224795</v>
      </c>
      <c r="V76" s="4">
        <f t="shared" si="120"/>
        <v>0.18270590782033608</v>
      </c>
      <c r="W76" s="348">
        <f t="shared" si="121"/>
        <v>3.3381448752453143E-5</v>
      </c>
      <c r="X76" s="348">
        <f t="shared" si="122"/>
        <v>3.3381448752453143E-5</v>
      </c>
      <c r="Y76" s="4">
        <f t="shared" si="123"/>
        <v>2.6493493745799848</v>
      </c>
      <c r="Z76" s="348">
        <f t="shared" si="124"/>
        <v>7.0190521085873566E-3</v>
      </c>
      <c r="AA76" s="525">
        <f t="shared" si="125"/>
        <v>7.0190521085873566E-3</v>
      </c>
      <c r="AB76" s="348">
        <f t="shared" si="126"/>
        <v>3.4870098068601814</v>
      </c>
      <c r="AC76" s="348">
        <f t="shared" si="95"/>
        <v>0.14591084871766896</v>
      </c>
      <c r="AD76" s="348">
        <f t="shared" si="96"/>
        <v>0.53426008290155458</v>
      </c>
      <c r="AE76" s="348">
        <f t="shared" si="97"/>
        <v>0.71819999999999995</v>
      </c>
      <c r="AF76" s="348">
        <f t="shared" si="98"/>
        <v>0</v>
      </c>
      <c r="AG76" s="348">
        <f t="shared" si="99"/>
        <v>1.4335106095667518</v>
      </c>
      <c r="AH76" s="348">
        <f t="shared" si="100"/>
        <v>4.074769202741841</v>
      </c>
      <c r="AI76" s="348">
        <f t="shared" si="101"/>
        <v>6.8075350628014841E-2</v>
      </c>
      <c r="AJ76" s="348">
        <f t="shared" si="102"/>
        <v>0.2206176</v>
      </c>
      <c r="AK76" s="348">
        <f t="shared" si="103"/>
        <v>0.29192829473039811</v>
      </c>
      <c r="AL76" s="348">
        <f t="shared" si="104"/>
        <v>0.2206176</v>
      </c>
      <c r="AM76" s="348">
        <f t="shared" si="105"/>
        <v>0.99615600000000004</v>
      </c>
      <c r="AN76" s="348">
        <f t="shared" si="106"/>
        <v>0.13230971466426134</v>
      </c>
      <c r="AO76" s="348">
        <f t="shared" si="107"/>
        <v>2.6400000000000001E-5</v>
      </c>
      <c r="AP76" s="348">
        <f t="shared" si="108"/>
        <v>0.34650000000000003</v>
      </c>
      <c r="AQ76" s="348">
        <f t="shared" si="109"/>
        <v>0.61836923076923067</v>
      </c>
      <c r="AR76" s="348">
        <f t="shared" si="110"/>
        <v>0.48509999999999998</v>
      </c>
      <c r="AS76" s="348">
        <f t="shared" si="133"/>
        <v>0.34652640000000001</v>
      </c>
      <c r="AT76" s="348">
        <f t="shared" si="111"/>
        <v>3.7312126376009993</v>
      </c>
      <c r="AU76">
        <f t="shared" si="112"/>
        <v>26.8</v>
      </c>
      <c r="AV76" s="526">
        <f t="shared" si="127"/>
        <v>0.87779022465010803</v>
      </c>
      <c r="AW76" s="534">
        <f t="shared" si="113"/>
        <v>87.820889921803584</v>
      </c>
      <c r="AX76" s="534">
        <f t="shared" si="114"/>
        <v>25.260852831527206</v>
      </c>
      <c r="AY76" s="9"/>
      <c r="AZ76" s="4">
        <f t="shared" si="128"/>
        <v>87.779022465010797</v>
      </c>
      <c r="BA76" s="348">
        <f t="shared" si="115"/>
        <v>0.30311158508224795</v>
      </c>
      <c r="BB76" s="348">
        <f t="shared" si="129"/>
        <v>2.7215949042971497</v>
      </c>
      <c r="BC76" s="348">
        <f t="shared" si="130"/>
        <v>2.090973569566752</v>
      </c>
      <c r="BD76" s="348">
        <f t="shared" si="131"/>
        <v>0.62065977473039813</v>
      </c>
      <c r="BE76" s="348">
        <f t="shared" si="132"/>
        <v>0.13230971466426134</v>
      </c>
      <c r="BK76" s="18"/>
      <c r="BL76" s="19"/>
    </row>
    <row r="77" spans="1:64" x14ac:dyDescent="0.2">
      <c r="A77" s="34" t="s">
        <v>207</v>
      </c>
      <c r="B77" s="567">
        <f>(Qg_Q1+Qg_Q2)*Fsw+Iq</f>
        <v>6.9302199999999994E-2</v>
      </c>
      <c r="C77" s="21" t="s">
        <v>1</v>
      </c>
      <c r="G77">
        <v>68</v>
      </c>
      <c r="H77" s="531">
        <f t="shared" si="85"/>
        <v>12</v>
      </c>
      <c r="I77" s="4">
        <f t="shared" si="86"/>
        <v>1</v>
      </c>
      <c r="J77" s="348">
        <f t="shared" si="116"/>
        <v>5.44</v>
      </c>
      <c r="K77" s="348">
        <f t="shared" si="87"/>
        <v>5.44</v>
      </c>
      <c r="L77" s="4">
        <f t="shared" si="88"/>
        <v>2.5185185185185186</v>
      </c>
      <c r="M77" s="348">
        <f t="shared" si="89"/>
        <v>0.42282988684405198</v>
      </c>
      <c r="N77" s="4">
        <f t="shared" si="90"/>
        <v>0.63293424066010251</v>
      </c>
      <c r="O77" s="4">
        <f t="shared" si="117"/>
        <v>5.7564671203300515</v>
      </c>
      <c r="P77" s="4">
        <f t="shared" si="118"/>
        <v>5.1235328796699493</v>
      </c>
      <c r="Q77" s="4">
        <f t="shared" si="91"/>
        <v>0</v>
      </c>
      <c r="R77" s="4">
        <f t="shared" si="119"/>
        <v>5.4430675002933784</v>
      </c>
      <c r="S77" s="348">
        <f t="shared" si="92"/>
        <v>0.10369444334462502</v>
      </c>
      <c r="T77" s="348">
        <f t="shared" si="93"/>
        <v>0.2</v>
      </c>
      <c r="U77" s="348">
        <f t="shared" si="94"/>
        <v>0.30623483137439328</v>
      </c>
      <c r="V77" s="4">
        <f t="shared" si="120"/>
        <v>0.1827123771122208</v>
      </c>
      <c r="W77" s="348">
        <f t="shared" si="121"/>
        <v>3.3383812749998388E-5</v>
      </c>
      <c r="X77" s="348">
        <f t="shared" si="122"/>
        <v>3.3383812749998388E-5</v>
      </c>
      <c r="Y77" s="4">
        <f t="shared" si="123"/>
        <v>2.6889236802269312</v>
      </c>
      <c r="Z77" s="348">
        <f t="shared" si="124"/>
        <v>7.2303105580851434E-3</v>
      </c>
      <c r="AA77" s="525">
        <f t="shared" si="125"/>
        <v>7.2303105580851434E-3</v>
      </c>
      <c r="AB77" s="348">
        <f t="shared" si="126"/>
        <v>3.5393748336500956</v>
      </c>
      <c r="AC77" s="348">
        <f t="shared" si="95"/>
        <v>0.15032609055690771</v>
      </c>
      <c r="AD77" s="348">
        <f t="shared" si="96"/>
        <v>0.54223411398963728</v>
      </c>
      <c r="AE77" s="348">
        <f t="shared" si="97"/>
        <v>0.71819999999999995</v>
      </c>
      <c r="AF77" s="348">
        <f t="shared" si="98"/>
        <v>0</v>
      </c>
      <c r="AG77" s="348">
        <f t="shared" si="99"/>
        <v>1.4473117490102376</v>
      </c>
      <c r="AH77" s="348">
        <f t="shared" si="100"/>
        <v>4.1351916037439382</v>
      </c>
      <c r="AI77" s="348">
        <f t="shared" si="101"/>
        <v>7.0109219358664876E-2</v>
      </c>
      <c r="AJ77" s="348">
        <f t="shared" si="102"/>
        <v>0.22391039999999998</v>
      </c>
      <c r="AK77" s="348">
        <f t="shared" si="103"/>
        <v>0.2974142403378684</v>
      </c>
      <c r="AL77" s="348">
        <f t="shared" si="104"/>
        <v>0.22391039999999998</v>
      </c>
      <c r="AM77" s="348">
        <f t="shared" si="105"/>
        <v>1.0110240000000001</v>
      </c>
      <c r="AN77" s="348">
        <f t="shared" si="106"/>
        <v>0.13628412553865002</v>
      </c>
      <c r="AO77" s="348">
        <f t="shared" si="107"/>
        <v>2.6400000000000001E-5</v>
      </c>
      <c r="AP77" s="348">
        <f t="shared" si="108"/>
        <v>0.34650000000000003</v>
      </c>
      <c r="AQ77" s="348">
        <f t="shared" si="109"/>
        <v>0.61836923076923067</v>
      </c>
      <c r="AR77" s="348">
        <f t="shared" si="110"/>
        <v>0.48509999999999998</v>
      </c>
      <c r="AS77" s="348">
        <f t="shared" si="133"/>
        <v>0.34652640000000001</v>
      </c>
      <c r="AT77" s="348">
        <f t="shared" si="111"/>
        <v>3.7759694406319846</v>
      </c>
      <c r="AU77">
        <f t="shared" si="112"/>
        <v>27.200000000000003</v>
      </c>
      <c r="AV77" s="526">
        <f t="shared" si="127"/>
        <v>0.87810003984317764</v>
      </c>
      <c r="AW77" s="534">
        <f t="shared" si="113"/>
        <v>88.81267873842998</v>
      </c>
      <c r="AX77" s="534">
        <f t="shared" si="114"/>
        <v>25.683822925751247</v>
      </c>
      <c r="AY77" s="9"/>
      <c r="AZ77" s="4">
        <f t="shared" si="128"/>
        <v>87.81000398431776</v>
      </c>
      <c r="BA77" s="348">
        <f t="shared" si="115"/>
        <v>0.30623483137439328</v>
      </c>
      <c r="BB77" s="348">
        <f t="shared" si="129"/>
        <v>2.7557499893481063</v>
      </c>
      <c r="BC77" s="348">
        <f t="shared" si="130"/>
        <v>2.1145875890102377</v>
      </c>
      <c r="BD77" s="348">
        <f t="shared" si="131"/>
        <v>0.63105216033786848</v>
      </c>
      <c r="BE77" s="348">
        <f t="shared" si="132"/>
        <v>0.13628412553865002</v>
      </c>
      <c r="BK77" s="18"/>
      <c r="BL77" s="19"/>
    </row>
    <row r="78" spans="1:64" x14ac:dyDescent="0.2">
      <c r="A78" s="34" t="s">
        <v>208</v>
      </c>
      <c r="B78" s="568">
        <f>Qrr_Q2*Fsw</f>
        <v>0.1239</v>
      </c>
      <c r="C78" s="21" t="s">
        <v>1</v>
      </c>
      <c r="G78">
        <v>69</v>
      </c>
      <c r="H78" s="531">
        <f t="shared" si="85"/>
        <v>12</v>
      </c>
      <c r="I78" s="4">
        <f t="shared" si="86"/>
        <v>1</v>
      </c>
      <c r="J78" s="348">
        <f t="shared" si="116"/>
        <v>5.52</v>
      </c>
      <c r="K78" s="348">
        <f t="shared" si="87"/>
        <v>5.52</v>
      </c>
      <c r="L78" s="4">
        <f t="shared" si="88"/>
        <v>2.5555555555555554</v>
      </c>
      <c r="M78" s="348">
        <f t="shared" si="89"/>
        <v>0.42292066022889419</v>
      </c>
      <c r="N78" s="4">
        <f t="shared" si="90"/>
        <v>0.6329566082062934</v>
      </c>
      <c r="O78" s="4">
        <f t="shared" si="117"/>
        <v>5.8364783041031458</v>
      </c>
      <c r="P78" s="4">
        <f t="shared" si="118"/>
        <v>5.2035216958968533</v>
      </c>
      <c r="Q78" s="4">
        <f t="shared" si="91"/>
        <v>0</v>
      </c>
      <c r="R78" s="4">
        <f t="shared" si="119"/>
        <v>5.5230232818921436</v>
      </c>
      <c r="S78" s="348">
        <f t="shared" si="92"/>
        <v>0.10676325160312933</v>
      </c>
      <c r="T78" s="348">
        <f t="shared" si="93"/>
        <v>0.2</v>
      </c>
      <c r="U78" s="348">
        <f t="shared" si="94"/>
        <v>0.30940590605074453</v>
      </c>
      <c r="V78" s="4">
        <f t="shared" si="120"/>
        <v>0.18271883406662801</v>
      </c>
      <c r="W78" s="348">
        <f t="shared" si="121"/>
        <v>3.3386172322667937E-5</v>
      </c>
      <c r="X78" s="348">
        <f t="shared" si="122"/>
        <v>3.3386172322667937E-5</v>
      </c>
      <c r="Y78" s="4">
        <f t="shared" si="123"/>
        <v>2.728500815041877</v>
      </c>
      <c r="Z78" s="348">
        <f t="shared" si="124"/>
        <v>7.4447166976841879E-3</v>
      </c>
      <c r="AA78" s="525">
        <f t="shared" si="125"/>
        <v>7.4447166976841879E-3</v>
      </c>
      <c r="AB78" s="348">
        <f t="shared" si="126"/>
        <v>3.591751854942058</v>
      </c>
      <c r="AC78" s="348">
        <f t="shared" si="95"/>
        <v>0.15480817664975657</v>
      </c>
      <c r="AD78" s="348">
        <f t="shared" si="96"/>
        <v>0.5502081450777202</v>
      </c>
      <c r="AE78" s="348">
        <f t="shared" si="97"/>
        <v>0.71819999999999995</v>
      </c>
      <c r="AF78" s="348">
        <f t="shared" si="98"/>
        <v>0</v>
      </c>
      <c r="AG78" s="348">
        <f t="shared" si="99"/>
        <v>1.4612193847794996</v>
      </c>
      <c r="AH78" s="348">
        <f t="shared" si="100"/>
        <v>4.1956054133870779</v>
      </c>
      <c r="AI78" s="348">
        <f t="shared" si="101"/>
        <v>7.2172729617856091E-2</v>
      </c>
      <c r="AJ78" s="348">
        <f t="shared" si="102"/>
        <v>0.22720319999999997</v>
      </c>
      <c r="AK78" s="348">
        <f t="shared" si="103"/>
        <v>0.30293533509903264</v>
      </c>
      <c r="AL78" s="348">
        <f t="shared" si="104"/>
        <v>0.22720319999999997</v>
      </c>
      <c r="AM78" s="348">
        <f t="shared" si="105"/>
        <v>1.025892</v>
      </c>
      <c r="AN78" s="348">
        <f t="shared" si="106"/>
        <v>0.14031741639268427</v>
      </c>
      <c r="AO78" s="348">
        <f t="shared" si="107"/>
        <v>2.6400000000000001E-5</v>
      </c>
      <c r="AP78" s="348">
        <f t="shared" si="108"/>
        <v>0.34650000000000003</v>
      </c>
      <c r="AQ78" s="348">
        <f t="shared" si="109"/>
        <v>0.61836923076923067</v>
      </c>
      <c r="AR78" s="348">
        <f t="shared" si="110"/>
        <v>0.48509999999999998</v>
      </c>
      <c r="AS78" s="348">
        <f t="shared" si="133"/>
        <v>0.34652640000000001</v>
      </c>
      <c r="AT78" s="348">
        <f t="shared" si="111"/>
        <v>3.8209777451919678</v>
      </c>
      <c r="AU78">
        <f t="shared" si="112"/>
        <v>27.599999999999998</v>
      </c>
      <c r="AV78" s="526">
        <f t="shared" si="127"/>
        <v>0.87839405329209863</v>
      </c>
      <c r="AW78" s="534">
        <f t="shared" si="113"/>
        <v>89.80894040073899</v>
      </c>
      <c r="AX78" s="534">
        <f t="shared" si="114"/>
        <v>26.108223590530631</v>
      </c>
      <c r="AY78" s="9"/>
      <c r="AZ78" s="4">
        <f t="shared" si="128"/>
        <v>87.839405329209868</v>
      </c>
      <c r="BA78" s="348">
        <f t="shared" si="115"/>
        <v>0.30940590605074453</v>
      </c>
      <c r="BB78" s="348">
        <f t="shared" si="129"/>
        <v>2.7900467198785321</v>
      </c>
      <c r="BC78" s="348">
        <f t="shared" si="130"/>
        <v>2.1383081047794996</v>
      </c>
      <c r="BD78" s="348">
        <f t="shared" si="131"/>
        <v>0.64147969509903269</v>
      </c>
      <c r="BE78" s="348">
        <f t="shared" si="132"/>
        <v>0.14031741639268427</v>
      </c>
      <c r="BK78" s="18"/>
      <c r="BL78" s="19"/>
    </row>
    <row r="79" spans="1:64" x14ac:dyDescent="0.2">
      <c r="A79" s="34" t="s">
        <v>209</v>
      </c>
      <c r="B79" s="568">
        <f>Deadtime*Fsw*(Iripple_Vinnom/2)*(Vsd_Q2)/Vin</f>
        <v>5.4669040195924417E-4</v>
      </c>
      <c r="C79" s="21"/>
      <c r="G79">
        <v>70</v>
      </c>
      <c r="H79" s="531">
        <f t="shared" si="85"/>
        <v>12</v>
      </c>
      <c r="I79" s="4">
        <f t="shared" si="86"/>
        <v>1</v>
      </c>
      <c r="J79" s="348">
        <f t="shared" si="116"/>
        <v>5.6</v>
      </c>
      <c r="K79" s="348">
        <f t="shared" si="87"/>
        <v>5.6</v>
      </c>
      <c r="L79" s="4">
        <f t="shared" si="88"/>
        <v>2.5925925925925926</v>
      </c>
      <c r="M79" s="348">
        <f t="shared" si="89"/>
        <v>0.42301143761392546</v>
      </c>
      <c r="N79" s="4">
        <f t="shared" si="90"/>
        <v>0.63297893301138297</v>
      </c>
      <c r="O79" s="4">
        <f t="shared" si="117"/>
        <v>5.9164894665056913</v>
      </c>
      <c r="P79" s="4">
        <f t="shared" si="118"/>
        <v>5.283510533494308</v>
      </c>
      <c r="Q79" s="4">
        <f t="shared" si="91"/>
        <v>0</v>
      </c>
      <c r="R79" s="4">
        <f t="shared" si="119"/>
        <v>5.6029803254580219</v>
      </c>
      <c r="S79" s="348">
        <f t="shared" si="92"/>
        <v>0.10987685984614388</v>
      </c>
      <c r="T79" s="348">
        <f t="shared" si="93"/>
        <v>0.2</v>
      </c>
      <c r="U79" s="348">
        <f t="shared" si="94"/>
        <v>0.31262487904770725</v>
      </c>
      <c r="V79" s="4">
        <f t="shared" si="120"/>
        <v>0.18272527868274205</v>
      </c>
      <c r="W79" s="348">
        <f t="shared" si="121"/>
        <v>3.338852746968574E-5</v>
      </c>
      <c r="X79" s="348">
        <f t="shared" si="122"/>
        <v>3.338852746968574E-5</v>
      </c>
      <c r="Y79" s="4">
        <f t="shared" si="123"/>
        <v>2.7680807472437827</v>
      </c>
      <c r="Z79" s="348">
        <f t="shared" si="124"/>
        <v>7.662271023261699E-3</v>
      </c>
      <c r="AA79" s="525">
        <f t="shared" si="125"/>
        <v>7.662271023261699E-3</v>
      </c>
      <c r="AB79" s="348">
        <f t="shared" si="126"/>
        <v>3.6441408332523957</v>
      </c>
      <c r="AC79" s="348">
        <f t="shared" si="95"/>
        <v>0.15935714895092959</v>
      </c>
      <c r="AD79" s="348">
        <f t="shared" si="96"/>
        <v>0.55818217616580301</v>
      </c>
      <c r="AE79" s="348">
        <f t="shared" si="97"/>
        <v>0.71819999999999995</v>
      </c>
      <c r="AF79" s="348">
        <f t="shared" si="98"/>
        <v>0</v>
      </c>
      <c r="AG79" s="348">
        <f t="shared" si="99"/>
        <v>1.4752342992875387</v>
      </c>
      <c r="AH79" s="348">
        <f t="shared" si="100"/>
        <v>4.2560105867927787</v>
      </c>
      <c r="AI79" s="348">
        <f t="shared" si="101"/>
        <v>7.4265867071058062E-2</v>
      </c>
      <c r="AJ79" s="348">
        <f t="shared" si="102"/>
        <v>0.23049599999999995</v>
      </c>
      <c r="AK79" s="348">
        <f t="shared" si="103"/>
        <v>0.30849168053936271</v>
      </c>
      <c r="AL79" s="348">
        <f t="shared" si="104"/>
        <v>0.23049599999999995</v>
      </c>
      <c r="AM79" s="348">
        <f t="shared" si="105"/>
        <v>1.0407600000000001</v>
      </c>
      <c r="AN79" s="348">
        <f t="shared" si="106"/>
        <v>0.14440958722636055</v>
      </c>
      <c r="AO79" s="348">
        <f t="shared" si="107"/>
        <v>2.6400000000000001E-5</v>
      </c>
      <c r="AP79" s="348">
        <f t="shared" si="108"/>
        <v>0.34650000000000003</v>
      </c>
      <c r="AQ79" s="348">
        <f t="shared" si="109"/>
        <v>0.61836923076923067</v>
      </c>
      <c r="AR79" s="348">
        <f t="shared" si="110"/>
        <v>0.48509999999999998</v>
      </c>
      <c r="AS79" s="348">
        <f t="shared" si="133"/>
        <v>0.34652640000000001</v>
      </c>
      <c r="AT79" s="348">
        <f t="shared" si="111"/>
        <v>3.866238505651701</v>
      </c>
      <c r="AU79">
        <f t="shared" si="112"/>
        <v>28</v>
      </c>
      <c r="AV79" s="526">
        <f t="shared" si="127"/>
        <v>0.87867289372838919</v>
      </c>
      <c r="AW79" s="534">
        <f t="shared" si="113"/>
        <v>90.809707770076628</v>
      </c>
      <c r="AX79" s="534">
        <f t="shared" si="114"/>
        <v>26.534058957952066</v>
      </c>
      <c r="AY79" s="9"/>
      <c r="AZ79" s="4">
        <f t="shared" si="128"/>
        <v>87.867289372838925</v>
      </c>
      <c r="BA79" s="348">
        <f t="shared" si="115"/>
        <v>0.31262487904770725</v>
      </c>
      <c r="BB79" s="348">
        <f t="shared" si="129"/>
        <v>2.8244859798269015</v>
      </c>
      <c r="BC79" s="348">
        <f t="shared" si="130"/>
        <v>2.1621358992875388</v>
      </c>
      <c r="BD79" s="348">
        <f t="shared" si="131"/>
        <v>0.65194248053936277</v>
      </c>
      <c r="BE79" s="348">
        <f t="shared" si="132"/>
        <v>0.14440958722636055</v>
      </c>
      <c r="BK79" s="18"/>
      <c r="BL79" s="19"/>
    </row>
    <row r="80" spans="1:64" x14ac:dyDescent="0.2">
      <c r="A80" s="34" t="s">
        <v>45</v>
      </c>
      <c r="B80" s="568">
        <f>SUM(B77:B79)</f>
        <v>0.19374889040195922</v>
      </c>
      <c r="C80" s="21" t="s">
        <v>1</v>
      </c>
      <c r="G80">
        <v>71</v>
      </c>
      <c r="H80" s="531">
        <f t="shared" si="85"/>
        <v>12</v>
      </c>
      <c r="I80" s="4">
        <f t="shared" si="86"/>
        <v>1</v>
      </c>
      <c r="J80" s="348">
        <f t="shared" si="116"/>
        <v>5.68</v>
      </c>
      <c r="K80" s="348">
        <f t="shared" si="87"/>
        <v>5.68</v>
      </c>
      <c r="L80" s="4">
        <f t="shared" si="88"/>
        <v>2.6296296296296293</v>
      </c>
      <c r="M80" s="348">
        <f t="shared" si="89"/>
        <v>0.42310221899941036</v>
      </c>
      <c r="N80" s="4">
        <f t="shared" si="90"/>
        <v>0.63300121507254647</v>
      </c>
      <c r="O80" s="4">
        <f t="shared" si="117"/>
        <v>5.996500607536273</v>
      </c>
      <c r="P80" s="4">
        <f t="shared" si="118"/>
        <v>5.3634993924637264</v>
      </c>
      <c r="Q80" s="4">
        <f t="shared" si="91"/>
        <v>0</v>
      </c>
      <c r="R80" s="4">
        <f t="shared" si="119"/>
        <v>5.6829385777245802</v>
      </c>
      <c r="S80" s="348">
        <f t="shared" si="92"/>
        <v>0.11303526807366596</v>
      </c>
      <c r="T80" s="348">
        <f t="shared" si="93"/>
        <v>0.2</v>
      </c>
      <c r="U80" s="348">
        <f t="shared" si="94"/>
        <v>0.31589182141090283</v>
      </c>
      <c r="V80" s="4">
        <f t="shared" si="120"/>
        <v>0.18273171095974747</v>
      </c>
      <c r="W80" s="348">
        <f t="shared" si="121"/>
        <v>3.3390878190276694E-5</v>
      </c>
      <c r="X80" s="348">
        <f t="shared" si="122"/>
        <v>3.3390878190276694E-5</v>
      </c>
      <c r="Y80" s="4">
        <f t="shared" si="123"/>
        <v>2.8076634466169561</v>
      </c>
      <c r="Z80" s="348">
        <f t="shared" si="124"/>
        <v>7.8829740294690046E-3</v>
      </c>
      <c r="AA80" s="525">
        <f t="shared" si="125"/>
        <v>7.8829740294690046E-3</v>
      </c>
      <c r="AB80" s="348">
        <f t="shared" si="126"/>
        <v>3.6965417331477841</v>
      </c>
      <c r="AC80" s="348">
        <f t="shared" si="95"/>
        <v>0.16397304941883867</v>
      </c>
      <c r="AD80" s="348">
        <f t="shared" si="96"/>
        <v>0.56615620725388605</v>
      </c>
      <c r="AE80" s="348">
        <f t="shared" si="97"/>
        <v>0.71819999999999995</v>
      </c>
      <c r="AF80" s="348">
        <f t="shared" si="98"/>
        <v>0</v>
      </c>
      <c r="AG80" s="348">
        <f t="shared" si="99"/>
        <v>1.4893572852360912</v>
      </c>
      <c r="AH80" s="348">
        <f t="shared" si="100"/>
        <v>4.3164070815073794</v>
      </c>
      <c r="AI80" s="348">
        <f t="shared" si="101"/>
        <v>7.6388617382476903E-2</v>
      </c>
      <c r="AJ80" s="348">
        <f t="shared" si="102"/>
        <v>0.23378879999999996</v>
      </c>
      <c r="AK80" s="348">
        <f t="shared" si="103"/>
        <v>0.3140833793027632</v>
      </c>
      <c r="AL80" s="348">
        <f t="shared" si="104"/>
        <v>0.23378879999999996</v>
      </c>
      <c r="AM80" s="348">
        <f t="shared" si="105"/>
        <v>1.055628</v>
      </c>
      <c r="AN80" s="348">
        <f t="shared" si="106"/>
        <v>0.14856063803967526</v>
      </c>
      <c r="AO80" s="348">
        <f t="shared" si="107"/>
        <v>2.6400000000000001E-5</v>
      </c>
      <c r="AP80" s="348">
        <f t="shared" si="108"/>
        <v>0.34650000000000003</v>
      </c>
      <c r="AQ80" s="348">
        <f t="shared" si="109"/>
        <v>0.61836923076923067</v>
      </c>
      <c r="AR80" s="348">
        <f t="shared" si="110"/>
        <v>0.48509999999999998</v>
      </c>
      <c r="AS80" s="348">
        <f t="shared" si="133"/>
        <v>0.34652640000000001</v>
      </c>
      <c r="AT80" s="348">
        <f t="shared" si="111"/>
        <v>3.9117526888970917</v>
      </c>
      <c r="AU80">
        <f t="shared" si="112"/>
        <v>28.4</v>
      </c>
      <c r="AV80" s="526">
        <f t="shared" si="127"/>
        <v>0.87893715557431706</v>
      </c>
      <c r="AW80" s="534">
        <f t="shared" si="113"/>
        <v>91.815014139915846</v>
      </c>
      <c r="AX80" s="534">
        <f t="shared" si="114"/>
        <v>26.961333205622463</v>
      </c>
      <c r="AY80" s="9"/>
      <c r="AZ80" s="4">
        <f t="shared" si="128"/>
        <v>87.893715557431705</v>
      </c>
      <c r="BA80" s="348">
        <f t="shared" si="115"/>
        <v>0.31589182141090283</v>
      </c>
      <c r="BB80" s="348">
        <f t="shared" si="129"/>
        <v>2.8590686645388543</v>
      </c>
      <c r="BC80" s="348">
        <f t="shared" si="130"/>
        <v>2.1860717652360915</v>
      </c>
      <c r="BD80" s="348">
        <f t="shared" si="131"/>
        <v>0.66244061930276321</v>
      </c>
      <c r="BE80" s="348">
        <f t="shared" si="132"/>
        <v>0.14856063803967526</v>
      </c>
      <c r="BK80" s="18"/>
      <c r="BL80" s="19"/>
    </row>
    <row r="81" spans="1:64" x14ac:dyDescent="0.2">
      <c r="A81" s="2"/>
      <c r="G81">
        <v>72</v>
      </c>
      <c r="H81" s="531">
        <f t="shared" si="85"/>
        <v>12</v>
      </c>
      <c r="I81" s="4">
        <f t="shared" si="86"/>
        <v>1</v>
      </c>
      <c r="J81" s="348">
        <f t="shared" si="116"/>
        <v>5.76</v>
      </c>
      <c r="K81" s="348">
        <f t="shared" si="87"/>
        <v>5.76</v>
      </c>
      <c r="L81" s="4">
        <f t="shared" si="88"/>
        <v>2.6666666666666661</v>
      </c>
      <c r="M81" s="348">
        <f t="shared" si="89"/>
        <v>0.42319300438561347</v>
      </c>
      <c r="N81" s="4">
        <f t="shared" si="90"/>
        <v>0.63302345438695806</v>
      </c>
      <c r="O81" s="4">
        <f t="shared" si="117"/>
        <v>6.0765117271934788</v>
      </c>
      <c r="P81" s="4">
        <f t="shared" si="118"/>
        <v>5.4434882728065208</v>
      </c>
      <c r="Q81" s="4">
        <f t="shared" si="91"/>
        <v>0</v>
      </c>
      <c r="R81" s="4">
        <f t="shared" si="119"/>
        <v>5.7628979883808169</v>
      </c>
      <c r="S81" s="348">
        <f t="shared" si="92"/>
        <v>0.11623847628569284</v>
      </c>
      <c r="T81" s="348">
        <f t="shared" si="93"/>
        <v>0.2</v>
      </c>
      <c r="U81" s="348">
        <f t="shared" si="94"/>
        <v>0.31920680529913248</v>
      </c>
      <c r="V81" s="4">
        <f t="shared" si="120"/>
        <v>0.18273813089682853</v>
      </c>
      <c r="W81" s="348">
        <f t="shared" si="121"/>
        <v>3.3393224483666441E-5</v>
      </c>
      <c r="X81" s="348">
        <f t="shared" si="122"/>
        <v>3.3393224483666441E-5</v>
      </c>
      <c r="Y81" s="4">
        <f t="shared" si="123"/>
        <v>2.8472488844024948</v>
      </c>
      <c r="Z81" s="348">
        <f t="shared" si="124"/>
        <v>8.1068262097312507E-3</v>
      </c>
      <c r="AA81" s="525">
        <f t="shared" si="125"/>
        <v>8.1068262097312507E-3</v>
      </c>
      <c r="AB81" s="348">
        <f t="shared" si="126"/>
        <v>3.7489545211031161</v>
      </c>
      <c r="AC81" s="348">
        <f t="shared" si="95"/>
        <v>0.16865592001559393</v>
      </c>
      <c r="AD81" s="348">
        <f t="shared" si="96"/>
        <v>0.57413023834196897</v>
      </c>
      <c r="AE81" s="348">
        <f t="shared" si="97"/>
        <v>0.71819999999999995</v>
      </c>
      <c r="AF81" s="348">
        <f t="shared" si="98"/>
        <v>0</v>
      </c>
      <c r="AG81" s="348">
        <f t="shared" si="99"/>
        <v>1.5035891457556467</v>
      </c>
      <c r="AH81" s="348">
        <f t="shared" si="100"/>
        <v>4.3767948573338655</v>
      </c>
      <c r="AI81" s="348">
        <f t="shared" si="101"/>
        <v>7.8540966215055102E-2</v>
      </c>
      <c r="AJ81" s="348">
        <f t="shared" si="102"/>
        <v>0.23708159999999998</v>
      </c>
      <c r="AK81" s="348">
        <f t="shared" si="103"/>
        <v>0.31971053515767484</v>
      </c>
      <c r="AL81" s="348">
        <f t="shared" si="104"/>
        <v>0.23708159999999998</v>
      </c>
      <c r="AM81" s="348">
        <f t="shared" si="105"/>
        <v>1.0704959999999999</v>
      </c>
      <c r="AN81" s="348">
        <f t="shared" si="106"/>
        <v>0.15277056883262485</v>
      </c>
      <c r="AO81" s="348">
        <f t="shared" si="107"/>
        <v>2.6400000000000001E-5</v>
      </c>
      <c r="AP81" s="348">
        <f t="shared" si="108"/>
        <v>0.34650000000000003</v>
      </c>
      <c r="AQ81" s="348">
        <f t="shared" si="109"/>
        <v>0.61836923076923067</v>
      </c>
      <c r="AR81" s="348">
        <f t="shared" si="110"/>
        <v>0.48509999999999998</v>
      </c>
      <c r="AS81" s="348">
        <f t="shared" si="133"/>
        <v>0.34652640000000001</v>
      </c>
      <c r="AT81" s="348">
        <f t="shared" si="111"/>
        <v>3.9575212744792938</v>
      </c>
      <c r="AU81">
        <f t="shared" si="112"/>
        <v>28.799999999999997</v>
      </c>
      <c r="AV81" s="526">
        <f t="shared" si="127"/>
        <v>0.87918740122859929</v>
      </c>
      <c r="AW81" s="534">
        <f t="shared" si="113"/>
        <v>92.824893241737158</v>
      </c>
      <c r="AX81" s="534">
        <f t="shared" si="114"/>
        <v>27.390050556917362</v>
      </c>
      <c r="AY81" s="9"/>
      <c r="AZ81" s="4">
        <f t="shared" si="128"/>
        <v>87.91874012285993</v>
      </c>
      <c r="BA81" s="348">
        <f t="shared" si="115"/>
        <v>0.31920680529913248</v>
      </c>
      <c r="BB81" s="348">
        <f t="shared" si="129"/>
        <v>2.8937956809133212</v>
      </c>
      <c r="BC81" s="348">
        <f t="shared" si="130"/>
        <v>2.2101165057556464</v>
      </c>
      <c r="BD81" s="348">
        <f t="shared" si="131"/>
        <v>0.67297421515767475</v>
      </c>
      <c r="BE81" s="348">
        <f t="shared" si="132"/>
        <v>0.15277056883262485</v>
      </c>
      <c r="BK81" s="18"/>
      <c r="BL81" s="19"/>
    </row>
    <row r="82" spans="1:64" x14ac:dyDescent="0.2">
      <c r="A82" s="2"/>
      <c r="G82">
        <v>73</v>
      </c>
      <c r="H82" s="531">
        <f t="shared" si="85"/>
        <v>12</v>
      </c>
      <c r="I82" s="4">
        <f t="shared" si="86"/>
        <v>1</v>
      </c>
      <c r="J82" s="348">
        <f t="shared" si="116"/>
        <v>5.84</v>
      </c>
      <c r="K82" s="348">
        <f t="shared" si="87"/>
        <v>5.84</v>
      </c>
      <c r="L82" s="4">
        <f t="shared" si="88"/>
        <v>2.7037037037037033</v>
      </c>
      <c r="M82" s="348">
        <f t="shared" si="89"/>
        <v>0.42328379377279912</v>
      </c>
      <c r="N82" s="4">
        <f t="shared" si="90"/>
        <v>0.63304565095179222</v>
      </c>
      <c r="O82" s="4">
        <f t="shared" si="117"/>
        <v>6.1565228254758964</v>
      </c>
      <c r="P82" s="4">
        <f t="shared" si="118"/>
        <v>5.5234771745241034</v>
      </c>
      <c r="Q82" s="4">
        <f t="shared" si="91"/>
        <v>0</v>
      </c>
      <c r="R82" s="4">
        <f t="shared" si="119"/>
        <v>5.8428585098690409</v>
      </c>
      <c r="S82" s="348">
        <f t="shared" si="92"/>
        <v>0.11948648448222174</v>
      </c>
      <c r="T82" s="348">
        <f t="shared" si="93"/>
        <v>0.2</v>
      </c>
      <c r="U82" s="348">
        <f t="shared" si="94"/>
        <v>0.32256990398840912</v>
      </c>
      <c r="V82" s="4">
        <f t="shared" si="120"/>
        <v>0.18274453849316957</v>
      </c>
      <c r="W82" s="348">
        <f t="shared" si="121"/>
        <v>3.3395566349081539E-5</v>
      </c>
      <c r="X82" s="348">
        <f t="shared" si="122"/>
        <v>3.3395566349081539E-5</v>
      </c>
      <c r="Y82" s="4">
        <f t="shared" si="123"/>
        <v>2.886837033198645</v>
      </c>
      <c r="Z82" s="348">
        <f t="shared" si="124"/>
        <v>8.333828056247156E-3</v>
      </c>
      <c r="AA82" s="525">
        <f t="shared" si="125"/>
        <v>8.333828056247156E-3</v>
      </c>
      <c r="AB82" s="348">
        <f t="shared" si="126"/>
        <v>3.8013791653710371</v>
      </c>
      <c r="AC82" s="348">
        <f t="shared" si="95"/>
        <v>0.17340580270700404</v>
      </c>
      <c r="AD82" s="348">
        <f t="shared" si="96"/>
        <v>0.58210426943005178</v>
      </c>
      <c r="AE82" s="348">
        <f t="shared" si="97"/>
        <v>0.71819999999999995</v>
      </c>
      <c r="AF82" s="348">
        <f t="shared" si="98"/>
        <v>0</v>
      </c>
      <c r="AG82" s="348">
        <f t="shared" si="99"/>
        <v>1.5179306945480626</v>
      </c>
      <c r="AH82" s="348">
        <f t="shared" si="100"/>
        <v>4.4371738761775008</v>
      </c>
      <c r="AI82" s="348">
        <f t="shared" si="101"/>
        <v>8.0722899230471462E-2</v>
      </c>
      <c r="AJ82" s="348">
        <f t="shared" si="102"/>
        <v>0.24037439999999996</v>
      </c>
      <c r="AK82" s="348">
        <f t="shared" si="103"/>
        <v>0.32537325300326769</v>
      </c>
      <c r="AL82" s="348">
        <f t="shared" si="104"/>
        <v>0.24037439999999996</v>
      </c>
      <c r="AM82" s="348">
        <f t="shared" si="105"/>
        <v>1.085364</v>
      </c>
      <c r="AN82" s="348">
        <f t="shared" si="106"/>
        <v>0.1570393796052057</v>
      </c>
      <c r="AO82" s="348">
        <f t="shared" si="107"/>
        <v>2.6400000000000001E-5</v>
      </c>
      <c r="AP82" s="348">
        <f t="shared" si="108"/>
        <v>0.34650000000000003</v>
      </c>
      <c r="AQ82" s="348">
        <f t="shared" si="109"/>
        <v>0.61836923076923067</v>
      </c>
      <c r="AR82" s="348">
        <f t="shared" si="110"/>
        <v>0.48509999999999998</v>
      </c>
      <c r="AS82" s="348">
        <f t="shared" si="133"/>
        <v>0.34652640000000001</v>
      </c>
      <c r="AT82" s="348">
        <f t="shared" si="111"/>
        <v>4.0035452547675421</v>
      </c>
      <c r="AU82">
        <f t="shared" si="112"/>
        <v>29.2</v>
      </c>
      <c r="AV82" s="526">
        <f t="shared" si="127"/>
        <v>0.87942416317147065</v>
      </c>
      <c r="AW82" s="534">
        <f t="shared" si="113"/>
        <v>93.839379251018627</v>
      </c>
      <c r="AX82" s="534">
        <f t="shared" si="114"/>
        <v>27.820215281232997</v>
      </c>
      <c r="AY82" s="9"/>
      <c r="AZ82" s="4">
        <f t="shared" si="128"/>
        <v>87.942416317147064</v>
      </c>
      <c r="BA82" s="348">
        <f t="shared" si="115"/>
        <v>0.32256990398840912</v>
      </c>
      <c r="BB82" s="348">
        <f t="shared" si="129"/>
        <v>2.9286679475513306</v>
      </c>
      <c r="BC82" s="348">
        <f t="shared" si="130"/>
        <v>2.2342709345480625</v>
      </c>
      <c r="BD82" s="348">
        <f t="shared" si="131"/>
        <v>0.68354337300326773</v>
      </c>
      <c r="BE82" s="348">
        <f t="shared" si="132"/>
        <v>0.1570393796052057</v>
      </c>
      <c r="BK82" s="18"/>
      <c r="BL82" s="19"/>
    </row>
    <row r="83" spans="1:64" x14ac:dyDescent="0.2">
      <c r="A83" s="2"/>
      <c r="G83">
        <v>74</v>
      </c>
      <c r="H83" s="531">
        <f t="shared" si="85"/>
        <v>12</v>
      </c>
      <c r="I83" s="4">
        <f t="shared" si="86"/>
        <v>1</v>
      </c>
      <c r="J83" s="348">
        <f t="shared" si="116"/>
        <v>5.92</v>
      </c>
      <c r="K83" s="348">
        <f t="shared" si="87"/>
        <v>5.92</v>
      </c>
      <c r="L83" s="4">
        <f t="shared" si="88"/>
        <v>2.7407407407407405</v>
      </c>
      <c r="M83" s="348">
        <f t="shared" si="89"/>
        <v>0.42337458716123189</v>
      </c>
      <c r="N83" s="4">
        <f t="shared" si="90"/>
        <v>0.63306780476422264</v>
      </c>
      <c r="O83" s="4">
        <f t="shared" si="117"/>
        <v>6.2365339023821109</v>
      </c>
      <c r="P83" s="4">
        <f t="shared" si="118"/>
        <v>5.6034660976178889</v>
      </c>
      <c r="Q83" s="4">
        <f t="shared" si="91"/>
        <v>0</v>
      </c>
      <c r="R83" s="4">
        <f t="shared" si="119"/>
        <v>5.9228200971991161</v>
      </c>
      <c r="S83" s="348">
        <f t="shared" si="92"/>
        <v>0.12277929266325012</v>
      </c>
      <c r="T83" s="348">
        <f t="shared" si="93"/>
        <v>0.2</v>
      </c>
      <c r="U83" s="348">
        <f t="shared" si="94"/>
        <v>0.32598119187605534</v>
      </c>
      <c r="V83" s="4">
        <f t="shared" si="120"/>
        <v>0.1827509337479547</v>
      </c>
      <c r="W83" s="348">
        <f t="shared" si="121"/>
        <v>3.339790378574933E-5</v>
      </c>
      <c r="X83" s="348">
        <f t="shared" si="122"/>
        <v>3.339790378574933E-5</v>
      </c>
      <c r="Y83" s="4">
        <f t="shared" si="123"/>
        <v>2.9264278668692167</v>
      </c>
      <c r="Z83" s="348">
        <f t="shared" si="124"/>
        <v>8.5639800599887142E-3</v>
      </c>
      <c r="AA83" s="525">
        <f t="shared" si="125"/>
        <v>8.5639800599887142E-3</v>
      </c>
      <c r="AB83" s="348">
        <f t="shared" si="126"/>
        <v>3.8538156358620399</v>
      </c>
      <c r="AC83" s="348">
        <f t="shared" si="95"/>
        <v>0.17822273946257688</v>
      </c>
      <c r="AD83" s="348">
        <f t="shared" si="96"/>
        <v>0.59007830051813459</v>
      </c>
      <c r="AE83" s="348">
        <f t="shared" si="97"/>
        <v>0.71819999999999995</v>
      </c>
      <c r="AF83" s="348">
        <f t="shared" si="98"/>
        <v>0</v>
      </c>
      <c r="AG83" s="348">
        <f t="shared" si="99"/>
        <v>1.5323827560318257</v>
      </c>
      <c r="AH83" s="348">
        <f t="shared" si="100"/>
        <v>4.4975441019039497</v>
      </c>
      <c r="AI83" s="348">
        <f t="shared" si="101"/>
        <v>8.2934402089141115E-2</v>
      </c>
      <c r="AJ83" s="348">
        <f t="shared" si="102"/>
        <v>0.24366719999999997</v>
      </c>
      <c r="AK83" s="348">
        <f t="shared" si="103"/>
        <v>0.33107163887572666</v>
      </c>
      <c r="AL83" s="348">
        <f t="shared" si="104"/>
        <v>0.24366719999999997</v>
      </c>
      <c r="AM83" s="348">
        <f t="shared" si="105"/>
        <v>1.1002320000000001</v>
      </c>
      <c r="AN83" s="348">
        <f t="shared" si="106"/>
        <v>0.16136707035741443</v>
      </c>
      <c r="AO83" s="348">
        <f t="shared" si="107"/>
        <v>2.6400000000000001E-5</v>
      </c>
      <c r="AP83" s="348">
        <f t="shared" si="108"/>
        <v>0.34650000000000003</v>
      </c>
      <c r="AQ83" s="348">
        <f t="shared" si="109"/>
        <v>0.61836923076923067</v>
      </c>
      <c r="AR83" s="348">
        <f t="shared" si="110"/>
        <v>0.48509999999999998</v>
      </c>
      <c r="AS83" s="348">
        <f t="shared" si="133"/>
        <v>0.34652640000000001</v>
      </c>
      <c r="AT83" s="348">
        <f t="shared" si="111"/>
        <v>4.0498256351047965</v>
      </c>
      <c r="AU83">
        <f t="shared" si="112"/>
        <v>29.6</v>
      </c>
      <c r="AV83" s="526">
        <f t="shared" si="127"/>
        <v>0.8796479459055544</v>
      </c>
      <c r="AW83" s="534">
        <f t="shared" si="113"/>
        <v>94.858506793336687</v>
      </c>
      <c r="AX83" s="534">
        <f t="shared" si="114"/>
        <v>28.251831694242082</v>
      </c>
      <c r="AY83" s="9"/>
      <c r="AZ83" s="4">
        <f t="shared" si="128"/>
        <v>87.964794590555442</v>
      </c>
      <c r="BA83" s="348">
        <f t="shared" si="115"/>
        <v>0.32598119187605534</v>
      </c>
      <c r="BB83" s="348">
        <f t="shared" si="129"/>
        <v>2.9636863949075525</v>
      </c>
      <c r="BC83" s="348">
        <f t="shared" si="130"/>
        <v>2.2585358760318259</v>
      </c>
      <c r="BD83" s="348">
        <f t="shared" si="131"/>
        <v>0.69414819887572676</v>
      </c>
      <c r="BE83" s="348">
        <f t="shared" si="132"/>
        <v>0.16136707035741443</v>
      </c>
      <c r="BK83" s="18"/>
      <c r="BL83" s="19"/>
    </row>
    <row r="84" spans="1:64" x14ac:dyDescent="0.2">
      <c r="G84">
        <v>75</v>
      </c>
      <c r="H84" s="531">
        <f t="shared" si="85"/>
        <v>12</v>
      </c>
      <c r="I84" s="4">
        <f t="shared" si="86"/>
        <v>1</v>
      </c>
      <c r="J84" s="348">
        <f t="shared" si="116"/>
        <v>6</v>
      </c>
      <c r="K84" s="348">
        <f t="shared" si="87"/>
        <v>6</v>
      </c>
      <c r="L84" s="4">
        <f t="shared" si="88"/>
        <v>2.7777777777777777</v>
      </c>
      <c r="M84" s="348">
        <f t="shared" si="89"/>
        <v>0.4234653845511761</v>
      </c>
      <c r="N84" s="4">
        <f t="shared" si="90"/>
        <v>0.63308991582142282</v>
      </c>
      <c r="O84" s="4">
        <f t="shared" si="117"/>
        <v>6.3165449579107111</v>
      </c>
      <c r="P84" s="4">
        <f t="shared" si="118"/>
        <v>5.6834550420892889</v>
      </c>
      <c r="Q84" s="4">
        <f t="shared" si="91"/>
        <v>0</v>
      </c>
      <c r="R84" s="4">
        <f t="shared" si="119"/>
        <v>6.0027827077775271</v>
      </c>
      <c r="S84" s="348">
        <f t="shared" si="92"/>
        <v>0.12611690082877516</v>
      </c>
      <c r="T84" s="348">
        <f t="shared" si="93"/>
        <v>0.2</v>
      </c>
      <c r="U84" s="348">
        <f t="shared" si="94"/>
        <v>0.32944074448486765</v>
      </c>
      <c r="V84" s="4">
        <f t="shared" si="120"/>
        <v>0.18275731666036801</v>
      </c>
      <c r="W84" s="348">
        <f t="shared" si="121"/>
        <v>3.3400236792898026E-5</v>
      </c>
      <c r="X84" s="348">
        <f t="shared" si="122"/>
        <v>3.3400236792898026E-5</v>
      </c>
      <c r="Y84" s="4">
        <f t="shared" si="123"/>
        <v>2.9660213604593166</v>
      </c>
      <c r="Z84" s="348">
        <f t="shared" si="124"/>
        <v>8.7972827107009356E-3</v>
      </c>
      <c r="AA84" s="525">
        <f t="shared" si="125"/>
        <v>8.7972827107009356E-3</v>
      </c>
      <c r="AB84" s="348">
        <f t="shared" si="126"/>
        <v>3.9062639040341276</v>
      </c>
      <c r="AC84" s="348">
        <f t="shared" si="95"/>
        <v>0.18310677225551933</v>
      </c>
      <c r="AD84" s="348">
        <f t="shared" si="96"/>
        <v>0.59805233160621762</v>
      </c>
      <c r="AE84" s="348">
        <f t="shared" si="97"/>
        <v>0.71819999999999995</v>
      </c>
      <c r="AF84" s="348">
        <f t="shared" si="98"/>
        <v>0</v>
      </c>
      <c r="AG84" s="348">
        <f t="shared" si="99"/>
        <v>1.5469461654900127</v>
      </c>
      <c r="AH84" s="348">
        <f t="shared" si="100"/>
        <v>4.5579055002087259</v>
      </c>
      <c r="AI84" s="348">
        <f t="shared" si="101"/>
        <v>8.517546045021511E-2</v>
      </c>
      <c r="AJ84" s="348">
        <f t="shared" si="102"/>
        <v>0.24695999999999996</v>
      </c>
      <c r="AK84" s="348">
        <f t="shared" si="103"/>
        <v>0.33680579995462684</v>
      </c>
      <c r="AL84" s="348">
        <f t="shared" si="104"/>
        <v>0.24695999999999996</v>
      </c>
      <c r="AM84" s="348">
        <f t="shared" si="105"/>
        <v>1.1151</v>
      </c>
      <c r="AN84" s="348">
        <f t="shared" si="106"/>
        <v>0.16575364108924734</v>
      </c>
      <c r="AO84" s="348">
        <f t="shared" si="107"/>
        <v>2.6400000000000001E-5</v>
      </c>
      <c r="AP84" s="348">
        <f t="shared" si="108"/>
        <v>0.34650000000000003</v>
      </c>
      <c r="AQ84" s="348">
        <f t="shared" si="109"/>
        <v>0.61836923076923067</v>
      </c>
      <c r="AR84" s="348">
        <f t="shared" si="110"/>
        <v>0.48509999999999998</v>
      </c>
      <c r="AS84" s="348">
        <f t="shared" si="133"/>
        <v>0.34652640000000001</v>
      </c>
      <c r="AT84" s="348">
        <f t="shared" si="111"/>
        <v>4.0963634339662489</v>
      </c>
      <c r="AU84">
        <f t="shared" si="112"/>
        <v>30</v>
      </c>
      <c r="AV84" s="526">
        <f t="shared" si="127"/>
        <v>0.87985922774727598</v>
      </c>
      <c r="AW84" s="534">
        <f t="shared" si="113"/>
        <v>95.882310950580546</v>
      </c>
      <c r="AX84" s="534">
        <f t="shared" si="114"/>
        <v>28.684904158153316</v>
      </c>
      <c r="AY84" s="9"/>
      <c r="AZ84" s="4">
        <f t="shared" si="128"/>
        <v>87.985922774727598</v>
      </c>
      <c r="BA84" s="348">
        <f t="shared" si="115"/>
        <v>0.32944074448486765</v>
      </c>
      <c r="BB84" s="348">
        <f t="shared" si="129"/>
        <v>2.9988519654446395</v>
      </c>
      <c r="BC84" s="348">
        <f t="shared" si="130"/>
        <v>2.2829121654900129</v>
      </c>
      <c r="BD84" s="348">
        <f t="shared" si="131"/>
        <v>0.70478879995462684</v>
      </c>
      <c r="BE84" s="348">
        <f t="shared" si="132"/>
        <v>0.16575364108924734</v>
      </c>
      <c r="BK84" s="18"/>
      <c r="BL84" s="19"/>
    </row>
    <row r="85" spans="1:64" x14ac:dyDescent="0.2">
      <c r="G85">
        <v>76</v>
      </c>
      <c r="H85" s="531">
        <f t="shared" si="85"/>
        <v>12</v>
      </c>
      <c r="I85" s="4">
        <f t="shared" si="86"/>
        <v>1</v>
      </c>
      <c r="J85" s="348">
        <f t="shared" si="116"/>
        <v>6.08</v>
      </c>
      <c r="K85" s="348">
        <f t="shared" si="87"/>
        <v>6.08</v>
      </c>
      <c r="L85" s="4">
        <f t="shared" si="88"/>
        <v>2.8148148148148144</v>
      </c>
      <c r="M85" s="348">
        <f t="shared" si="89"/>
        <v>0.42355618594289646</v>
      </c>
      <c r="N85" s="4">
        <f t="shared" si="90"/>
        <v>0.63311198412056646</v>
      </c>
      <c r="O85" s="4">
        <f t="shared" si="117"/>
        <v>6.396555992060283</v>
      </c>
      <c r="P85" s="4">
        <f t="shared" si="118"/>
        <v>5.7634440079397171</v>
      </c>
      <c r="Q85" s="4">
        <f t="shared" si="91"/>
        <v>0</v>
      </c>
      <c r="R85" s="4">
        <f t="shared" si="119"/>
        <v>6.0827463012499345</v>
      </c>
      <c r="S85" s="348">
        <f t="shared" si="92"/>
        <v>0.12949930897879416</v>
      </c>
      <c r="T85" s="348">
        <f t="shared" si="93"/>
        <v>0.2</v>
      </c>
      <c r="U85" s="348">
        <f t="shared" si="94"/>
        <v>0.33294863846735034</v>
      </c>
      <c r="V85" s="4">
        <f t="shared" si="120"/>
        <v>0.18276368722959357</v>
      </c>
      <c r="W85" s="348">
        <f t="shared" si="121"/>
        <v>3.3402565369756704E-5</v>
      </c>
      <c r="X85" s="348">
        <f t="shared" si="122"/>
        <v>3.3402565369756704E-5</v>
      </c>
      <c r="Y85" s="4">
        <f t="shared" si="123"/>
        <v>3.0056174901177215</v>
      </c>
      <c r="Z85" s="348">
        <f t="shared" si="124"/>
        <v>9.0337364969015517E-3</v>
      </c>
      <c r="AA85" s="525">
        <f t="shared" si="125"/>
        <v>9.0337364969015517E-3</v>
      </c>
      <c r="AB85" s="348">
        <f t="shared" si="126"/>
        <v>3.9587239427911878</v>
      </c>
      <c r="AC85" s="348">
        <f t="shared" si="95"/>
        <v>0.18805794306273849</v>
      </c>
      <c r="AD85" s="348">
        <f t="shared" si="96"/>
        <v>0.60602636269430066</v>
      </c>
      <c r="AE85" s="348">
        <f t="shared" si="97"/>
        <v>0.71819999999999995</v>
      </c>
      <c r="AF85" s="348">
        <f t="shared" si="98"/>
        <v>0</v>
      </c>
      <c r="AG85" s="348">
        <f t="shared" si="99"/>
        <v>1.5616217692210042</v>
      </c>
      <c r="AH85" s="348">
        <f t="shared" si="100"/>
        <v>4.6182580384969336</v>
      </c>
      <c r="AI85" s="348">
        <f t="shared" si="101"/>
        <v>8.7446059971580323E-2</v>
      </c>
      <c r="AJ85" s="348">
        <f t="shared" si="102"/>
        <v>0.2502528</v>
      </c>
      <c r="AK85" s="348">
        <f t="shared" si="103"/>
        <v>0.34257584456940254</v>
      </c>
      <c r="AL85" s="348">
        <f t="shared" si="104"/>
        <v>0.2502528</v>
      </c>
      <c r="AM85" s="348">
        <f t="shared" si="105"/>
        <v>1.1299679999999999</v>
      </c>
      <c r="AN85" s="348">
        <f t="shared" si="106"/>
        <v>0.17019909180070089</v>
      </c>
      <c r="AO85" s="348">
        <f t="shared" si="107"/>
        <v>2.6400000000000001E-5</v>
      </c>
      <c r="AP85" s="348">
        <f t="shared" si="108"/>
        <v>0.34650000000000003</v>
      </c>
      <c r="AQ85" s="348">
        <f t="shared" si="109"/>
        <v>0.61836923076923067</v>
      </c>
      <c r="AR85" s="348">
        <f t="shared" si="110"/>
        <v>0.48509999999999998</v>
      </c>
      <c r="AS85" s="348">
        <f t="shared" si="133"/>
        <v>0.34652640000000001</v>
      </c>
      <c r="AT85" s="348">
        <f t="shared" si="111"/>
        <v>4.1431596831207296</v>
      </c>
      <c r="AU85">
        <f t="shared" si="112"/>
        <v>30.4</v>
      </c>
      <c r="AV85" s="526">
        <f t="shared" si="127"/>
        <v>0.88005846248207409</v>
      </c>
      <c r="AW85" s="534">
        <f t="shared" si="113"/>
        <v>96.910827267282173</v>
      </c>
      <c r="AX85" s="534">
        <f t="shared" si="114"/>
        <v>29.119437081974684</v>
      </c>
      <c r="AY85" s="9"/>
      <c r="AZ85" s="4">
        <f t="shared" si="128"/>
        <v>88.005846248207405</v>
      </c>
      <c r="BA85" s="348">
        <f t="shared" si="115"/>
        <v>0.33294863846735034</v>
      </c>
      <c r="BB85" s="348">
        <f t="shared" si="129"/>
        <v>3.0341656137904067</v>
      </c>
      <c r="BC85" s="348">
        <f t="shared" si="130"/>
        <v>2.307400649221004</v>
      </c>
      <c r="BD85" s="348">
        <f t="shared" si="131"/>
        <v>0.7154652845694025</v>
      </c>
      <c r="BE85" s="348">
        <f t="shared" si="132"/>
        <v>0.17019909180070089</v>
      </c>
      <c r="BK85" s="18"/>
      <c r="BL85" s="19"/>
    </row>
    <row r="86" spans="1:64" x14ac:dyDescent="0.2">
      <c r="G86">
        <v>77</v>
      </c>
      <c r="H86" s="531">
        <f t="shared" si="85"/>
        <v>12</v>
      </c>
      <c r="I86" s="4">
        <f t="shared" si="86"/>
        <v>1</v>
      </c>
      <c r="J86" s="348">
        <f t="shared" si="116"/>
        <v>6.16</v>
      </c>
      <c r="K86" s="348">
        <f t="shared" si="87"/>
        <v>6.16</v>
      </c>
      <c r="L86" s="4">
        <f t="shared" si="88"/>
        <v>2.8518518518518516</v>
      </c>
      <c r="M86" s="348">
        <f t="shared" si="89"/>
        <v>0.42364699133665762</v>
      </c>
      <c r="N86" s="4">
        <f t="shared" si="90"/>
        <v>0.6331340096588266</v>
      </c>
      <c r="O86" s="4">
        <f t="shared" si="117"/>
        <v>6.4765670048294135</v>
      </c>
      <c r="P86" s="4">
        <f t="shared" si="118"/>
        <v>5.8434329951705868</v>
      </c>
      <c r="Q86" s="4">
        <f t="shared" si="91"/>
        <v>0</v>
      </c>
      <c r="R86" s="4">
        <f t="shared" si="119"/>
        <v>6.1627108393559693</v>
      </c>
      <c r="S86" s="348">
        <f t="shared" si="92"/>
        <v>0.13292651711330444</v>
      </c>
      <c r="T86" s="348">
        <f t="shared" si="93"/>
        <v>0.2</v>
      </c>
      <c r="U86" s="348">
        <f t="shared" si="94"/>
        <v>0.33650495161001653</v>
      </c>
      <c r="V86" s="4">
        <f t="shared" si="120"/>
        <v>0.18277004545481534</v>
      </c>
      <c r="W86" s="348">
        <f t="shared" si="121"/>
        <v>3.3404889515555263E-5</v>
      </c>
      <c r="X86" s="348">
        <f t="shared" si="122"/>
        <v>3.3404889515555263E-5</v>
      </c>
      <c r="Y86" s="4">
        <f t="shared" si="123"/>
        <v>3.0452162330252941</v>
      </c>
      <c r="Z86" s="348">
        <f t="shared" si="124"/>
        <v>9.2733419058807637E-3</v>
      </c>
      <c r="AA86" s="525">
        <f t="shared" si="125"/>
        <v>9.2733419058807637E-3</v>
      </c>
      <c r="AB86" s="348">
        <f t="shared" si="126"/>
        <v>4.0111957263892615</v>
      </c>
      <c r="AC86" s="348">
        <f t="shared" si="95"/>
        <v>0.19307629386484171</v>
      </c>
      <c r="AD86" s="348">
        <f t="shared" si="96"/>
        <v>0.61400039378238347</v>
      </c>
      <c r="AE86" s="348">
        <f t="shared" si="97"/>
        <v>0.71819999999999995</v>
      </c>
      <c r="AF86" s="348">
        <f t="shared" si="98"/>
        <v>0</v>
      </c>
      <c r="AG86" s="348">
        <f t="shared" si="99"/>
        <v>1.5764104246920101</v>
      </c>
      <c r="AH86" s="348">
        <f t="shared" si="100"/>
        <v>4.6786016857723718</v>
      </c>
      <c r="AI86" s="348">
        <f t="shared" si="101"/>
        <v>8.9746186309859519E-2</v>
      </c>
      <c r="AJ86" s="348">
        <f t="shared" si="102"/>
        <v>0.25354559999999998</v>
      </c>
      <c r="AK86" s="348">
        <f t="shared" si="103"/>
        <v>0.34838188220590932</v>
      </c>
      <c r="AL86" s="348">
        <f t="shared" si="104"/>
        <v>0.25354559999999998</v>
      </c>
      <c r="AM86" s="348">
        <f t="shared" si="105"/>
        <v>1.1448359999999997</v>
      </c>
      <c r="AN86" s="348">
        <f t="shared" si="106"/>
        <v>0.17470342249177157</v>
      </c>
      <c r="AO86" s="348">
        <f t="shared" si="107"/>
        <v>2.6400000000000001E-5</v>
      </c>
      <c r="AP86" s="348">
        <f t="shared" si="108"/>
        <v>0.34650000000000003</v>
      </c>
      <c r="AQ86" s="348">
        <f t="shared" si="109"/>
        <v>0.61836923076923067</v>
      </c>
      <c r="AR86" s="348">
        <f t="shared" si="110"/>
        <v>0.48509999999999998</v>
      </c>
      <c r="AS86" s="348">
        <f t="shared" si="133"/>
        <v>0.34652640000000001</v>
      </c>
      <c r="AT86" s="348">
        <f t="shared" si="111"/>
        <v>4.1902154277951036</v>
      </c>
      <c r="AU86">
        <f t="shared" si="112"/>
        <v>30.8</v>
      </c>
      <c r="AV86" s="526">
        <f t="shared" si="127"/>
        <v>0.8802460808953313</v>
      </c>
      <c r="AW86" s="534">
        <f t="shared" si="113"/>
        <v>97.944091757064413</v>
      </c>
      <c r="AX86" s="534">
        <f t="shared" si="114"/>
        <v>29.55543492178051</v>
      </c>
      <c r="AY86" s="9"/>
      <c r="AZ86" s="4">
        <f t="shared" si="128"/>
        <v>88.024608089533132</v>
      </c>
      <c r="BA86" s="348">
        <f t="shared" si="115"/>
        <v>0.33650495161001653</v>
      </c>
      <c r="BB86" s="348">
        <f t="shared" si="129"/>
        <v>3.0696283068979193</v>
      </c>
      <c r="BC86" s="348">
        <f t="shared" si="130"/>
        <v>2.3320021846920098</v>
      </c>
      <c r="BD86" s="348">
        <f t="shared" si="131"/>
        <v>0.72617776220590924</v>
      </c>
      <c r="BE86" s="348">
        <f t="shared" si="132"/>
        <v>0.17470342249177157</v>
      </c>
      <c r="BK86" s="18"/>
      <c r="BL86" s="19"/>
    </row>
    <row r="87" spans="1:64" x14ac:dyDescent="0.2">
      <c r="G87">
        <v>78</v>
      </c>
      <c r="H87" s="531">
        <f t="shared" si="85"/>
        <v>12</v>
      </c>
      <c r="I87" s="4">
        <f t="shared" si="86"/>
        <v>1</v>
      </c>
      <c r="J87" s="348">
        <f t="shared" si="116"/>
        <v>6.24</v>
      </c>
      <c r="K87" s="348">
        <f t="shared" si="87"/>
        <v>6.24</v>
      </c>
      <c r="L87" s="4">
        <f t="shared" si="88"/>
        <v>2.8888888888888888</v>
      </c>
      <c r="M87" s="348">
        <f t="shared" si="89"/>
        <v>0.42373780073272405</v>
      </c>
      <c r="N87" s="4">
        <f t="shared" si="90"/>
        <v>0.6331559924333765</v>
      </c>
      <c r="O87" s="4">
        <f t="shared" si="117"/>
        <v>6.5565779962166886</v>
      </c>
      <c r="P87" s="4">
        <f t="shared" si="118"/>
        <v>5.9234220037833119</v>
      </c>
      <c r="Q87" s="4">
        <f t="shared" si="91"/>
        <v>0</v>
      </c>
      <c r="R87" s="4">
        <f t="shared" si="119"/>
        <v>6.2426762857951816</v>
      </c>
      <c r="S87" s="348">
        <f t="shared" si="92"/>
        <v>0.13639852523230334</v>
      </c>
      <c r="T87" s="348">
        <f t="shared" si="93"/>
        <v>0.2</v>
      </c>
      <c r="U87" s="348">
        <f t="shared" si="94"/>
        <v>0.34010976283775762</v>
      </c>
      <c r="V87" s="4">
        <f t="shared" si="120"/>
        <v>0.18277639133521731</v>
      </c>
      <c r="W87" s="348">
        <f t="shared" si="121"/>
        <v>3.3407209229524508E-5</v>
      </c>
      <c r="X87" s="348">
        <f t="shared" si="122"/>
        <v>3.3407209229524508E-5</v>
      </c>
      <c r="Y87" s="4">
        <f t="shared" si="123"/>
        <v>3.0848175673288925</v>
      </c>
      <c r="Z87" s="348">
        <f t="shared" si="124"/>
        <v>9.5160994237009459E-3</v>
      </c>
      <c r="AA87" s="525">
        <f t="shared" si="125"/>
        <v>9.5160994237009459E-3</v>
      </c>
      <c r="AB87" s="348">
        <f t="shared" si="126"/>
        <v>4.0636792303500107</v>
      </c>
      <c r="AC87" s="348">
        <f t="shared" si="95"/>
        <v>0.19816186664613666</v>
      </c>
      <c r="AD87" s="348">
        <f t="shared" si="96"/>
        <v>0.62197442487046628</v>
      </c>
      <c r="AE87" s="348">
        <f t="shared" si="97"/>
        <v>0.71819999999999995</v>
      </c>
      <c r="AF87" s="348">
        <f t="shared" si="98"/>
        <v>0</v>
      </c>
      <c r="AG87" s="348">
        <f t="shared" si="99"/>
        <v>1.5913130006954639</v>
      </c>
      <c r="AH87" s="348">
        <f t="shared" si="100"/>
        <v>4.7389364125351454</v>
      </c>
      <c r="AI87" s="348">
        <f t="shared" si="101"/>
        <v>9.2075825120411028E-2</v>
      </c>
      <c r="AJ87" s="348">
        <f t="shared" si="102"/>
        <v>0.25683839999999997</v>
      </c>
      <c r="AK87" s="348">
        <f t="shared" si="103"/>
        <v>0.35422402351307997</v>
      </c>
      <c r="AL87" s="348">
        <f t="shared" si="104"/>
        <v>0.25683839999999997</v>
      </c>
      <c r="AM87" s="348">
        <f t="shared" si="105"/>
        <v>1.1597039999999998</v>
      </c>
      <c r="AN87" s="348">
        <f t="shared" si="106"/>
        <v>0.17926663316245581</v>
      </c>
      <c r="AO87" s="348">
        <f t="shared" si="107"/>
        <v>2.6400000000000001E-5</v>
      </c>
      <c r="AP87" s="348">
        <f t="shared" si="108"/>
        <v>0.34650000000000003</v>
      </c>
      <c r="AQ87" s="348">
        <f t="shared" si="109"/>
        <v>0.61836923076923067</v>
      </c>
      <c r="AR87" s="348">
        <f t="shared" si="110"/>
        <v>0.48509999999999998</v>
      </c>
      <c r="AS87" s="348">
        <f t="shared" si="133"/>
        <v>0.34652640000000001</v>
      </c>
      <c r="AT87" s="348">
        <f t="shared" si="111"/>
        <v>4.2375317268416879</v>
      </c>
      <c r="AU87">
        <f t="shared" si="112"/>
        <v>31.200000000000003</v>
      </c>
      <c r="AV87" s="526">
        <f t="shared" si="127"/>
        <v>0.88042249218976998</v>
      </c>
      <c r="AW87" s="534">
        <f t="shared" si="113"/>
        <v>98.982140909209491</v>
      </c>
      <c r="AX87" s="534">
        <f t="shared" si="114"/>
        <v>29.992902180982355</v>
      </c>
      <c r="AY87" s="9"/>
      <c r="AZ87" s="4">
        <f t="shared" si="128"/>
        <v>88.042249218976991</v>
      </c>
      <c r="BA87" s="348">
        <f t="shared" si="115"/>
        <v>0.34010976283775762</v>
      </c>
      <c r="BB87" s="348">
        <f t="shared" si="129"/>
        <v>3.105241024208544</v>
      </c>
      <c r="BC87" s="348">
        <f t="shared" si="130"/>
        <v>2.356717640695464</v>
      </c>
      <c r="BD87" s="348">
        <f t="shared" si="131"/>
        <v>0.73692634351307995</v>
      </c>
      <c r="BE87" s="348">
        <f t="shared" si="132"/>
        <v>0.17926663316245581</v>
      </c>
      <c r="BK87" s="18"/>
      <c r="BL87" s="19"/>
    </row>
    <row r="88" spans="1:64" x14ac:dyDescent="0.2">
      <c r="G88">
        <v>79</v>
      </c>
      <c r="H88" s="531">
        <f t="shared" si="85"/>
        <v>12</v>
      </c>
      <c r="I88" s="4">
        <f t="shared" si="86"/>
        <v>1</v>
      </c>
      <c r="J88" s="348">
        <f t="shared" si="116"/>
        <v>6.32</v>
      </c>
      <c r="K88" s="348">
        <f t="shared" si="87"/>
        <v>6.32</v>
      </c>
      <c r="L88" s="4">
        <f t="shared" si="88"/>
        <v>2.925925925925926</v>
      </c>
      <c r="M88" s="348">
        <f t="shared" si="89"/>
        <v>0.42382861413136036</v>
      </c>
      <c r="N88" s="4">
        <f t="shared" si="90"/>
        <v>0.63317793244138831</v>
      </c>
      <c r="O88" s="4">
        <f t="shared" si="117"/>
        <v>6.6365889662206943</v>
      </c>
      <c r="P88" s="4">
        <f t="shared" si="118"/>
        <v>6.0034110337793063</v>
      </c>
      <c r="Q88" s="4">
        <f t="shared" si="91"/>
        <v>0</v>
      </c>
      <c r="R88" s="4">
        <f t="shared" si="119"/>
        <v>6.3226426061031553</v>
      </c>
      <c r="S88" s="348">
        <f t="shared" si="92"/>
        <v>0.13991533333578815</v>
      </c>
      <c r="T88" s="348">
        <f t="shared" si="93"/>
        <v>0.2</v>
      </c>
      <c r="U88" s="348">
        <f t="shared" si="94"/>
        <v>0.34376315221828274</v>
      </c>
      <c r="V88" s="4">
        <f t="shared" si="120"/>
        <v>0.18278272486998312</v>
      </c>
      <c r="W88" s="348">
        <f t="shared" si="121"/>
        <v>3.340952451089595E-5</v>
      </c>
      <c r="X88" s="348">
        <f t="shared" si="122"/>
        <v>3.340952451089595E-5</v>
      </c>
      <c r="Y88" s="4">
        <f t="shared" si="123"/>
        <v>3.1244214720802943</v>
      </c>
      <c r="Z88" s="348">
        <f t="shared" si="124"/>
        <v>9.7620095351963927E-3</v>
      </c>
      <c r="AA88" s="525">
        <f t="shared" si="125"/>
        <v>9.7620095351963927E-3</v>
      </c>
      <c r="AB88" s="348">
        <f t="shared" si="126"/>
        <v>4.116174431380756</v>
      </c>
      <c r="AC88" s="348">
        <f t="shared" si="95"/>
        <v>0.20331470339463226</v>
      </c>
      <c r="AD88" s="348">
        <f t="shared" si="96"/>
        <v>0.6299484559585492</v>
      </c>
      <c r="AE88" s="348">
        <f t="shared" si="97"/>
        <v>0.71819999999999995</v>
      </c>
      <c r="AF88" s="348">
        <f t="shared" si="98"/>
        <v>0</v>
      </c>
      <c r="AG88" s="348">
        <f t="shared" si="99"/>
        <v>1.6063303775083402</v>
      </c>
      <c r="AH88" s="348">
        <f t="shared" si="100"/>
        <v>4.7992621906870445</v>
      </c>
      <c r="AI88" s="348">
        <f t="shared" si="101"/>
        <v>9.4434962057328639E-2</v>
      </c>
      <c r="AJ88" s="348">
        <f t="shared" si="102"/>
        <v>0.26013120000000001</v>
      </c>
      <c r="AK88" s="348">
        <f t="shared" si="103"/>
        <v>0.36010238030967595</v>
      </c>
      <c r="AL88" s="348">
        <f t="shared" si="104"/>
        <v>0.26013120000000001</v>
      </c>
      <c r="AM88" s="348">
        <f t="shared" si="105"/>
        <v>1.1745719999999999</v>
      </c>
      <c r="AN88" s="348">
        <f t="shared" si="106"/>
        <v>0.18388872381275015</v>
      </c>
      <c r="AO88" s="348">
        <f t="shared" si="107"/>
        <v>2.6400000000000001E-5</v>
      </c>
      <c r="AP88" s="348">
        <f t="shared" si="108"/>
        <v>0.34650000000000003</v>
      </c>
      <c r="AQ88" s="348">
        <f t="shared" si="109"/>
        <v>0.61836923076923067</v>
      </c>
      <c r="AR88" s="348">
        <f t="shared" si="110"/>
        <v>0.48509999999999998</v>
      </c>
      <c r="AS88" s="348">
        <f t="shared" si="133"/>
        <v>0.34652640000000001</v>
      </c>
      <c r="AT88" s="348">
        <f t="shared" si="111"/>
        <v>4.2851096529087558</v>
      </c>
      <c r="AU88">
        <f t="shared" si="112"/>
        <v>31.6</v>
      </c>
      <c r="AV88" s="526">
        <f t="shared" si="127"/>
        <v>0.88058808529901156</v>
      </c>
      <c r="AW88" s="534">
        <f t="shared" si="113"/>
        <v>100.02501169535027</v>
      </c>
      <c r="AX88" s="534">
        <f t="shared" si="114"/>
        <v>30.431843410603811</v>
      </c>
      <c r="AY88" s="9"/>
      <c r="AZ88" s="4">
        <f t="shared" si="128"/>
        <v>88.058808529901157</v>
      </c>
      <c r="BA88" s="348">
        <f t="shared" si="115"/>
        <v>0.34376315221828274</v>
      </c>
      <c r="BB88" s="348">
        <f t="shared" si="129"/>
        <v>3.141004757818016</v>
      </c>
      <c r="BC88" s="348">
        <f t="shared" si="130"/>
        <v>2.38154789750834</v>
      </c>
      <c r="BD88" s="348">
        <f t="shared" si="131"/>
        <v>0.74771114030967589</v>
      </c>
      <c r="BE88" s="348">
        <f t="shared" si="132"/>
        <v>0.18388872381275015</v>
      </c>
      <c r="BK88" s="18"/>
      <c r="BL88" s="19"/>
    </row>
    <row r="89" spans="1:64" x14ac:dyDescent="0.2">
      <c r="G89">
        <v>80</v>
      </c>
      <c r="H89" s="531">
        <f t="shared" si="85"/>
        <v>12</v>
      </c>
      <c r="I89" s="4">
        <f t="shared" si="86"/>
        <v>1</v>
      </c>
      <c r="J89" s="348">
        <f t="shared" si="116"/>
        <v>6.4</v>
      </c>
      <c r="K89" s="348">
        <f t="shared" si="87"/>
        <v>6.4</v>
      </c>
      <c r="L89" s="4">
        <f t="shared" si="88"/>
        <v>2.9629629629629628</v>
      </c>
      <c r="M89" s="348">
        <f t="shared" si="89"/>
        <v>0.42391943153283113</v>
      </c>
      <c r="N89" s="4">
        <f t="shared" si="90"/>
        <v>0.63319982968003485</v>
      </c>
      <c r="O89" s="4">
        <f t="shared" si="117"/>
        <v>6.7165999148400175</v>
      </c>
      <c r="P89" s="4">
        <f t="shared" si="118"/>
        <v>6.0834000851599832</v>
      </c>
      <c r="Q89" s="4">
        <f t="shared" si="91"/>
        <v>0</v>
      </c>
      <c r="R89" s="4">
        <f t="shared" si="119"/>
        <v>6.4026097675368998</v>
      </c>
      <c r="S89" s="348">
        <f t="shared" si="92"/>
        <v>0.14347694142375619</v>
      </c>
      <c r="T89" s="348">
        <f t="shared" si="93"/>
        <v>0.2</v>
      </c>
      <c r="U89" s="348">
        <f t="shared" si="94"/>
        <v>0.34746520096662675</v>
      </c>
      <c r="V89" s="4">
        <f t="shared" si="120"/>
        <v>0.18278904605829666</v>
      </c>
      <c r="W89" s="348">
        <f t="shared" si="121"/>
        <v>3.3411835358902097E-5</v>
      </c>
      <c r="X89" s="348">
        <f t="shared" si="122"/>
        <v>3.3411835358902097E-5</v>
      </c>
      <c r="Y89" s="4">
        <f t="shared" si="123"/>
        <v>3.1640279271796916</v>
      </c>
      <c r="Z89" s="348">
        <f t="shared" si="124"/>
        <v>1.0011072723973016E-2</v>
      </c>
      <c r="AA89" s="525">
        <f t="shared" si="125"/>
        <v>1.0011072723973016E-2</v>
      </c>
      <c r="AB89" s="348">
        <f t="shared" si="126"/>
        <v>4.1686813073004974</v>
      </c>
      <c r="AC89" s="348">
        <f t="shared" si="95"/>
        <v>0.20853484610203901</v>
      </c>
      <c r="AD89" s="348">
        <f t="shared" si="96"/>
        <v>0.63792248704663224</v>
      </c>
      <c r="AE89" s="348">
        <f t="shared" si="97"/>
        <v>0.71819999999999995</v>
      </c>
      <c r="AF89" s="348">
        <f t="shared" si="98"/>
        <v>0</v>
      </c>
      <c r="AG89" s="348">
        <f t="shared" si="99"/>
        <v>1.6214634470544573</v>
      </c>
      <c r="AH89" s="348">
        <f t="shared" si="100"/>
        <v>4.8595789934440132</v>
      </c>
      <c r="AI89" s="348">
        <f t="shared" si="101"/>
        <v>9.6823582773441538E-2</v>
      </c>
      <c r="AJ89" s="348">
        <f t="shared" si="102"/>
        <v>0.26342399999999999</v>
      </c>
      <c r="AK89" s="348">
        <f t="shared" si="103"/>
        <v>0.36601706559113328</v>
      </c>
      <c r="AL89" s="348">
        <f t="shared" si="104"/>
        <v>0.26342399999999999</v>
      </c>
      <c r="AM89" s="348">
        <f t="shared" si="105"/>
        <v>1.1894400000000001</v>
      </c>
      <c r="AN89" s="348">
        <f t="shared" si="106"/>
        <v>0.18856969444265101</v>
      </c>
      <c r="AO89" s="348">
        <f t="shared" si="107"/>
        <v>2.6400000000000001E-5</v>
      </c>
      <c r="AP89" s="348">
        <f t="shared" si="108"/>
        <v>0.34650000000000003</v>
      </c>
      <c r="AQ89" s="348">
        <f t="shared" si="109"/>
        <v>0.61836923076923067</v>
      </c>
      <c r="AR89" s="348">
        <f t="shared" si="110"/>
        <v>0.48509999999999998</v>
      </c>
      <c r="AS89" s="348">
        <f t="shared" si="133"/>
        <v>0.34652640000000001</v>
      </c>
      <c r="AT89" s="348">
        <f t="shared" si="111"/>
        <v>4.3329502926142007</v>
      </c>
      <c r="AU89">
        <f t="shared" si="112"/>
        <v>32</v>
      </c>
      <c r="AV89" s="526">
        <f t="shared" si="127"/>
        <v>0.88074323010606137</v>
      </c>
      <c r="AW89" s="534">
        <f t="shared" si="113"/>
        <v>101.07274157628721</v>
      </c>
      <c r="AX89" s="534">
        <f t="shared" si="114"/>
        <v>30.872263209559126</v>
      </c>
      <c r="AY89" s="9"/>
      <c r="AZ89" s="4">
        <f t="shared" si="128"/>
        <v>88.074323010606136</v>
      </c>
      <c r="BA89" s="348">
        <f t="shared" si="115"/>
        <v>0.34746520096662675</v>
      </c>
      <c r="BB89" s="348">
        <f t="shared" si="129"/>
        <v>3.1769205126455908</v>
      </c>
      <c r="BC89" s="348">
        <f t="shared" si="130"/>
        <v>2.4064938470544575</v>
      </c>
      <c r="BD89" s="348">
        <f t="shared" si="131"/>
        <v>0.75853226559113329</v>
      </c>
      <c r="BE89" s="348">
        <f t="shared" si="132"/>
        <v>0.18856969444265101</v>
      </c>
      <c r="BK89" s="18"/>
      <c r="BL89" s="19"/>
    </row>
    <row r="90" spans="1:64" x14ac:dyDescent="0.2">
      <c r="G90">
        <v>81</v>
      </c>
      <c r="H90" s="531">
        <f t="shared" si="85"/>
        <v>12</v>
      </c>
      <c r="I90" s="4">
        <f t="shared" si="86"/>
        <v>1</v>
      </c>
      <c r="J90" s="348">
        <f t="shared" si="116"/>
        <v>6.48</v>
      </c>
      <c r="K90" s="348">
        <f t="shared" si="87"/>
        <v>6.48</v>
      </c>
      <c r="L90" s="4">
        <f t="shared" si="88"/>
        <v>3.0000000000000004</v>
      </c>
      <c r="M90" s="348">
        <f t="shared" si="89"/>
        <v>0.42401025293740108</v>
      </c>
      <c r="N90" s="4">
        <f t="shared" si="90"/>
        <v>0.63322168414648805</v>
      </c>
      <c r="O90" s="4">
        <f t="shared" si="117"/>
        <v>6.7966108420732443</v>
      </c>
      <c r="P90" s="4">
        <f t="shared" si="118"/>
        <v>6.1633891579267566</v>
      </c>
      <c r="Q90" s="4">
        <f t="shared" si="91"/>
        <v>0</v>
      </c>
      <c r="R90" s="4">
        <f t="shared" si="119"/>
        <v>6.4825777389687183</v>
      </c>
      <c r="S90" s="348">
        <f t="shared" si="92"/>
        <v>0.14708334949620475</v>
      </c>
      <c r="T90" s="348">
        <f t="shared" si="93"/>
        <v>0.2</v>
      </c>
      <c r="U90" s="348">
        <f t="shared" si="94"/>
        <v>0.35121599144972931</v>
      </c>
      <c r="V90" s="4">
        <f t="shared" si="120"/>
        <v>0.18279535489934154</v>
      </c>
      <c r="W90" s="348">
        <f t="shared" si="121"/>
        <v>3.3414141772776226E-5</v>
      </c>
      <c r="X90" s="348">
        <f t="shared" si="122"/>
        <v>3.3414141772776226E-5</v>
      </c>
      <c r="Y90" s="4">
        <f t="shared" si="123"/>
        <v>3.2036369133233702</v>
      </c>
      <c r="Z90" s="348">
        <f t="shared" si="124"/>
        <v>1.0263289472408092E-2</v>
      </c>
      <c r="AA90" s="525">
        <f t="shared" si="125"/>
        <v>1.0263289472408092E-2</v>
      </c>
      <c r="AB90" s="348">
        <f t="shared" si="126"/>
        <v>4.2211998369714046</v>
      </c>
      <c r="AC90" s="348">
        <f t="shared" si="95"/>
        <v>0.21382233676376897</v>
      </c>
      <c r="AD90" s="348">
        <f t="shared" si="96"/>
        <v>0.64589651813471505</v>
      </c>
      <c r="AE90" s="348">
        <f t="shared" si="97"/>
        <v>0.71819999999999995</v>
      </c>
      <c r="AF90" s="348">
        <f t="shared" si="98"/>
        <v>0</v>
      </c>
      <c r="AG90" s="348">
        <f t="shared" si="99"/>
        <v>1.6367131130698311</v>
      </c>
      <c r="AH90" s="348">
        <f t="shared" si="100"/>
        <v>4.9198867952550867</v>
      </c>
      <c r="AI90" s="348">
        <f t="shared" si="101"/>
        <v>9.9241672920313995E-2</v>
      </c>
      <c r="AJ90" s="348">
        <f t="shared" si="102"/>
        <v>0.26671679999999998</v>
      </c>
      <c r="AK90" s="348">
        <f t="shared" si="103"/>
        <v>0.37196819353650679</v>
      </c>
      <c r="AL90" s="348">
        <f t="shared" si="104"/>
        <v>0.26671679999999998</v>
      </c>
      <c r="AM90" s="348">
        <f t="shared" si="105"/>
        <v>1.2043080000000002</v>
      </c>
      <c r="AN90" s="348">
        <f t="shared" si="106"/>
        <v>0.19330954505215478</v>
      </c>
      <c r="AO90" s="348">
        <f t="shared" si="107"/>
        <v>2.6400000000000001E-5</v>
      </c>
      <c r="AP90" s="348">
        <f t="shared" si="108"/>
        <v>0.34650000000000003</v>
      </c>
      <c r="AQ90" s="348">
        <f t="shared" si="109"/>
        <v>0.61836923076923067</v>
      </c>
      <c r="AR90" s="348">
        <f t="shared" si="110"/>
        <v>0.48509999999999998</v>
      </c>
      <c r="AS90" s="348">
        <f t="shared" si="133"/>
        <v>0.34652640000000001</v>
      </c>
      <c r="AT90" s="348">
        <f t="shared" si="111"/>
        <v>4.3810547467224028</v>
      </c>
      <c r="AU90">
        <f t="shared" si="112"/>
        <v>32.400000000000006</v>
      </c>
      <c r="AV90" s="526">
        <f t="shared" si="127"/>
        <v>0.88088827857464302</v>
      </c>
      <c r="AW90" s="534">
        <f t="shared" si="113"/>
        <v>102.12536850893292</v>
      </c>
      <c r="AX90" s="534">
        <f t="shared" si="114"/>
        <v>31.314166224935828</v>
      </c>
      <c r="AY90" s="9"/>
      <c r="AZ90" s="4">
        <f t="shared" si="128"/>
        <v>88.08882785746431</v>
      </c>
      <c r="BA90" s="348">
        <f t="shared" si="115"/>
        <v>0.35121599144972931</v>
      </c>
      <c r="BB90" s="348">
        <f t="shared" si="129"/>
        <v>3.212989306606338</v>
      </c>
      <c r="BC90" s="348">
        <f t="shared" si="130"/>
        <v>2.4315563930698314</v>
      </c>
      <c r="BD90" s="348">
        <f t="shared" si="131"/>
        <v>0.76938983353650681</v>
      </c>
      <c r="BE90" s="348">
        <f t="shared" si="132"/>
        <v>0.19330954505215478</v>
      </c>
      <c r="BK90" s="18"/>
      <c r="BL90" s="19"/>
    </row>
    <row r="91" spans="1:64" x14ac:dyDescent="0.2">
      <c r="G91">
        <v>82</v>
      </c>
      <c r="H91" s="531">
        <f t="shared" si="85"/>
        <v>12</v>
      </c>
      <c r="I91" s="4">
        <f t="shared" si="86"/>
        <v>1</v>
      </c>
      <c r="J91" s="348">
        <f t="shared" si="116"/>
        <v>6.56</v>
      </c>
      <c r="K91" s="348">
        <f t="shared" si="87"/>
        <v>6.56</v>
      </c>
      <c r="L91" s="4">
        <f t="shared" si="88"/>
        <v>3.0370370370370368</v>
      </c>
      <c r="M91" s="348">
        <f t="shared" si="89"/>
        <v>0.424101078345335</v>
      </c>
      <c r="N91" s="4">
        <f t="shared" si="90"/>
        <v>0.63324349583792017</v>
      </c>
      <c r="O91" s="4">
        <f t="shared" si="117"/>
        <v>6.8766217479189597</v>
      </c>
      <c r="P91" s="4">
        <f t="shared" si="118"/>
        <v>6.2433782520810395</v>
      </c>
      <c r="Q91" s="4">
        <f t="shared" si="91"/>
        <v>0</v>
      </c>
      <c r="R91" s="4">
        <f t="shared" si="119"/>
        <v>6.5625464907878364</v>
      </c>
      <c r="S91" s="348">
        <f t="shared" si="92"/>
        <v>0.15073455755313112</v>
      </c>
      <c r="T91" s="348">
        <f t="shared" si="93"/>
        <v>0.2</v>
      </c>
      <c r="U91" s="348">
        <f t="shared" si="94"/>
        <v>0.35501560719108344</v>
      </c>
      <c r="V91" s="4">
        <f t="shared" si="120"/>
        <v>0.18280165139230145</v>
      </c>
      <c r="W91" s="348">
        <f t="shared" si="121"/>
        <v>3.3416443751752507E-5</v>
      </c>
      <c r="X91" s="348">
        <f t="shared" si="122"/>
        <v>3.3416443751752507E-5</v>
      </c>
      <c r="Y91" s="4">
        <f t="shared" si="123"/>
        <v>3.2432484119552081</v>
      </c>
      <c r="Z91" s="348">
        <f t="shared" si="124"/>
        <v>1.0518660261649979E-2</v>
      </c>
      <c r="AA91" s="525">
        <f t="shared" si="125"/>
        <v>1.0518660261649979E-2</v>
      </c>
      <c r="AB91" s="348">
        <f t="shared" si="126"/>
        <v>4.2737300002353198</v>
      </c>
      <c r="AC91" s="348">
        <f t="shared" si="95"/>
        <v>0.21917721737893664</v>
      </c>
      <c r="AD91" s="348">
        <f t="shared" si="96"/>
        <v>0.65387054922279797</v>
      </c>
      <c r="AE91" s="348">
        <f t="shared" si="97"/>
        <v>0.71819999999999995</v>
      </c>
      <c r="AF91" s="348">
        <f t="shared" si="98"/>
        <v>0</v>
      </c>
      <c r="AG91" s="348">
        <f t="shared" si="99"/>
        <v>1.6520802912711361</v>
      </c>
      <c r="AH91" s="348">
        <f t="shared" si="100"/>
        <v>4.9801855717272581</v>
      </c>
      <c r="AI91" s="348">
        <f t="shared" si="101"/>
        <v>0.10168921814824544</v>
      </c>
      <c r="AJ91" s="348">
        <f t="shared" si="102"/>
        <v>0.27000959999999996</v>
      </c>
      <c r="AK91" s="348">
        <f t="shared" si="103"/>
        <v>0.37795587951551068</v>
      </c>
      <c r="AL91" s="348">
        <f t="shared" si="104"/>
        <v>0.27000959999999996</v>
      </c>
      <c r="AM91" s="348">
        <f t="shared" si="105"/>
        <v>1.219176</v>
      </c>
      <c r="AN91" s="348">
        <f t="shared" si="106"/>
        <v>0.19810827564125805</v>
      </c>
      <c r="AO91" s="348">
        <f t="shared" si="107"/>
        <v>2.6400000000000001E-5</v>
      </c>
      <c r="AP91" s="348">
        <f t="shared" si="108"/>
        <v>0.34650000000000003</v>
      </c>
      <c r="AQ91" s="348">
        <f t="shared" si="109"/>
        <v>0.61836923076923067</v>
      </c>
      <c r="AR91" s="348">
        <f t="shared" si="110"/>
        <v>0.48509999999999998</v>
      </c>
      <c r="AS91" s="348">
        <f t="shared" si="133"/>
        <v>0.34652640000000001</v>
      </c>
      <c r="AT91" s="348">
        <f t="shared" si="111"/>
        <v>4.4294241303243895</v>
      </c>
      <c r="AU91">
        <f t="shared" si="112"/>
        <v>32.799999999999997</v>
      </c>
      <c r="AV91" s="526">
        <f t="shared" si="127"/>
        <v>0.88102356580056518</v>
      </c>
      <c r="AW91" s="534">
        <f t="shared" si="113"/>
        <v>103.18293095338773</v>
      </c>
      <c r="AX91" s="534">
        <f t="shared" si="114"/>
        <v>31.757557152281287</v>
      </c>
      <c r="AY91" s="9"/>
      <c r="AZ91" s="4">
        <f t="shared" si="128"/>
        <v>88.102356580056522</v>
      </c>
      <c r="BA91" s="348">
        <f t="shared" si="115"/>
        <v>0.35501560719108344</v>
      </c>
      <c r="BB91" s="348">
        <f t="shared" si="129"/>
        <v>3.249212170786647</v>
      </c>
      <c r="BC91" s="348">
        <f t="shared" si="130"/>
        <v>2.4567364512711363</v>
      </c>
      <c r="BD91" s="348">
        <f t="shared" si="131"/>
        <v>0.78028395951551066</v>
      </c>
      <c r="BE91" s="348">
        <f t="shared" si="132"/>
        <v>0.19810827564125805</v>
      </c>
      <c r="BK91" s="18"/>
      <c r="BL91" s="19"/>
    </row>
    <row r="92" spans="1:64" x14ac:dyDescent="0.2">
      <c r="G92">
        <v>83</v>
      </c>
      <c r="H92" s="531">
        <f t="shared" si="85"/>
        <v>12</v>
      </c>
      <c r="I92" s="4">
        <f t="shared" si="86"/>
        <v>1</v>
      </c>
      <c r="J92" s="348">
        <f t="shared" si="116"/>
        <v>6.64</v>
      </c>
      <c r="K92" s="348">
        <f t="shared" si="87"/>
        <v>6.64</v>
      </c>
      <c r="L92" s="4">
        <f t="shared" si="88"/>
        <v>3.0740740740740735</v>
      </c>
      <c r="M92" s="348">
        <f t="shared" si="89"/>
        <v>0.42419190775689741</v>
      </c>
      <c r="N92" s="4">
        <f t="shared" si="90"/>
        <v>0.63326526475150269</v>
      </c>
      <c r="O92" s="4">
        <f t="shared" si="117"/>
        <v>6.9566326323757508</v>
      </c>
      <c r="P92" s="4">
        <f t="shared" si="118"/>
        <v>6.3233673676242486</v>
      </c>
      <c r="Q92" s="4">
        <f t="shared" si="91"/>
        <v>0</v>
      </c>
      <c r="R92" s="4">
        <f t="shared" si="119"/>
        <v>6.6425159948091252</v>
      </c>
      <c r="S92" s="348">
        <f t="shared" si="92"/>
        <v>0.15443056559453272</v>
      </c>
      <c r="T92" s="348">
        <f t="shared" si="93"/>
        <v>0.2</v>
      </c>
      <c r="U92" s="348">
        <f t="shared" si="94"/>
        <v>0.3588641328754566</v>
      </c>
      <c r="V92" s="4">
        <f t="shared" si="120"/>
        <v>0.18280793553635985</v>
      </c>
      <c r="W92" s="348">
        <f t="shared" si="121"/>
        <v>3.3418741295065897E-5</v>
      </c>
      <c r="X92" s="348">
        <f t="shared" si="122"/>
        <v>3.3418741295065897E-5</v>
      </c>
      <c r="Y92" s="4">
        <f t="shared" si="123"/>
        <v>3.2828624052216746</v>
      </c>
      <c r="Z92" s="348">
        <f t="shared" si="124"/>
        <v>1.0777185571617838E-2</v>
      </c>
      <c r="AA92" s="525">
        <f t="shared" si="125"/>
        <v>1.0777185571617838E-2</v>
      </c>
      <c r="AB92" s="348">
        <f t="shared" si="126"/>
        <v>4.3262717778548412</v>
      </c>
      <c r="AC92" s="348">
        <f t="shared" si="95"/>
        <v>0.22459952995035948</v>
      </c>
      <c r="AD92" s="348">
        <f t="shared" si="96"/>
        <v>0.66184458031088067</v>
      </c>
      <c r="AE92" s="348">
        <f t="shared" si="97"/>
        <v>0.71819999999999995</v>
      </c>
      <c r="AF92" s="348">
        <f t="shared" si="98"/>
        <v>0</v>
      </c>
      <c r="AG92" s="348">
        <f t="shared" si="99"/>
        <v>1.6675659095273423</v>
      </c>
      <c r="AH92" s="348">
        <f t="shared" si="100"/>
        <v>5.040475299555764</v>
      </c>
      <c r="AI92" s="348">
        <f t="shared" si="101"/>
        <v>0.10416620410627024</v>
      </c>
      <c r="AJ92" s="348">
        <f t="shared" si="102"/>
        <v>0.27330239999999995</v>
      </c>
      <c r="AK92" s="348">
        <f t="shared" si="103"/>
        <v>0.38398024009565807</v>
      </c>
      <c r="AL92" s="348">
        <f t="shared" si="104"/>
        <v>0.27330239999999995</v>
      </c>
      <c r="AM92" s="348">
        <f t="shared" si="105"/>
        <v>1.2340439999999999</v>
      </c>
      <c r="AN92" s="348">
        <f t="shared" si="106"/>
        <v>0.20296588620995729</v>
      </c>
      <c r="AO92" s="348">
        <f t="shared" si="107"/>
        <v>2.6400000000000001E-5</v>
      </c>
      <c r="AP92" s="348">
        <f t="shared" si="108"/>
        <v>0.34650000000000003</v>
      </c>
      <c r="AQ92" s="348">
        <f t="shared" si="109"/>
        <v>0.61836923076923067</v>
      </c>
      <c r="AR92" s="348">
        <f t="shared" si="110"/>
        <v>0.48509999999999998</v>
      </c>
      <c r="AS92" s="348">
        <f t="shared" si="133"/>
        <v>0.34652640000000001</v>
      </c>
      <c r="AT92" s="348">
        <f t="shared" si="111"/>
        <v>4.4780595730213273</v>
      </c>
      <c r="AU92">
        <f t="shared" si="112"/>
        <v>33.199999999999996</v>
      </c>
      <c r="AV92" s="526">
        <f t="shared" si="127"/>
        <v>0.88114941098963184</v>
      </c>
      <c r="AW92" s="534">
        <f t="shared" si="113"/>
        <v>104.24546788014837</v>
      </c>
      <c r="AX92" s="534">
        <f t="shared" si="114"/>
        <v>32.202440735893283</v>
      </c>
      <c r="AY92" s="9"/>
      <c r="AZ92" s="4">
        <f t="shared" si="128"/>
        <v>88.114941098963186</v>
      </c>
      <c r="BA92" s="348">
        <f t="shared" si="115"/>
        <v>0.3588641328754566</v>
      </c>
      <c r="BB92" s="348">
        <f t="shared" si="129"/>
        <v>3.2855901496230002</v>
      </c>
      <c r="BC92" s="348">
        <f t="shared" si="130"/>
        <v>2.4820349495273422</v>
      </c>
      <c r="BD92" s="348">
        <f t="shared" si="131"/>
        <v>0.79121476009565805</v>
      </c>
      <c r="BE92" s="348">
        <f t="shared" si="132"/>
        <v>0.20296588620995729</v>
      </c>
      <c r="BK92" s="18"/>
      <c r="BL92" s="19"/>
    </row>
    <row r="93" spans="1:64" x14ac:dyDescent="0.2">
      <c r="G93">
        <v>84</v>
      </c>
      <c r="H93" s="531">
        <f t="shared" si="85"/>
        <v>12</v>
      </c>
      <c r="I93" s="4">
        <f t="shared" si="86"/>
        <v>1</v>
      </c>
      <c r="J93" s="348">
        <f t="shared" si="116"/>
        <v>6.72</v>
      </c>
      <c r="K93" s="348">
        <f t="shared" si="87"/>
        <v>6.72</v>
      </c>
      <c r="L93" s="4">
        <f t="shared" si="88"/>
        <v>3.1111111111111112</v>
      </c>
      <c r="M93" s="348">
        <f t="shared" si="89"/>
        <v>0.42428274117235321</v>
      </c>
      <c r="N93" s="4">
        <f t="shared" si="90"/>
        <v>0.63328699088440699</v>
      </c>
      <c r="O93" s="4">
        <f t="shared" si="117"/>
        <v>7.0366434954422035</v>
      </c>
      <c r="P93" s="4">
        <f t="shared" si="118"/>
        <v>6.403356504557796</v>
      </c>
      <c r="Q93" s="4">
        <f t="shared" si="91"/>
        <v>0</v>
      </c>
      <c r="R93" s="4">
        <f t="shared" si="119"/>
        <v>6.7224862241883354</v>
      </c>
      <c r="S93" s="348">
        <f t="shared" si="92"/>
        <v>0.15817137362040679</v>
      </c>
      <c r="T93" s="348">
        <f t="shared" si="93"/>
        <v>0.2</v>
      </c>
      <c r="U93" s="348">
        <f t="shared" si="94"/>
        <v>0.36276165435368146</v>
      </c>
      <c r="V93" s="4">
        <f t="shared" si="120"/>
        <v>0.18281420733070022</v>
      </c>
      <c r="W93" s="348">
        <f t="shared" si="121"/>
        <v>3.3421034401952245E-5</v>
      </c>
      <c r="X93" s="348">
        <f t="shared" si="122"/>
        <v>3.3421034401952245E-5</v>
      </c>
      <c r="Y93" s="4">
        <f t="shared" si="123"/>
        <v>3.3224788759300439</v>
      </c>
      <c r="Z93" s="348">
        <f t="shared" si="124"/>
        <v>1.1038865881001367E-2</v>
      </c>
      <c r="AA93" s="525">
        <f t="shared" si="125"/>
        <v>1.1038865881001367E-2</v>
      </c>
      <c r="AB93" s="348">
        <f t="shared" si="126"/>
        <v>4.3788251514586038</v>
      </c>
      <c r="AC93" s="348">
        <f t="shared" si="95"/>
        <v>0.23008931648455758</v>
      </c>
      <c r="AD93" s="348">
        <f t="shared" si="96"/>
        <v>0.6698186113989637</v>
      </c>
      <c r="AE93" s="348">
        <f t="shared" si="97"/>
        <v>0.71819999999999995</v>
      </c>
      <c r="AF93" s="348">
        <f t="shared" si="98"/>
        <v>0</v>
      </c>
      <c r="AG93" s="348">
        <f t="shared" si="99"/>
        <v>1.6831709080345918</v>
      </c>
      <c r="AH93" s="348">
        <f t="shared" si="100"/>
        <v>5.1007559564593441</v>
      </c>
      <c r="AI93" s="348">
        <f t="shared" si="101"/>
        <v>0.10667261644215745</v>
      </c>
      <c r="AJ93" s="348">
        <f t="shared" si="102"/>
        <v>0.27659519999999993</v>
      </c>
      <c r="AK93" s="348">
        <f t="shared" si="103"/>
        <v>0.39004139304949931</v>
      </c>
      <c r="AL93" s="348">
        <f t="shared" si="104"/>
        <v>0.27659519999999993</v>
      </c>
      <c r="AM93" s="348">
        <f t="shared" si="105"/>
        <v>1.2489119999999998</v>
      </c>
      <c r="AN93" s="348">
        <f t="shared" si="106"/>
        <v>0.20788237675824892</v>
      </c>
      <c r="AO93" s="348">
        <f t="shared" si="107"/>
        <v>2.6400000000000001E-5</v>
      </c>
      <c r="AP93" s="348">
        <f t="shared" si="108"/>
        <v>0.34650000000000003</v>
      </c>
      <c r="AQ93" s="348">
        <f t="shared" si="109"/>
        <v>0.61836923076923067</v>
      </c>
      <c r="AR93" s="348">
        <f t="shared" si="110"/>
        <v>0.48509999999999998</v>
      </c>
      <c r="AS93" s="348">
        <f t="shared" si="133"/>
        <v>0.34652640000000001</v>
      </c>
      <c r="AT93" s="348">
        <f t="shared" si="111"/>
        <v>4.5269622191114252</v>
      </c>
      <c r="AU93">
        <f t="shared" si="112"/>
        <v>33.6</v>
      </c>
      <c r="AV93" s="526">
        <f t="shared" si="127"/>
        <v>0.8812661183680075</v>
      </c>
      <c r="AW93" s="534">
        <f t="shared" si="113"/>
        <v>105.31301877745285</v>
      </c>
      <c r="AX93" s="534">
        <f t="shared" si="114"/>
        <v>32.648821769114619</v>
      </c>
      <c r="AY93" s="9"/>
      <c r="AZ93" s="4">
        <f t="shared" si="128"/>
        <v>88.126611836800748</v>
      </c>
      <c r="BA93" s="348">
        <f t="shared" si="115"/>
        <v>0.36276165435368146</v>
      </c>
      <c r="BB93" s="348">
        <f t="shared" si="129"/>
        <v>3.3221243010840911</v>
      </c>
      <c r="BC93" s="348">
        <f t="shared" si="130"/>
        <v>2.5074528280345918</v>
      </c>
      <c r="BD93" s="348">
        <f t="shared" si="131"/>
        <v>0.80218235304949925</v>
      </c>
      <c r="BE93" s="348">
        <f t="shared" si="132"/>
        <v>0.20788237675824892</v>
      </c>
      <c r="BK93" s="18"/>
      <c r="BL93" s="19"/>
    </row>
    <row r="94" spans="1:64" x14ac:dyDescent="0.2">
      <c r="G94">
        <v>85</v>
      </c>
      <c r="H94" s="531">
        <f t="shared" si="85"/>
        <v>12</v>
      </c>
      <c r="I94" s="4">
        <f t="shared" si="86"/>
        <v>1</v>
      </c>
      <c r="J94" s="348">
        <f t="shared" si="116"/>
        <v>6.8</v>
      </c>
      <c r="K94" s="348">
        <f t="shared" si="87"/>
        <v>6.8</v>
      </c>
      <c r="L94" s="4">
        <f t="shared" si="88"/>
        <v>3.1481481481481479</v>
      </c>
      <c r="M94" s="348">
        <f t="shared" si="89"/>
        <v>0.42437357859196695</v>
      </c>
      <c r="N94" s="4">
        <f t="shared" si="90"/>
        <v>0.63330867423380421</v>
      </c>
      <c r="O94" s="4">
        <f t="shared" si="117"/>
        <v>7.116654337116902</v>
      </c>
      <c r="P94" s="4">
        <f t="shared" si="118"/>
        <v>6.4833456628830977</v>
      </c>
      <c r="Q94" s="4">
        <f t="shared" si="91"/>
        <v>0</v>
      </c>
      <c r="R94" s="4">
        <f t="shared" si="119"/>
        <v>6.8024571533433154</v>
      </c>
      <c r="S94" s="348">
        <f t="shared" si="92"/>
        <v>0.16195698163075073</v>
      </c>
      <c r="T94" s="348">
        <f t="shared" si="93"/>
        <v>0.2</v>
      </c>
      <c r="U94" s="348">
        <f t="shared" si="94"/>
        <v>0.36670825864752044</v>
      </c>
      <c r="V94" s="4">
        <f t="shared" si="120"/>
        <v>0.18282046677450595</v>
      </c>
      <c r="W94" s="348">
        <f t="shared" si="121"/>
        <v>3.3423323071648232E-5</v>
      </c>
      <c r="X94" s="348">
        <f t="shared" si="122"/>
        <v>3.3423323071648232E-5</v>
      </c>
      <c r="Y94" s="4">
        <f t="shared" si="123"/>
        <v>3.3620978075095471</v>
      </c>
      <c r="Z94" s="348">
        <f t="shared" si="124"/>
        <v>1.1303701667260503E-2</v>
      </c>
      <c r="AA94" s="525">
        <f t="shared" si="125"/>
        <v>1.1303701667260503E-2</v>
      </c>
      <c r="AB94" s="348">
        <f t="shared" si="126"/>
        <v>4.4313901034904273</v>
      </c>
      <c r="AC94" s="348">
        <f t="shared" si="95"/>
        <v>0.23564661899175479</v>
      </c>
      <c r="AD94" s="348">
        <f t="shared" si="96"/>
        <v>0.67779264248704663</v>
      </c>
      <c r="AE94" s="348">
        <f t="shared" si="97"/>
        <v>0.71819999999999995</v>
      </c>
      <c r="AF94" s="348">
        <f t="shared" si="98"/>
        <v>0</v>
      </c>
      <c r="AG94" s="348">
        <f t="shared" si="99"/>
        <v>1.6988962394943838</v>
      </c>
      <c r="AH94" s="348">
        <f t="shared" si="100"/>
        <v>5.1610275211200669</v>
      </c>
      <c r="AI94" s="348">
        <f t="shared" si="101"/>
        <v>0.10920844080241082</v>
      </c>
      <c r="AJ94" s="348">
        <f t="shared" si="102"/>
        <v>0.27988799999999997</v>
      </c>
      <c r="AK94" s="348">
        <f t="shared" si="103"/>
        <v>0.39613945736196154</v>
      </c>
      <c r="AL94" s="348">
        <f t="shared" si="104"/>
        <v>0.27988799999999997</v>
      </c>
      <c r="AM94" s="348">
        <f t="shared" si="105"/>
        <v>1.2637799999999999</v>
      </c>
      <c r="AN94" s="348">
        <f t="shared" si="106"/>
        <v>0.21285774728612955</v>
      </c>
      <c r="AO94" s="348">
        <f t="shared" si="107"/>
        <v>2.6400000000000001E-5</v>
      </c>
      <c r="AP94" s="348">
        <f t="shared" si="108"/>
        <v>0.34650000000000003</v>
      </c>
      <c r="AQ94" s="348">
        <f t="shared" si="109"/>
        <v>0.61836923076923067</v>
      </c>
      <c r="AR94" s="348">
        <f t="shared" si="110"/>
        <v>0.48509999999999998</v>
      </c>
      <c r="AS94" s="348">
        <f t="shared" si="133"/>
        <v>0.34652640000000001</v>
      </c>
      <c r="AT94" s="348">
        <f t="shared" si="111"/>
        <v>4.5761332277803275</v>
      </c>
      <c r="AU94">
        <f t="shared" si="112"/>
        <v>34</v>
      </c>
      <c r="AV94" s="526">
        <f t="shared" si="127"/>
        <v>0.88137397803041451</v>
      </c>
      <c r="AW94" s="534">
        <f t="shared" si="113"/>
        <v>106.38562365876412</v>
      </c>
      <c r="AX94" s="534">
        <f t="shared" si="114"/>
        <v>33.096705094631837</v>
      </c>
      <c r="AY94" s="9"/>
      <c r="AZ94" s="4">
        <f t="shared" si="128"/>
        <v>88.137397803041452</v>
      </c>
      <c r="BA94" s="348">
        <f t="shared" si="115"/>
        <v>0.36670825864752044</v>
      </c>
      <c r="BB94" s="348">
        <f t="shared" si="129"/>
        <v>3.358815696856345</v>
      </c>
      <c r="BC94" s="348">
        <f t="shared" si="130"/>
        <v>2.5329910394943838</v>
      </c>
      <c r="BD94" s="348">
        <f t="shared" si="131"/>
        <v>0.81318685736196161</v>
      </c>
      <c r="BE94" s="348">
        <f t="shared" si="132"/>
        <v>0.21285774728612955</v>
      </c>
      <c r="BK94" s="18"/>
      <c r="BL94" s="19"/>
    </row>
    <row r="95" spans="1:64" x14ac:dyDescent="0.2">
      <c r="G95">
        <v>86</v>
      </c>
      <c r="H95" s="531">
        <f t="shared" si="85"/>
        <v>12</v>
      </c>
      <c r="I95" s="4">
        <f t="shared" si="86"/>
        <v>1</v>
      </c>
      <c r="J95" s="348">
        <f t="shared" si="116"/>
        <v>6.88</v>
      </c>
      <c r="K95" s="348">
        <f t="shared" si="87"/>
        <v>6.88</v>
      </c>
      <c r="L95" s="4">
        <f t="shared" si="88"/>
        <v>3.1851851851851847</v>
      </c>
      <c r="M95" s="348">
        <f t="shared" si="89"/>
        <v>0.42446442001600354</v>
      </c>
      <c r="N95" s="4">
        <f t="shared" si="90"/>
        <v>0.6333303147968653</v>
      </c>
      <c r="O95" s="4">
        <f t="shared" si="117"/>
        <v>7.1966651573984324</v>
      </c>
      <c r="P95" s="4">
        <f t="shared" si="118"/>
        <v>6.5633348426015674</v>
      </c>
      <c r="Q95" s="4">
        <f t="shared" si="91"/>
        <v>0</v>
      </c>
      <c r="R95" s="4">
        <f t="shared" si="119"/>
        <v>6.8824287578807084</v>
      </c>
      <c r="S95" s="348">
        <f t="shared" si="92"/>
        <v>0.16578738962556186</v>
      </c>
      <c r="T95" s="348">
        <f t="shared" si="93"/>
        <v>0.2</v>
      </c>
      <c r="U95" s="348">
        <f t="shared" si="94"/>
        <v>0.37070403395460183</v>
      </c>
      <c r="V95" s="4">
        <f t="shared" si="120"/>
        <v>0.18282671386696031</v>
      </c>
      <c r="W95" s="348">
        <f t="shared" si="121"/>
        <v>3.3425607303391379E-5</v>
      </c>
      <c r="X95" s="348">
        <f t="shared" si="122"/>
        <v>3.3425607303391379E-5</v>
      </c>
      <c r="Y95" s="4">
        <f t="shared" si="123"/>
        <v>3.4017191839752412</v>
      </c>
      <c r="Z95" s="348">
        <f t="shared" si="124"/>
        <v>1.1571693406625182E-2</v>
      </c>
      <c r="AA95" s="525">
        <f t="shared" si="125"/>
        <v>1.1571693406625182E-2</v>
      </c>
      <c r="AB95" s="348">
        <f t="shared" si="126"/>
        <v>4.4839666171620003</v>
      </c>
      <c r="AC95" s="348">
        <f t="shared" si="95"/>
        <v>0.24127147948587879</v>
      </c>
      <c r="AD95" s="348">
        <f t="shared" si="96"/>
        <v>0.68576667357512955</v>
      </c>
      <c r="AE95" s="348">
        <f t="shared" si="97"/>
        <v>0.71819999999999995</v>
      </c>
      <c r="AF95" s="348">
        <f t="shared" si="98"/>
        <v>0</v>
      </c>
      <c r="AG95" s="348">
        <f t="shared" si="99"/>
        <v>1.7147428692951419</v>
      </c>
      <c r="AH95" s="348">
        <f t="shared" si="100"/>
        <v>5.2212899731273463</v>
      </c>
      <c r="AI95" s="348">
        <f t="shared" si="101"/>
        <v>0.11177366283226867</v>
      </c>
      <c r="AJ95" s="348">
        <f t="shared" si="102"/>
        <v>0.28318079999999995</v>
      </c>
      <c r="AK95" s="348">
        <f t="shared" si="103"/>
        <v>0.40227455323778788</v>
      </c>
      <c r="AL95" s="348">
        <f t="shared" si="104"/>
        <v>0.28318079999999995</v>
      </c>
      <c r="AM95" s="348">
        <f t="shared" si="105"/>
        <v>1.278648</v>
      </c>
      <c r="AN95" s="348">
        <f t="shared" si="106"/>
        <v>0.21789199779359558</v>
      </c>
      <c r="AO95" s="348">
        <f t="shared" si="107"/>
        <v>2.6400000000000001E-5</v>
      </c>
      <c r="AP95" s="348">
        <f t="shared" si="108"/>
        <v>0.34650000000000003</v>
      </c>
      <c r="AQ95" s="348">
        <f t="shared" si="109"/>
        <v>0.61836923076923067</v>
      </c>
      <c r="AR95" s="348">
        <f t="shared" si="110"/>
        <v>0.48509999999999998</v>
      </c>
      <c r="AS95" s="348">
        <f t="shared" si="133"/>
        <v>0.34652640000000001</v>
      </c>
      <c r="AT95" s="348">
        <f t="shared" si="111"/>
        <v>4.6255737732950557</v>
      </c>
      <c r="AU95">
        <f t="shared" si="112"/>
        <v>34.4</v>
      </c>
      <c r="AV95" s="526">
        <f t="shared" si="127"/>
        <v>0.88147326673105053</v>
      </c>
      <c r="AW95" s="534">
        <f t="shared" si="113"/>
        <v>107.46332307039596</v>
      </c>
      <c r="AX95" s="534">
        <f t="shared" si="114"/>
        <v>33.546095604777967</v>
      </c>
      <c r="AY95" s="9"/>
      <c r="AZ95" s="4">
        <f t="shared" si="128"/>
        <v>88.147326673105056</v>
      </c>
      <c r="BA95" s="348">
        <f t="shared" si="115"/>
        <v>0.37070403395460183</v>
      </c>
      <c r="BB95" s="348">
        <f t="shared" si="129"/>
        <v>3.3956654225329297</v>
      </c>
      <c r="BC95" s="348">
        <f t="shared" si="130"/>
        <v>2.5586505492951419</v>
      </c>
      <c r="BD95" s="348">
        <f t="shared" si="131"/>
        <v>0.82422839323778785</v>
      </c>
      <c r="BE95" s="348">
        <f t="shared" si="132"/>
        <v>0.21789199779359558</v>
      </c>
      <c r="BK95" s="18"/>
      <c r="BL95" s="19"/>
    </row>
    <row r="96" spans="1:64" x14ac:dyDescent="0.2">
      <c r="G96">
        <v>87</v>
      </c>
      <c r="H96" s="531">
        <f t="shared" si="85"/>
        <v>12</v>
      </c>
      <c r="I96" s="4">
        <f t="shared" si="86"/>
        <v>1</v>
      </c>
      <c r="J96" s="348">
        <f t="shared" si="116"/>
        <v>6.96</v>
      </c>
      <c r="K96" s="348">
        <f t="shared" si="87"/>
        <v>6.96</v>
      </c>
      <c r="L96" s="4">
        <f t="shared" si="88"/>
        <v>3.2222222222222219</v>
      </c>
      <c r="M96" s="348">
        <f t="shared" si="89"/>
        <v>0.42455526544472788</v>
      </c>
      <c r="N96" s="4">
        <f t="shared" si="90"/>
        <v>0.6333519125707614</v>
      </c>
      <c r="O96" s="4">
        <f t="shared" si="117"/>
        <v>7.2766759562853807</v>
      </c>
      <c r="P96" s="4">
        <f t="shared" si="118"/>
        <v>6.6433240437146193</v>
      </c>
      <c r="Q96" s="4">
        <f t="shared" si="91"/>
        <v>0</v>
      </c>
      <c r="R96" s="4">
        <f t="shared" si="119"/>
        <v>6.962401014527706</v>
      </c>
      <c r="S96" s="348">
        <f t="shared" si="92"/>
        <v>0.16966259760483751</v>
      </c>
      <c r="T96" s="348">
        <f t="shared" si="93"/>
        <v>0.2</v>
      </c>
      <c r="U96" s="348">
        <f t="shared" si="94"/>
        <v>0.3747490696534293</v>
      </c>
      <c r="V96" s="4">
        <f t="shared" si="120"/>
        <v>0.18283294860724672</v>
      </c>
      <c r="W96" s="348">
        <f t="shared" si="121"/>
        <v>3.3427887096420122E-5</v>
      </c>
      <c r="X96" s="348">
        <f t="shared" si="122"/>
        <v>3.3427887096420122E-5</v>
      </c>
      <c r="Y96" s="4">
        <f t="shared" si="123"/>
        <v>3.4413429898943555</v>
      </c>
      <c r="Z96" s="348">
        <f t="shared" si="124"/>
        <v>1.1842841574095023E-2</v>
      </c>
      <c r="AA96" s="525">
        <f t="shared" si="125"/>
        <v>1.1842841574095023E-2</v>
      </c>
      <c r="AB96" s="348">
        <f t="shared" si="126"/>
        <v>4.5365546764088283</v>
      </c>
      <c r="AC96" s="348">
        <f t="shared" si="95"/>
        <v>0.2469639399845617</v>
      </c>
      <c r="AD96" s="348">
        <f t="shared" si="96"/>
        <v>0.69374070466321247</v>
      </c>
      <c r="AE96" s="348">
        <f t="shared" si="97"/>
        <v>0.71819999999999995</v>
      </c>
      <c r="AF96" s="348">
        <f t="shared" si="98"/>
        <v>0</v>
      </c>
      <c r="AG96" s="348">
        <f t="shared" si="99"/>
        <v>1.7307117756972232</v>
      </c>
      <c r="AH96" s="348">
        <f t="shared" si="100"/>
        <v>5.2815432929258108</v>
      </c>
      <c r="AI96" s="348">
        <f t="shared" si="101"/>
        <v>0.11436826817570341</v>
      </c>
      <c r="AJ96" s="348">
        <f t="shared" si="102"/>
        <v>0.28647359999999994</v>
      </c>
      <c r="AK96" s="348">
        <f t="shared" si="103"/>
        <v>0.40844680210908002</v>
      </c>
      <c r="AL96" s="348">
        <f t="shared" si="104"/>
        <v>0.28647359999999994</v>
      </c>
      <c r="AM96" s="348">
        <f t="shared" si="105"/>
        <v>1.2935159999999999</v>
      </c>
      <c r="AN96" s="348">
        <f t="shared" si="106"/>
        <v>0.22298512828064357</v>
      </c>
      <c r="AO96" s="348">
        <f t="shared" si="107"/>
        <v>2.6400000000000001E-5</v>
      </c>
      <c r="AP96" s="348">
        <f t="shared" si="108"/>
        <v>0.34650000000000003</v>
      </c>
      <c r="AQ96" s="348">
        <f t="shared" si="109"/>
        <v>0.61836923076923067</v>
      </c>
      <c r="AR96" s="348">
        <f t="shared" si="110"/>
        <v>0.48509999999999998</v>
      </c>
      <c r="AS96" s="348">
        <f t="shared" si="133"/>
        <v>0.34652640000000001</v>
      </c>
      <c r="AT96" s="348">
        <f t="shared" si="111"/>
        <v>4.6752850452015675</v>
      </c>
      <c r="AU96">
        <f t="shared" si="112"/>
        <v>34.799999999999997</v>
      </c>
      <c r="AV96" s="526">
        <f t="shared" si="127"/>
        <v>0.88156424862168603</v>
      </c>
      <c r="AW96" s="534">
        <f t="shared" si="113"/>
        <v>108.54615809928339</v>
      </c>
      <c r="AX96" s="534">
        <f t="shared" si="114"/>
        <v>33.996998241839556</v>
      </c>
      <c r="AY96" s="9"/>
      <c r="AZ96" s="4">
        <f t="shared" si="128"/>
        <v>88.156424862168606</v>
      </c>
      <c r="BA96" s="348">
        <f t="shared" si="115"/>
        <v>0.3747490696534293</v>
      </c>
      <c r="BB96" s="348">
        <f t="shared" si="129"/>
        <v>3.4326745778063033</v>
      </c>
      <c r="BC96" s="348">
        <f t="shared" si="130"/>
        <v>2.5844323356972234</v>
      </c>
      <c r="BD96" s="348">
        <f t="shared" si="131"/>
        <v>0.83530708210908</v>
      </c>
      <c r="BE96" s="348">
        <f t="shared" si="132"/>
        <v>0.22298512828064357</v>
      </c>
      <c r="BK96" s="18"/>
      <c r="BL96" s="19"/>
    </row>
    <row r="97" spans="7:64" x14ac:dyDescent="0.2">
      <c r="G97">
        <v>88</v>
      </c>
      <c r="H97" s="531">
        <f t="shared" si="85"/>
        <v>12</v>
      </c>
      <c r="I97" s="4">
        <f t="shared" si="86"/>
        <v>1</v>
      </c>
      <c r="J97" s="348">
        <f t="shared" si="116"/>
        <v>7.04</v>
      </c>
      <c r="K97" s="348">
        <f t="shared" si="87"/>
        <v>7.04</v>
      </c>
      <c r="L97" s="4">
        <f t="shared" si="88"/>
        <v>3.2592592592592595</v>
      </c>
      <c r="M97" s="348">
        <f t="shared" si="89"/>
        <v>0.42464611487840459</v>
      </c>
      <c r="N97" s="4">
        <f t="shared" si="90"/>
        <v>0.63337346755266244</v>
      </c>
      <c r="O97" s="4">
        <f t="shared" si="117"/>
        <v>7.3566867337763311</v>
      </c>
      <c r="P97" s="4">
        <f t="shared" si="118"/>
        <v>6.723313266223669</v>
      </c>
      <c r="Q97" s="4">
        <f t="shared" si="91"/>
        <v>0</v>
      </c>
      <c r="R97" s="4">
        <f t="shared" si="119"/>
        <v>7.0423739010684443</v>
      </c>
      <c r="S97" s="348">
        <f t="shared" si="92"/>
        <v>0.17358260556857494</v>
      </c>
      <c r="T97" s="348">
        <f t="shared" si="93"/>
        <v>0.2</v>
      </c>
      <c r="U97" s="348">
        <f t="shared" si="94"/>
        <v>0.37884345630846517</v>
      </c>
      <c r="V97" s="4">
        <f t="shared" si="120"/>
        <v>0.18283917099454819</v>
      </c>
      <c r="W97" s="348">
        <f t="shared" si="121"/>
        <v>3.3430162449973636E-5</v>
      </c>
      <c r="X97" s="348">
        <f t="shared" si="122"/>
        <v>3.3430162449973636E-5</v>
      </c>
      <c r="Y97" s="4">
        <f t="shared" si="123"/>
        <v>3.4809692103549379</v>
      </c>
      <c r="Z97" s="348">
        <f t="shared" si="124"/>
        <v>1.211714664343908E-2</v>
      </c>
      <c r="AA97" s="525">
        <f t="shared" si="125"/>
        <v>1.211714664343908E-2</v>
      </c>
      <c r="AB97" s="348">
        <f t="shared" si="126"/>
        <v>4.5891542658491744</v>
      </c>
      <c r="AC97" s="348">
        <f t="shared" si="95"/>
        <v>0.2527240425091401</v>
      </c>
      <c r="AD97" s="348">
        <f t="shared" si="96"/>
        <v>0.70171473575129539</v>
      </c>
      <c r="AE97" s="348">
        <f t="shared" si="97"/>
        <v>0.71819999999999995</v>
      </c>
      <c r="AF97" s="348">
        <f t="shared" si="98"/>
        <v>0</v>
      </c>
      <c r="AG97" s="348">
        <f t="shared" si="99"/>
        <v>1.7468039500214554</v>
      </c>
      <c r="AH97" s="348">
        <f t="shared" si="100"/>
        <v>5.3417874617667351</v>
      </c>
      <c r="AI97" s="348">
        <f t="shared" si="101"/>
        <v>0.116992242475422</v>
      </c>
      <c r="AJ97" s="348">
        <f t="shared" si="102"/>
        <v>0.28976639999999998</v>
      </c>
      <c r="AK97" s="348">
        <f t="shared" si="103"/>
        <v>0.41465632664294427</v>
      </c>
      <c r="AL97" s="348">
        <f t="shared" si="104"/>
        <v>0.28976639999999998</v>
      </c>
      <c r="AM97" s="348">
        <f t="shared" si="105"/>
        <v>1.3083839999999998</v>
      </c>
      <c r="AN97" s="348">
        <f t="shared" si="106"/>
        <v>0.2281371387472699</v>
      </c>
      <c r="AO97" s="348">
        <f t="shared" si="107"/>
        <v>2.6400000000000001E-5</v>
      </c>
      <c r="AP97" s="348">
        <f t="shared" si="108"/>
        <v>0.34650000000000003</v>
      </c>
      <c r="AQ97" s="348">
        <f t="shared" si="109"/>
        <v>0.61836923076923067</v>
      </c>
      <c r="AR97" s="348">
        <f t="shared" si="110"/>
        <v>0.48509999999999998</v>
      </c>
      <c r="AS97" s="348">
        <f t="shared" si="133"/>
        <v>0.34652640000000001</v>
      </c>
      <c r="AT97" s="348">
        <f t="shared" si="111"/>
        <v>4.7252682485260236</v>
      </c>
      <c r="AU97">
        <f t="shared" si="112"/>
        <v>35.200000000000003</v>
      </c>
      <c r="AV97" s="526">
        <f t="shared" si="127"/>
        <v>0.88164717594100395</v>
      </c>
      <c r="AW97" s="534">
        <f t="shared" si="113"/>
        <v>109.63417038090112</v>
      </c>
      <c r="AX97" s="534">
        <f t="shared" si="114"/>
        <v>34.449417998367835</v>
      </c>
      <c r="AY97" s="9"/>
      <c r="AZ97" s="4">
        <f t="shared" si="128"/>
        <v>88.164717594100395</v>
      </c>
      <c r="BA97" s="348">
        <f t="shared" si="115"/>
        <v>0.37884345630846517</v>
      </c>
      <c r="BB97" s="348">
        <f t="shared" si="129"/>
        <v>3.4698442766643995</v>
      </c>
      <c r="BC97" s="348">
        <f t="shared" si="130"/>
        <v>2.6103373900214555</v>
      </c>
      <c r="BD97" s="348">
        <f t="shared" si="131"/>
        <v>0.84642304664294421</v>
      </c>
      <c r="BE97" s="348">
        <f t="shared" si="132"/>
        <v>0.2281371387472699</v>
      </c>
      <c r="BK97" s="18"/>
      <c r="BL97" s="19"/>
    </row>
    <row r="98" spans="7:64" x14ac:dyDescent="0.2">
      <c r="G98">
        <v>89</v>
      </c>
      <c r="H98" s="531">
        <f t="shared" si="85"/>
        <v>12</v>
      </c>
      <c r="I98" s="4">
        <f t="shared" si="86"/>
        <v>1</v>
      </c>
      <c r="J98" s="348">
        <f t="shared" si="116"/>
        <v>7.12</v>
      </c>
      <c r="K98" s="348">
        <f t="shared" si="87"/>
        <v>7.12</v>
      </c>
      <c r="L98" s="4">
        <f t="shared" si="88"/>
        <v>3.2962962962962963</v>
      </c>
      <c r="M98" s="348">
        <f t="shared" si="89"/>
        <v>0.42473696831729862</v>
      </c>
      <c r="N98" s="4">
        <f t="shared" si="90"/>
        <v>0.63339497973973879</v>
      </c>
      <c r="O98" s="4">
        <f t="shared" si="117"/>
        <v>7.4366974898698697</v>
      </c>
      <c r="P98" s="4">
        <f t="shared" si="118"/>
        <v>6.8033025101301305</v>
      </c>
      <c r="Q98" s="4">
        <f t="shared" si="91"/>
        <v>0</v>
      </c>
      <c r="R98" s="4">
        <f t="shared" si="119"/>
        <v>7.1223473962846899</v>
      </c>
      <c r="S98" s="348">
        <f t="shared" si="92"/>
        <v>0.17754741351677156</v>
      </c>
      <c r="T98" s="348">
        <f t="shared" si="93"/>
        <v>0.2</v>
      </c>
      <c r="U98" s="348">
        <f t="shared" si="94"/>
        <v>0.38298728567528806</v>
      </c>
      <c r="V98" s="4">
        <f t="shared" si="120"/>
        <v>0.1828453810280479</v>
      </c>
      <c r="W98" s="348">
        <f t="shared" si="121"/>
        <v>3.3432433363292017E-5</v>
      </c>
      <c r="X98" s="348">
        <f t="shared" si="122"/>
        <v>3.3432433363292017E-5</v>
      </c>
      <c r="Y98" s="4">
        <f t="shared" si="123"/>
        <v>3.5205978309366111</v>
      </c>
      <c r="Z98" s="348">
        <f t="shared" si="124"/>
        <v>1.2394609087195571E-2</v>
      </c>
      <c r="AA98" s="525">
        <f t="shared" si="125"/>
        <v>1.2394609087195571E-2</v>
      </c>
      <c r="AB98" s="348">
        <f t="shared" si="126"/>
        <v>4.6417653707457749</v>
      </c>
      <c r="AC98" s="348">
        <f t="shared" si="95"/>
        <v>0.25855182908465596</v>
      </c>
      <c r="AD98" s="348">
        <f t="shared" si="96"/>
        <v>0.7096887668393782</v>
      </c>
      <c r="AE98" s="348">
        <f t="shared" si="97"/>
        <v>0.71819999999999995</v>
      </c>
      <c r="AF98" s="348">
        <f t="shared" si="98"/>
        <v>0</v>
      </c>
      <c r="AG98" s="348">
        <f t="shared" si="99"/>
        <v>1.7630203968412674</v>
      </c>
      <c r="AH98" s="348">
        <f t="shared" si="100"/>
        <v>5.4020224616627281</v>
      </c>
      <c r="AI98" s="348">
        <f t="shared" si="101"/>
        <v>0.11964557137286541</v>
      </c>
      <c r="AJ98" s="348">
        <f t="shared" si="102"/>
        <v>0.29305919999999996</v>
      </c>
      <c r="AK98" s="348">
        <f t="shared" si="103"/>
        <v>0.42090325074923968</v>
      </c>
      <c r="AL98" s="348">
        <f t="shared" si="104"/>
        <v>0.29305919999999996</v>
      </c>
      <c r="AM98" s="348">
        <f t="shared" si="105"/>
        <v>1.3232519999999999</v>
      </c>
      <c r="AN98" s="348">
        <f t="shared" si="106"/>
        <v>0.2333480291934712</v>
      </c>
      <c r="AO98" s="348">
        <f t="shared" si="107"/>
        <v>2.6400000000000001E-5</v>
      </c>
      <c r="AP98" s="348">
        <f t="shared" si="108"/>
        <v>0.34650000000000003</v>
      </c>
      <c r="AQ98" s="348">
        <f t="shared" si="109"/>
        <v>0.61836923076923067</v>
      </c>
      <c r="AR98" s="348">
        <f t="shared" si="110"/>
        <v>0.48509999999999998</v>
      </c>
      <c r="AS98" s="348">
        <f t="shared" si="133"/>
        <v>0.34652640000000001</v>
      </c>
      <c r="AT98" s="348">
        <f t="shared" si="111"/>
        <v>4.7755246039798251</v>
      </c>
      <c r="AU98">
        <f t="shared" si="112"/>
        <v>35.6</v>
      </c>
      <c r="AV98" s="526">
        <f t="shared" si="127"/>
        <v>0.88172228965889154</v>
      </c>
      <c r="AW98" s="534">
        <f t="shared" si="113"/>
        <v>110.72740210733323</v>
      </c>
      <c r="AX98" s="534">
        <f t="shared" si="114"/>
        <v>34.903359917494058</v>
      </c>
      <c r="AY98" s="9"/>
      <c r="AZ98" s="4">
        <f t="shared" si="128"/>
        <v>88.172228965889161</v>
      </c>
      <c r="BA98" s="348">
        <f t="shared" si="115"/>
        <v>0.38298728567528806</v>
      </c>
      <c r="BB98" s="348">
        <f t="shared" si="129"/>
        <v>3.5071756475905067</v>
      </c>
      <c r="BC98" s="348">
        <f t="shared" si="130"/>
        <v>2.6363667168412674</v>
      </c>
      <c r="BD98" s="348">
        <f t="shared" si="131"/>
        <v>0.85757641074923963</v>
      </c>
      <c r="BE98" s="348">
        <f t="shared" si="132"/>
        <v>0.2333480291934712</v>
      </c>
      <c r="BK98" s="18"/>
      <c r="BL98" s="19"/>
    </row>
    <row r="99" spans="7:64" x14ac:dyDescent="0.2">
      <c r="G99">
        <v>90</v>
      </c>
      <c r="H99" s="531">
        <f t="shared" si="85"/>
        <v>12</v>
      </c>
      <c r="I99" s="4">
        <f t="shared" si="86"/>
        <v>1</v>
      </c>
      <c r="J99" s="348">
        <f t="shared" si="116"/>
        <v>7.2</v>
      </c>
      <c r="K99" s="348">
        <f t="shared" si="87"/>
        <v>7.2</v>
      </c>
      <c r="L99" s="4">
        <f t="shared" si="88"/>
        <v>3.333333333333333</v>
      </c>
      <c r="M99" s="348">
        <f t="shared" si="89"/>
        <v>0.42482782576167477</v>
      </c>
      <c r="N99" s="4">
        <f t="shared" si="90"/>
        <v>0.6334164491291604</v>
      </c>
      <c r="O99" s="4">
        <f t="shared" si="117"/>
        <v>7.5167082245645807</v>
      </c>
      <c r="P99" s="4">
        <f t="shared" si="118"/>
        <v>6.8832917754354197</v>
      </c>
      <c r="Q99" s="4">
        <f t="shared" si="91"/>
        <v>0</v>
      </c>
      <c r="R99" s="4">
        <f t="shared" si="119"/>
        <v>7.2023214799004647</v>
      </c>
      <c r="S99" s="348">
        <f t="shared" si="92"/>
        <v>0.18155702144942468</v>
      </c>
      <c r="T99" s="348">
        <f t="shared" si="93"/>
        <v>0.2</v>
      </c>
      <c r="U99" s="348">
        <f t="shared" si="94"/>
        <v>0.38718065070582469</v>
      </c>
      <c r="V99" s="4">
        <f t="shared" si="120"/>
        <v>0.18285157870692884</v>
      </c>
      <c r="W99" s="348">
        <f t="shared" si="121"/>
        <v>3.3434699835616194E-5</v>
      </c>
      <c r="X99" s="348">
        <f t="shared" si="122"/>
        <v>3.3434699835616194E-5</v>
      </c>
      <c r="Y99" s="4">
        <f t="shared" si="123"/>
        <v>3.5602288376832689</v>
      </c>
      <c r="Z99" s="348">
        <f t="shared" si="124"/>
        <v>1.267522937667156E-2</v>
      </c>
      <c r="AA99" s="525">
        <f t="shared" si="125"/>
        <v>1.267522937667156E-2</v>
      </c>
      <c r="AB99" s="348">
        <f t="shared" si="126"/>
        <v>4.6943879769700949</v>
      </c>
      <c r="AC99" s="348">
        <f t="shared" si="95"/>
        <v>0.26444734173985657</v>
      </c>
      <c r="AD99" s="348">
        <f t="shared" si="96"/>
        <v>0.71766279792746113</v>
      </c>
      <c r="AE99" s="348">
        <f t="shared" si="97"/>
        <v>0.71819999999999995</v>
      </c>
      <c r="AF99" s="348">
        <f t="shared" si="98"/>
        <v>0</v>
      </c>
      <c r="AG99" s="348">
        <f t="shared" si="99"/>
        <v>1.779362134178496</v>
      </c>
      <c r="AH99" s="348">
        <f t="shared" si="100"/>
        <v>5.4622482753454404</v>
      </c>
      <c r="AI99" s="348">
        <f t="shared" si="101"/>
        <v>0.12232824050820836</v>
      </c>
      <c r="AJ99" s="348">
        <f t="shared" si="102"/>
        <v>0.29635199999999995</v>
      </c>
      <c r="AK99" s="348">
        <f t="shared" si="103"/>
        <v>0.42718769958843339</v>
      </c>
      <c r="AL99" s="348">
        <f t="shared" si="104"/>
        <v>0.29635199999999995</v>
      </c>
      <c r="AM99" s="348">
        <f t="shared" si="105"/>
        <v>1.33812</v>
      </c>
      <c r="AN99" s="348">
        <f t="shared" si="106"/>
        <v>0.23861779961924384</v>
      </c>
      <c r="AO99" s="348">
        <f t="shared" si="107"/>
        <v>2.6400000000000001E-5</v>
      </c>
      <c r="AP99" s="348">
        <f t="shared" si="108"/>
        <v>0.34650000000000003</v>
      </c>
      <c r="AQ99" s="348">
        <f t="shared" si="109"/>
        <v>0.61836923076923067</v>
      </c>
      <c r="AR99" s="348">
        <f t="shared" si="110"/>
        <v>0.48509999999999998</v>
      </c>
      <c r="AS99" s="348">
        <f t="shared" si="133"/>
        <v>0.34652640000000001</v>
      </c>
      <c r="AT99" s="348">
        <f t="shared" si="111"/>
        <v>4.8260553481685058</v>
      </c>
      <c r="AU99">
        <f t="shared" si="112"/>
        <v>36</v>
      </c>
      <c r="AV99" s="526">
        <f t="shared" si="127"/>
        <v>0.88178982007907825</v>
      </c>
      <c r="AW99" s="534">
        <f t="shared" si="113"/>
        <v>111.82589603549683</v>
      </c>
      <c r="AX99" s="534">
        <f t="shared" si="114"/>
        <v>35.358829093249241</v>
      </c>
      <c r="AY99" s="9"/>
      <c r="AZ99" s="4">
        <f t="shared" si="128"/>
        <v>88.17898200790782</v>
      </c>
      <c r="BA99" s="348">
        <f t="shared" si="115"/>
        <v>0.38718065070582469</v>
      </c>
      <c r="BB99" s="348">
        <f t="shared" si="129"/>
        <v>3.5446698337669291</v>
      </c>
      <c r="BC99" s="348">
        <f t="shared" si="130"/>
        <v>2.6625213341784959</v>
      </c>
      <c r="BD99" s="348">
        <f t="shared" si="131"/>
        <v>0.86876729958843346</v>
      </c>
      <c r="BE99" s="348">
        <f t="shared" si="132"/>
        <v>0.23861779961924384</v>
      </c>
      <c r="BK99" s="18"/>
      <c r="BL99" s="19"/>
    </row>
    <row r="100" spans="7:64" x14ac:dyDescent="0.2">
      <c r="G100">
        <v>91</v>
      </c>
      <c r="H100" s="531">
        <f t="shared" si="85"/>
        <v>12</v>
      </c>
      <c r="I100" s="4">
        <f t="shared" si="86"/>
        <v>1</v>
      </c>
      <c r="J100" s="348">
        <f t="shared" si="116"/>
        <v>7.28</v>
      </c>
      <c r="K100" s="348">
        <f t="shared" si="87"/>
        <v>7.28</v>
      </c>
      <c r="L100" s="4">
        <f t="shared" si="88"/>
        <v>3.3703703703703702</v>
      </c>
      <c r="M100" s="348">
        <f t="shared" si="89"/>
        <v>0.42491868721179799</v>
      </c>
      <c r="N100" s="4">
        <f t="shared" si="90"/>
        <v>0.63343787571809662</v>
      </c>
      <c r="O100" s="4">
        <f t="shared" si="117"/>
        <v>7.5967189378590483</v>
      </c>
      <c r="P100" s="4">
        <f t="shared" si="118"/>
        <v>6.9632810621409522</v>
      </c>
      <c r="Q100" s="4">
        <f t="shared" si="91"/>
        <v>0</v>
      </c>
      <c r="R100" s="4">
        <f t="shared" si="119"/>
        <v>7.2822961325303295</v>
      </c>
      <c r="S100" s="348">
        <f t="shared" si="92"/>
        <v>0.18561142936653169</v>
      </c>
      <c r="T100" s="348">
        <f t="shared" si="93"/>
        <v>0.2</v>
      </c>
      <c r="U100" s="348">
        <f t="shared" si="94"/>
        <v>0.39142364555365755</v>
      </c>
      <c r="V100" s="4">
        <f t="shared" si="120"/>
        <v>0.1828577640303739</v>
      </c>
      <c r="W100" s="348">
        <f t="shared" si="121"/>
        <v>3.3436961866187905E-5</v>
      </c>
      <c r="X100" s="348">
        <f t="shared" si="122"/>
        <v>3.3436961866187905E-5</v>
      </c>
      <c r="Y100" s="4">
        <f t="shared" si="123"/>
        <v>3.5998622170775842</v>
      </c>
      <c r="Z100" s="348">
        <f t="shared" si="124"/>
        <v>1.295900798194274E-2</v>
      </c>
      <c r="AA100" s="525">
        <f t="shared" si="125"/>
        <v>1.295900798194274E-2</v>
      </c>
      <c r="AB100" s="348">
        <f t="shared" si="126"/>
        <v>4.7470220709689448</v>
      </c>
      <c r="AC100" s="348">
        <f t="shared" si="95"/>
        <v>0.27041062250719544</v>
      </c>
      <c r="AD100" s="348">
        <f t="shared" si="96"/>
        <v>0.72563682901554405</v>
      </c>
      <c r="AE100" s="348">
        <f t="shared" si="97"/>
        <v>0.71819999999999995</v>
      </c>
      <c r="AF100" s="348">
        <f t="shared" si="98"/>
        <v>0</v>
      </c>
      <c r="AG100" s="348">
        <f t="shared" si="99"/>
        <v>1.7958301937029393</v>
      </c>
      <c r="AH100" s="348">
        <f t="shared" si="100"/>
        <v>5.5224648862260688</v>
      </c>
      <c r="AI100" s="348">
        <f t="shared" si="101"/>
        <v>0.12504023552035959</v>
      </c>
      <c r="AJ100" s="348">
        <f t="shared" si="102"/>
        <v>0.29964479999999999</v>
      </c>
      <c r="AK100" s="348">
        <f t="shared" si="103"/>
        <v>0.43350979957956098</v>
      </c>
      <c r="AL100" s="348">
        <f t="shared" si="104"/>
        <v>0.29964479999999999</v>
      </c>
      <c r="AM100" s="348">
        <f t="shared" si="105"/>
        <v>1.3529880000000001</v>
      </c>
      <c r="AN100" s="348">
        <f t="shared" si="106"/>
        <v>0.24394645002458451</v>
      </c>
      <c r="AO100" s="348">
        <f t="shared" si="107"/>
        <v>2.6400000000000001E-5</v>
      </c>
      <c r="AP100" s="348">
        <f t="shared" si="108"/>
        <v>0.34650000000000003</v>
      </c>
      <c r="AQ100" s="348">
        <f t="shared" si="109"/>
        <v>0.61836923076923067</v>
      </c>
      <c r="AR100" s="348">
        <f t="shared" si="110"/>
        <v>0.48509999999999998</v>
      </c>
      <c r="AS100" s="348">
        <f t="shared" si="133"/>
        <v>0.34652640000000001</v>
      </c>
      <c r="AT100" s="348">
        <f t="shared" si="111"/>
        <v>4.8768617338045521</v>
      </c>
      <c r="AU100">
        <f t="shared" si="112"/>
        <v>36.4</v>
      </c>
      <c r="AV100" s="526">
        <f t="shared" si="127"/>
        <v>0.88184998740322007</v>
      </c>
      <c r="AW100" s="534">
        <f t="shared" si="113"/>
        <v>112.92969549552345</v>
      </c>
      <c r="AX100" s="534">
        <f t="shared" si="114"/>
        <v>35.81583067088814</v>
      </c>
      <c r="AY100" s="9"/>
      <c r="AZ100" s="4">
        <f t="shared" si="128"/>
        <v>88.184998740322001</v>
      </c>
      <c r="BA100" s="348">
        <f t="shared" si="115"/>
        <v>0.39142364555365755</v>
      </c>
      <c r="BB100" s="348">
        <f t="shared" si="129"/>
        <v>3.5823279932825001</v>
      </c>
      <c r="BC100" s="348">
        <f t="shared" si="130"/>
        <v>2.6888022737029393</v>
      </c>
      <c r="BD100" s="348">
        <f t="shared" si="131"/>
        <v>0.87999583957956107</v>
      </c>
      <c r="BE100" s="348">
        <f t="shared" si="132"/>
        <v>0.24394645002458451</v>
      </c>
      <c r="BK100" s="18"/>
      <c r="BL100" s="19"/>
    </row>
    <row r="101" spans="7:64" x14ac:dyDescent="0.2">
      <c r="G101">
        <v>92</v>
      </c>
      <c r="H101" s="531">
        <f t="shared" si="85"/>
        <v>12</v>
      </c>
      <c r="I101" s="4">
        <f t="shared" si="86"/>
        <v>1</v>
      </c>
      <c r="J101" s="348">
        <f t="shared" si="116"/>
        <v>7.36</v>
      </c>
      <c r="K101" s="348">
        <f t="shared" si="87"/>
        <v>7.36</v>
      </c>
      <c r="L101" s="4">
        <f t="shared" si="88"/>
        <v>3.4074074074074074</v>
      </c>
      <c r="M101" s="348">
        <f t="shared" si="89"/>
        <v>0.42500955266793322</v>
      </c>
      <c r="N101" s="4">
        <f t="shared" si="90"/>
        <v>0.63345925950371751</v>
      </c>
      <c r="O101" s="4">
        <f t="shared" si="117"/>
        <v>7.6767296297518595</v>
      </c>
      <c r="P101" s="4">
        <f t="shared" si="118"/>
        <v>7.0432703702481412</v>
      </c>
      <c r="Q101" s="4">
        <f t="shared" si="91"/>
        <v>0</v>
      </c>
      <c r="R101" s="4">
        <f t="shared" si="119"/>
        <v>7.3622713356310259</v>
      </c>
      <c r="S101" s="348">
        <f t="shared" si="92"/>
        <v>0.18971063726808987</v>
      </c>
      <c r="T101" s="348">
        <f t="shared" si="93"/>
        <v>0.2</v>
      </c>
      <c r="U101" s="348">
        <f t="shared" si="94"/>
        <v>0.39571636557940842</v>
      </c>
      <c r="V101" s="4">
        <f t="shared" si="120"/>
        <v>0.18286393699756617</v>
      </c>
      <c r="W101" s="348">
        <f t="shared" si="121"/>
        <v>3.3439219454249853E-5</v>
      </c>
      <c r="X101" s="348">
        <f t="shared" si="122"/>
        <v>3.3439219454249853E-5</v>
      </c>
      <c r="Y101" s="4">
        <f t="shared" si="123"/>
        <v>3.6394979560171636</v>
      </c>
      <c r="Z101" s="348">
        <f t="shared" si="124"/>
        <v>1.3245945371853113E-2</v>
      </c>
      <c r="AA101" s="525">
        <f t="shared" si="125"/>
        <v>1.3245945371853113E-2</v>
      </c>
      <c r="AB101" s="348">
        <f t="shared" si="126"/>
        <v>4.7996676397332649</v>
      </c>
      <c r="AC101" s="348">
        <f t="shared" si="95"/>
        <v>0.2764417134228323</v>
      </c>
      <c r="AD101" s="348">
        <f t="shared" si="96"/>
        <v>0.73361086010362708</v>
      </c>
      <c r="AE101" s="348">
        <f t="shared" si="97"/>
        <v>0.71819999999999995</v>
      </c>
      <c r="AF101" s="348">
        <f t="shared" si="98"/>
        <v>0</v>
      </c>
      <c r="AG101" s="348">
        <f t="shared" si="99"/>
        <v>1.8124256209357499</v>
      </c>
      <c r="AH101" s="348">
        <f t="shared" si="100"/>
        <v>5.5826722783584177</v>
      </c>
      <c r="AI101" s="348">
        <f t="shared" si="101"/>
        <v>0.1277815420469614</v>
      </c>
      <c r="AJ101" s="348">
        <f t="shared" si="102"/>
        <v>0.30293759999999997</v>
      </c>
      <c r="AK101" s="348">
        <f t="shared" si="103"/>
        <v>0.43986967840829422</v>
      </c>
      <c r="AL101" s="348">
        <f t="shared" si="104"/>
        <v>0.30293759999999997</v>
      </c>
      <c r="AM101" s="348">
        <f t="shared" si="105"/>
        <v>1.3678560000000002</v>
      </c>
      <c r="AN101" s="348">
        <f t="shared" si="106"/>
        <v>0.24933398040948954</v>
      </c>
      <c r="AO101" s="348">
        <f t="shared" si="107"/>
        <v>2.6400000000000001E-5</v>
      </c>
      <c r="AP101" s="348">
        <f t="shared" si="108"/>
        <v>0.34650000000000003</v>
      </c>
      <c r="AQ101" s="348">
        <f t="shared" si="109"/>
        <v>0.61836923076923067</v>
      </c>
      <c r="AR101" s="348">
        <f t="shared" si="110"/>
        <v>0.48509999999999998</v>
      </c>
      <c r="AS101" s="348">
        <f t="shared" si="133"/>
        <v>0.34652640000000001</v>
      </c>
      <c r="AT101" s="348">
        <f t="shared" si="111"/>
        <v>4.92794502992425</v>
      </c>
      <c r="AU101">
        <f t="shared" si="112"/>
        <v>36.800000000000004</v>
      </c>
      <c r="AV101" s="526">
        <f t="shared" si="127"/>
        <v>0.88190300225927043</v>
      </c>
      <c r="AW101" s="534">
        <f t="shared" si="113"/>
        <v>114.0388443993015</v>
      </c>
      <c r="AX101" s="534">
        <f t="shared" si="114"/>
        <v>36.274369847217578</v>
      </c>
      <c r="AY101" s="9"/>
      <c r="AZ101" s="4">
        <f t="shared" si="128"/>
        <v>88.190300225927047</v>
      </c>
      <c r="BA101" s="348">
        <f t="shared" si="115"/>
        <v>0.39571636557940842</v>
      </c>
      <c r="BB101" s="348">
        <f t="shared" si="129"/>
        <v>3.6201512993440441</v>
      </c>
      <c r="BC101" s="348">
        <f t="shared" si="130"/>
        <v>2.7152105809357501</v>
      </c>
      <c r="BD101" s="348">
        <f t="shared" si="131"/>
        <v>0.89126215840829426</v>
      </c>
      <c r="BE101" s="348">
        <f t="shared" si="132"/>
        <v>0.24933398040948954</v>
      </c>
      <c r="BK101" s="18"/>
      <c r="BL101" s="19"/>
    </row>
    <row r="102" spans="7:64" x14ac:dyDescent="0.2">
      <c r="G102">
        <v>93</v>
      </c>
      <c r="H102" s="531">
        <f t="shared" si="85"/>
        <v>12</v>
      </c>
      <c r="I102" s="4">
        <f t="shared" si="86"/>
        <v>1</v>
      </c>
      <c r="J102" s="348">
        <f t="shared" si="116"/>
        <v>7.44</v>
      </c>
      <c r="K102" s="348">
        <f t="shared" si="87"/>
        <v>7.44</v>
      </c>
      <c r="L102" s="4">
        <f t="shared" si="88"/>
        <v>3.4444444444444446</v>
      </c>
      <c r="M102" s="348">
        <f t="shared" si="89"/>
        <v>0.42510042213034532</v>
      </c>
      <c r="N102" s="4">
        <f t="shared" si="90"/>
        <v>0.63348060048319166</v>
      </c>
      <c r="O102" s="4">
        <f t="shared" si="117"/>
        <v>7.7567403002415958</v>
      </c>
      <c r="P102" s="4">
        <f t="shared" si="118"/>
        <v>7.123259699758405</v>
      </c>
      <c r="Q102" s="4">
        <f t="shared" si="91"/>
        <v>0</v>
      </c>
      <c r="R102" s="4">
        <f t="shared" si="119"/>
        <v>7.4422470714562445</v>
      </c>
      <c r="S102" s="348">
        <f t="shared" si="92"/>
        <v>0.19385464515409667</v>
      </c>
      <c r="T102" s="348">
        <f t="shared" si="93"/>
        <v>0.2</v>
      </c>
      <c r="U102" s="348">
        <f t="shared" si="94"/>
        <v>0.40005890735619842</v>
      </c>
      <c r="V102" s="4">
        <f t="shared" si="120"/>
        <v>0.18287009760768824</v>
      </c>
      <c r="W102" s="348">
        <f t="shared" si="121"/>
        <v>3.3441472599045422E-5</v>
      </c>
      <c r="X102" s="348">
        <f t="shared" si="122"/>
        <v>3.3441472599045422E-5</v>
      </c>
      <c r="Y102" s="4">
        <f t="shared" si="123"/>
        <v>3.6791360417922476</v>
      </c>
      <c r="Z102" s="348">
        <f t="shared" si="124"/>
        <v>1.3536042014014727E-2</v>
      </c>
      <c r="AA102" s="525">
        <f t="shared" si="125"/>
        <v>1.3536042014014727E-2</v>
      </c>
      <c r="AB102" s="348">
        <f t="shared" si="126"/>
        <v>4.8523246707689296</v>
      </c>
      <c r="AC102" s="348">
        <f t="shared" si="95"/>
        <v>0.28254065652663363</v>
      </c>
      <c r="AD102" s="348">
        <f t="shared" si="96"/>
        <v>0.74158489119170989</v>
      </c>
      <c r="AE102" s="348">
        <f t="shared" si="97"/>
        <v>0.71819999999999995</v>
      </c>
      <c r="AF102" s="348">
        <f t="shared" si="98"/>
        <v>0</v>
      </c>
      <c r="AG102" s="348">
        <f t="shared" si="99"/>
        <v>1.8291494754567332</v>
      </c>
      <c r="AH102" s="348">
        <f t="shared" si="100"/>
        <v>5.642870436404352</v>
      </c>
      <c r="AI102" s="348">
        <f t="shared" si="101"/>
        <v>0.13055214572438958</v>
      </c>
      <c r="AJ102" s="348">
        <f t="shared" si="102"/>
        <v>0.30623039999999996</v>
      </c>
      <c r="AK102" s="348">
        <f t="shared" si="103"/>
        <v>0.44626746503511699</v>
      </c>
      <c r="AL102" s="348">
        <f t="shared" si="104"/>
        <v>0.30623039999999996</v>
      </c>
      <c r="AM102" s="348">
        <f t="shared" si="105"/>
        <v>1.3827240000000001</v>
      </c>
      <c r="AN102" s="348">
        <f t="shared" si="106"/>
        <v>0.25478039077395565</v>
      </c>
      <c r="AO102" s="348">
        <f t="shared" si="107"/>
        <v>2.6400000000000001E-5</v>
      </c>
      <c r="AP102" s="348">
        <f t="shared" si="108"/>
        <v>0.34650000000000003</v>
      </c>
      <c r="AQ102" s="348">
        <f t="shared" si="109"/>
        <v>0.61836923076923067</v>
      </c>
      <c r="AR102" s="348">
        <f t="shared" si="110"/>
        <v>0.48509999999999998</v>
      </c>
      <c r="AS102" s="348">
        <f t="shared" si="133"/>
        <v>0.34652640000000001</v>
      </c>
      <c r="AT102" s="348">
        <f t="shared" si="111"/>
        <v>4.9793065221086179</v>
      </c>
      <c r="AU102">
        <f t="shared" si="112"/>
        <v>37.200000000000003</v>
      </c>
      <c r="AV102" s="526">
        <f t="shared" si="127"/>
        <v>0.88194906619674573</v>
      </c>
      <c r="AW102" s="534">
        <f t="shared" si="113"/>
        <v>115.1533872491828</v>
      </c>
      <c r="AX102" s="534">
        <f t="shared" si="114"/>
        <v>36.73445187092927</v>
      </c>
      <c r="AY102" s="9"/>
      <c r="AZ102" s="4">
        <f t="shared" si="128"/>
        <v>88.194906619674569</v>
      </c>
      <c r="BA102" s="348">
        <f t="shared" si="115"/>
        <v>0.40005890735619842</v>
      </c>
      <c r="BB102" s="348">
        <f t="shared" si="129"/>
        <v>3.6581409404918501</v>
      </c>
      <c r="BC102" s="348">
        <f t="shared" si="130"/>
        <v>2.7417473154567333</v>
      </c>
      <c r="BD102" s="348">
        <f t="shared" si="131"/>
        <v>0.9025663850351171</v>
      </c>
      <c r="BE102" s="348">
        <f t="shared" si="132"/>
        <v>0.25478039077395565</v>
      </c>
      <c r="BK102" s="18"/>
      <c r="BL102" s="19"/>
    </row>
    <row r="103" spans="7:64" x14ac:dyDescent="0.2">
      <c r="G103">
        <v>94</v>
      </c>
      <c r="H103" s="531">
        <f t="shared" si="85"/>
        <v>12</v>
      </c>
      <c r="I103" s="4">
        <f t="shared" si="86"/>
        <v>1</v>
      </c>
      <c r="J103" s="348">
        <f t="shared" si="116"/>
        <v>7.52</v>
      </c>
      <c r="K103" s="348">
        <f t="shared" si="87"/>
        <v>7.52</v>
      </c>
      <c r="L103" s="4">
        <f t="shared" si="88"/>
        <v>3.4814814814814805</v>
      </c>
      <c r="M103" s="348">
        <f t="shared" si="89"/>
        <v>0.42519129559929936</v>
      </c>
      <c r="N103" s="4">
        <f t="shared" si="90"/>
        <v>0.63350189865368856</v>
      </c>
      <c r="O103" s="4">
        <f t="shared" si="117"/>
        <v>7.8367509493268441</v>
      </c>
      <c r="P103" s="4">
        <f t="shared" si="118"/>
        <v>7.203249050673155</v>
      </c>
      <c r="Q103" s="4">
        <f t="shared" si="91"/>
        <v>0</v>
      </c>
      <c r="R103" s="4">
        <f t="shared" si="119"/>
        <v>7.5222233230142681</v>
      </c>
      <c r="S103" s="348">
        <f t="shared" si="92"/>
        <v>0.19804345302454937</v>
      </c>
      <c r="T103" s="348">
        <f t="shared" si="93"/>
        <v>0.2</v>
      </c>
      <c r="U103" s="348">
        <f t="shared" si="94"/>
        <v>0.40445136867518444</v>
      </c>
      <c r="V103" s="4">
        <f t="shared" si="120"/>
        <v>0.18287624585992307</v>
      </c>
      <c r="W103" s="348">
        <f t="shared" si="121"/>
        <v>3.3443721299819025E-5</v>
      </c>
      <c r="X103" s="348">
        <f t="shared" si="122"/>
        <v>3.3443721299819025E-5</v>
      </c>
      <c r="Y103" s="4">
        <f t="shared" si="123"/>
        <v>3.7187764620648291</v>
      </c>
      <c r="Z103" s="348">
        <f t="shared" si="124"/>
        <v>1.3829298374807408E-2</v>
      </c>
      <c r="AA103" s="525">
        <f t="shared" si="125"/>
        <v>1.3829298374807408E-2</v>
      </c>
      <c r="AB103" s="348">
        <f t="shared" si="126"/>
        <v>4.9049931520694043</v>
      </c>
      <c r="AC103" s="348">
        <f t="shared" si="95"/>
        <v>0.28870749386217304</v>
      </c>
      <c r="AD103" s="348">
        <f t="shared" si="96"/>
        <v>0.74955892227979271</v>
      </c>
      <c r="AE103" s="348">
        <f t="shared" si="97"/>
        <v>0.71819999999999995</v>
      </c>
      <c r="AF103" s="348">
        <f t="shared" si="98"/>
        <v>0</v>
      </c>
      <c r="AG103" s="348">
        <f t="shared" si="99"/>
        <v>1.8460028311156571</v>
      </c>
      <c r="AH103" s="348">
        <f t="shared" si="100"/>
        <v>5.7030593456014529</v>
      </c>
      <c r="AI103" s="348">
        <f t="shared" si="101"/>
        <v>0.13335203218775349</v>
      </c>
      <c r="AJ103" s="348">
        <f t="shared" si="102"/>
        <v>0.30952319999999994</v>
      </c>
      <c r="AK103" s="348">
        <f t="shared" si="103"/>
        <v>0.45270328970361084</v>
      </c>
      <c r="AL103" s="348">
        <f t="shared" si="104"/>
        <v>0.30952319999999994</v>
      </c>
      <c r="AM103" s="348">
        <f t="shared" si="105"/>
        <v>1.3975919999999999</v>
      </c>
      <c r="AN103" s="348">
        <f t="shared" si="106"/>
        <v>0.26028568111797917</v>
      </c>
      <c r="AO103" s="348">
        <f t="shared" si="107"/>
        <v>2.6400000000000001E-5</v>
      </c>
      <c r="AP103" s="348">
        <f t="shared" si="108"/>
        <v>0.34650000000000003</v>
      </c>
      <c r="AQ103" s="348">
        <f t="shared" si="109"/>
        <v>0.61836923076923067</v>
      </c>
      <c r="AR103" s="348">
        <f t="shared" si="110"/>
        <v>0.48509999999999998</v>
      </c>
      <c r="AS103" s="348">
        <f t="shared" si="133"/>
        <v>0.34652640000000001</v>
      </c>
      <c r="AT103" s="348">
        <f t="shared" si="111"/>
        <v>5.0309475127085399</v>
      </c>
      <c r="AU103">
        <f t="shared" si="112"/>
        <v>37.599999999999994</v>
      </c>
      <c r="AV103" s="526">
        <f t="shared" si="127"/>
        <v>0.88198837215126913</v>
      </c>
      <c r="AW103" s="534">
        <f t="shared" si="113"/>
        <v>116.27336914685759</v>
      </c>
      <c r="AX103" s="534">
        <f t="shared" si="114"/>
        <v>37.196082042936965</v>
      </c>
      <c r="AY103" s="9"/>
      <c r="AZ103" s="4">
        <f t="shared" si="128"/>
        <v>88.198837215126915</v>
      </c>
      <c r="BA103" s="348">
        <f t="shared" si="115"/>
        <v>0.40445136867518444</v>
      </c>
      <c r="BB103" s="348">
        <f t="shared" si="129"/>
        <v>3.696298120819268</v>
      </c>
      <c r="BC103" s="348">
        <f t="shared" si="130"/>
        <v>2.7684135511156569</v>
      </c>
      <c r="BD103" s="348">
        <f t="shared" si="131"/>
        <v>0.91390864970361085</v>
      </c>
      <c r="BE103" s="348">
        <f t="shared" si="132"/>
        <v>0.26028568111797917</v>
      </c>
      <c r="BK103" s="18"/>
      <c r="BL103" s="19"/>
    </row>
    <row r="104" spans="7:64" x14ac:dyDescent="0.2">
      <c r="G104">
        <v>95</v>
      </c>
      <c r="H104" s="531">
        <f t="shared" si="85"/>
        <v>12</v>
      </c>
      <c r="I104" s="4">
        <f t="shared" si="86"/>
        <v>1</v>
      </c>
      <c r="J104" s="348">
        <f t="shared" si="116"/>
        <v>7.6</v>
      </c>
      <c r="K104" s="348">
        <f t="shared" si="87"/>
        <v>7.6</v>
      </c>
      <c r="L104" s="4">
        <f t="shared" si="88"/>
        <v>3.5185185185185182</v>
      </c>
      <c r="M104" s="348">
        <f t="shared" si="89"/>
        <v>0.42528217307506022</v>
      </c>
      <c r="N104" s="4">
        <f t="shared" si="90"/>
        <v>0.63352315401237647</v>
      </c>
      <c r="O104" s="4">
        <f t="shared" si="117"/>
        <v>7.9167615770061879</v>
      </c>
      <c r="P104" s="4">
        <f t="shared" si="118"/>
        <v>7.2832384229938114</v>
      </c>
      <c r="Q104" s="4">
        <f t="shared" si="91"/>
        <v>0</v>
      </c>
      <c r="R104" s="4">
        <f t="shared" si="119"/>
        <v>7.6022000740282945</v>
      </c>
      <c r="S104" s="348">
        <f t="shared" si="92"/>
        <v>0.20227706087944533</v>
      </c>
      <c r="T104" s="348">
        <f t="shared" si="93"/>
        <v>0.2</v>
      </c>
      <c r="U104" s="348">
        <f t="shared" si="94"/>
        <v>0.40889384855117472</v>
      </c>
      <c r="V104" s="4">
        <f t="shared" si="120"/>
        <v>0.18288238175345317</v>
      </c>
      <c r="W104" s="348">
        <f t="shared" si="121"/>
        <v>3.3445965555815785E-5</v>
      </c>
      <c r="X104" s="348">
        <f t="shared" si="122"/>
        <v>3.3445965555815785E-5</v>
      </c>
      <c r="Y104" s="4">
        <f t="shared" si="123"/>
        <v>3.7584192048490905</v>
      </c>
      <c r="Z104" s="348">
        <f t="shared" si="124"/>
        <v>1.412571491937847E-2</v>
      </c>
      <c r="AA104" s="525">
        <f t="shared" si="125"/>
        <v>1.412571491937847E-2</v>
      </c>
      <c r="AB104" s="348">
        <f t="shared" si="126"/>
        <v>4.9576730720901363</v>
      </c>
      <c r="AC104" s="348">
        <f t="shared" si="95"/>
        <v>0.2949422674767318</v>
      </c>
      <c r="AD104" s="348">
        <f t="shared" si="96"/>
        <v>0.75753295336787552</v>
      </c>
      <c r="AE104" s="348">
        <f t="shared" si="97"/>
        <v>0.71819999999999995</v>
      </c>
      <c r="AF104" s="348">
        <f t="shared" si="98"/>
        <v>0</v>
      </c>
      <c r="AG104" s="348">
        <f t="shared" si="99"/>
        <v>1.8629867762476355</v>
      </c>
      <c r="AH104" s="348">
        <f t="shared" si="100"/>
        <v>5.7632389917327007</v>
      </c>
      <c r="AI104" s="348">
        <f t="shared" si="101"/>
        <v>0.13618118707089541</v>
      </c>
      <c r="AJ104" s="348">
        <f t="shared" si="102"/>
        <v>0.31281599999999993</v>
      </c>
      <c r="AK104" s="348">
        <f t="shared" si="103"/>
        <v>0.45917728394884993</v>
      </c>
      <c r="AL104" s="348">
        <f t="shared" si="104"/>
        <v>0.31281599999999993</v>
      </c>
      <c r="AM104" s="348">
        <f t="shared" si="105"/>
        <v>1.4124599999999998</v>
      </c>
      <c r="AN104" s="348">
        <f t="shared" si="106"/>
        <v>0.26584985144155671</v>
      </c>
      <c r="AO104" s="348">
        <f t="shared" si="107"/>
        <v>2.6400000000000001E-5</v>
      </c>
      <c r="AP104" s="348">
        <f t="shared" si="108"/>
        <v>0.34650000000000003</v>
      </c>
      <c r="AQ104" s="348">
        <f t="shared" si="109"/>
        <v>0.61836923076923067</v>
      </c>
      <c r="AR104" s="348">
        <f t="shared" si="110"/>
        <v>0.48509999999999998</v>
      </c>
      <c r="AS104" s="348">
        <f t="shared" si="133"/>
        <v>0.34652640000000001</v>
      </c>
      <c r="AT104" s="348">
        <f t="shared" si="111"/>
        <v>5.0828693210741509</v>
      </c>
      <c r="AU104">
        <f t="shared" si="112"/>
        <v>38</v>
      </c>
      <c r="AV104" s="526">
        <f t="shared" si="127"/>
        <v>0.88202110488059238</v>
      </c>
      <c r="AW104" s="534">
        <f t="shared" si="113"/>
        <v>117.3988358024007</v>
      </c>
      <c r="AX104" s="534">
        <f t="shared" si="114"/>
        <v>37.659265716718195</v>
      </c>
      <c r="AY104" s="9"/>
      <c r="AZ104" s="4">
        <f t="shared" si="128"/>
        <v>88.202110488059233</v>
      </c>
      <c r="BA104" s="348">
        <f t="shared" si="115"/>
        <v>0.40889384855117472</v>
      </c>
      <c r="BB104" s="348">
        <f t="shared" si="129"/>
        <v>3.7346240601964853</v>
      </c>
      <c r="BC104" s="348">
        <f t="shared" si="130"/>
        <v>2.7952103762476357</v>
      </c>
      <c r="BD104" s="348">
        <f t="shared" si="131"/>
        <v>0.9252890839488499</v>
      </c>
      <c r="BE104" s="348">
        <f t="shared" si="132"/>
        <v>0.26584985144155671</v>
      </c>
      <c r="BK104" s="18"/>
      <c r="BL104" s="19"/>
    </row>
    <row r="105" spans="7:64" x14ac:dyDescent="0.2">
      <c r="G105">
        <v>96</v>
      </c>
      <c r="H105" s="531">
        <f t="shared" si="85"/>
        <v>12</v>
      </c>
      <c r="I105" s="4">
        <f t="shared" si="86"/>
        <v>1</v>
      </c>
      <c r="J105" s="348">
        <f t="shared" si="116"/>
        <v>7.68</v>
      </c>
      <c r="K105" s="348">
        <f t="shared" si="87"/>
        <v>7.68</v>
      </c>
      <c r="L105" s="4">
        <f>Vout*K105/(Vin*Efficiency)</f>
        <v>3.5555555555555554</v>
      </c>
      <c r="M105" s="348">
        <f t="shared" si="89"/>
        <v>0.42537305455789293</v>
      </c>
      <c r="N105" s="4">
        <f>(Vin-(Rdson1+Rdcr)*K105-Vout)*M105/(Fsw*Lf)</f>
        <v>0.63354436655642399</v>
      </c>
      <c r="O105" s="4">
        <f t="shared" si="117"/>
        <v>7.9967721832782122</v>
      </c>
      <c r="P105" s="4">
        <f t="shared" si="118"/>
        <v>7.3632278167217873</v>
      </c>
      <c r="Q105" s="4">
        <f>IF(MIN(Vin, -P105/(Coss_Q1+Coss_Q2)*0.00000002)&lt;0, 0, MIN(Vin, -P105/(Coss_Q1+Coss_Q2)*0.00000002))</f>
        <v>0</v>
      </c>
      <c r="R105" s="4">
        <f t="shared" si="119"/>
        <v>7.6821773088992344</v>
      </c>
      <c r="S105" s="348">
        <f>R105^2*Rdcr</f>
        <v>0.206555468718782</v>
      </c>
      <c r="T105" s="348">
        <f t="shared" si="93"/>
        <v>0.2</v>
      </c>
      <c r="U105" s="348">
        <f>(T105+S105*(1+Ltc*(Ta-25)))/(1-S105*Ltc*ThetaCa)</f>
        <v>0.41338644722832102</v>
      </c>
      <c r="V105" s="4">
        <f t="shared" si="120"/>
        <v>0.18288850528746117</v>
      </c>
      <c r="W105" s="348">
        <f t="shared" si="121"/>
        <v>3.3448205366281715E-5</v>
      </c>
      <c r="X105" s="348">
        <f t="shared" si="122"/>
        <v>3.3448205366281715E-5</v>
      </c>
      <c r="Y105" s="4">
        <f t="shared" si="123"/>
        <v>3.7980642584930617</v>
      </c>
      <c r="Z105" s="348">
        <f t="shared" si="124"/>
        <v>1.4425292111642452E-2</v>
      </c>
      <c r="AA105" s="525">
        <f t="shared" si="125"/>
        <v>1.4425292111642452E-2</v>
      </c>
      <c r="AB105" s="348">
        <f t="shared" si="126"/>
        <v>5.0103644197245378</v>
      </c>
      <c r="AC105" s="348">
        <f>Rdson1*AB105^2</f>
        <v>0.30124501942129928</v>
      </c>
      <c r="AD105" s="348">
        <f t="shared" si="96"/>
        <v>0.76550698445595855</v>
      </c>
      <c r="AE105" s="348">
        <f t="shared" si="97"/>
        <v>0.71819999999999995</v>
      </c>
      <c r="AF105" s="348">
        <f t="shared" si="98"/>
        <v>0</v>
      </c>
      <c r="AG105" s="348">
        <f>(AF105+AE105+AD105+AC105*(1+RdsonTopTc*Ta-RdsonTopTc*25))/(1-AC105*RdsonTopTc*ThetaJA_Q1)</f>
        <v>1.8801024138926967</v>
      </c>
      <c r="AH105" s="348">
        <f t="shared" si="100"/>
        <v>5.8234093610980748</v>
      </c>
      <c r="AI105" s="348">
        <f>Rdson2*AH105^2</f>
        <v>0.13903959600639121</v>
      </c>
      <c r="AJ105" s="348">
        <f t="shared" si="102"/>
        <v>0.31610879999999997</v>
      </c>
      <c r="AK105" s="348">
        <f>(AJ105+AI105*(1+RdsonBotTc*Ta-RdsonBotTc*25))/(1-AI105*RdsonBotTc*ThetaJA_Q2)</f>
        <v>0.46568958060590931</v>
      </c>
      <c r="AL105" s="348">
        <f t="shared" si="104"/>
        <v>0.31610879999999997</v>
      </c>
      <c r="AM105" s="348">
        <f t="shared" si="105"/>
        <v>1.4273279999999999</v>
      </c>
      <c r="AN105" s="348">
        <f t="shared" si="106"/>
        <v>0.27147290174468491</v>
      </c>
      <c r="AO105" s="348">
        <f t="shared" si="107"/>
        <v>2.6400000000000001E-5</v>
      </c>
      <c r="AP105" s="348">
        <f t="shared" si="108"/>
        <v>0.34650000000000003</v>
      </c>
      <c r="AQ105" s="348">
        <f t="shared" si="109"/>
        <v>0.61836923076923067</v>
      </c>
      <c r="AR105" s="348">
        <f t="shared" si="110"/>
        <v>0.48509999999999998</v>
      </c>
      <c r="AS105" s="348">
        <f t="shared" si="133"/>
        <v>0.34652640000000001</v>
      </c>
      <c r="AT105" s="348">
        <f xml:space="preserve"> SUM(U105,X105,AA105,AG105,AK105,AL105,AM105,AS105,AN105)</f>
        <v>5.1350732837886213</v>
      </c>
      <c r="AU105">
        <f t="shared" si="112"/>
        <v>38.4</v>
      </c>
      <c r="AV105" s="526">
        <f t="shared" si="127"/>
        <v>0.88204744137410707</v>
      </c>
      <c r="AW105" s="534">
        <f t="shared" si="113"/>
        <v>118.52983354349325</v>
      </c>
      <c r="AX105" s="534">
        <f t="shared" si="114"/>
        <v>38.124008298660513</v>
      </c>
      <c r="AY105" s="9"/>
      <c r="AZ105" s="4">
        <f t="shared" si="128"/>
        <v>88.2047441374107</v>
      </c>
      <c r="BA105" s="348">
        <f t="shared" si="115"/>
        <v>0.41338644722832102</v>
      </c>
      <c r="BB105" s="348">
        <f t="shared" si="129"/>
        <v>3.7731199944986056</v>
      </c>
      <c r="BC105" s="348">
        <f t="shared" si="130"/>
        <v>2.8221388938926966</v>
      </c>
      <c r="BD105" s="348">
        <f t="shared" si="131"/>
        <v>0.93670782060590929</v>
      </c>
      <c r="BE105" s="348">
        <f t="shared" si="132"/>
        <v>0.27147290174468491</v>
      </c>
      <c r="BK105" s="18"/>
      <c r="BL105" s="19"/>
    </row>
    <row r="106" spans="7:64" x14ac:dyDescent="0.2">
      <c r="G106">
        <v>97</v>
      </c>
      <c r="H106" s="531">
        <f t="shared" si="85"/>
        <v>12</v>
      </c>
      <c r="I106" s="4">
        <f t="shared" si="86"/>
        <v>1</v>
      </c>
      <c r="J106" s="348">
        <f t="shared" si="116"/>
        <v>7.76</v>
      </c>
      <c r="K106" s="348">
        <f t="shared" si="87"/>
        <v>7.76</v>
      </c>
      <c r="L106" s="4">
        <f>Vout*K106/(Vin*Efficiency)</f>
        <v>3.5925925925925921</v>
      </c>
      <c r="M106" s="348">
        <f t="shared" si="89"/>
        <v>0.42546394004806259</v>
      </c>
      <c r="N106" s="4">
        <f>(Vin-(Rdson1+Rdcr)*K106-Vout)*M106/(Fsw*Lf)</f>
        <v>0.63356553628299939</v>
      </c>
      <c r="O106" s="4">
        <f t="shared" si="117"/>
        <v>8.0767827681415003</v>
      </c>
      <c r="P106" s="4">
        <f t="shared" si="118"/>
        <v>7.4432172318585001</v>
      </c>
      <c r="Q106" s="4">
        <f>IF(MIN(Vin, -P106/(Coss_Q1+Coss_Q2)*0.00000002)&lt;0, 0, MIN(Vin, -P106/(Coss_Q1+Coss_Q2)*0.00000002))</f>
        <v>0</v>
      </c>
      <c r="R106" s="4">
        <f t="shared" si="119"/>
        <v>7.7621550126708021</v>
      </c>
      <c r="S106" s="348">
        <f>R106^2*Rdcr</f>
        <v>0.21087867654255663</v>
      </c>
      <c r="T106" s="348">
        <f t="shared" si="93"/>
        <v>0.2</v>
      </c>
      <c r="U106" s="348">
        <f>(T106+S106*(1+Ltc*(Ta-25)))/(1-S106*Ltc*ThetaCa)</f>
        <v>0.41792926618589121</v>
      </c>
      <c r="V106" s="4">
        <f t="shared" si="120"/>
        <v>0.18289461646112967</v>
      </c>
      <c r="W106" s="348">
        <f t="shared" si="121"/>
        <v>3.3450440730463721E-5</v>
      </c>
      <c r="X106" s="348">
        <f t="shared" si="122"/>
        <v>3.3450440730463721E-5</v>
      </c>
      <c r="Y106" s="4">
        <f t="shared" si="123"/>
        <v>3.8377116116614101</v>
      </c>
      <c r="Z106" s="348">
        <f t="shared" si="124"/>
        <v>1.4728030414280818E-2</v>
      </c>
      <c r="AA106" s="525">
        <f t="shared" si="125"/>
        <v>1.4728030414280818E-2</v>
      </c>
      <c r="AB106" s="348">
        <f t="shared" si="126"/>
        <v>5.0630671842814552</v>
      </c>
      <c r="AC106" s="348">
        <f>Rdson1*AB106^2</f>
        <v>0.30761579175057291</v>
      </c>
      <c r="AD106" s="348">
        <f t="shared" si="96"/>
        <v>0.77348101554404147</v>
      </c>
      <c r="AE106" s="348">
        <f t="shared" si="97"/>
        <v>0.71819999999999995</v>
      </c>
      <c r="AF106" s="348">
        <f t="shared" si="98"/>
        <v>0</v>
      </c>
      <c r="AG106" s="348">
        <f>(AF106+AE106+AD106+AC106*(1+RdsonTopTc*Ta-RdsonTopTc*25))/(1-AC106*RdsonTopTc*ThetaJA_Q1)</f>
        <v>1.8973508620196118</v>
      </c>
      <c r="AH106" s="348">
        <f t="shared" si="100"/>
        <v>5.8835704404878779</v>
      </c>
      <c r="AI106" s="348">
        <f>Rdson2*AH106^2</f>
        <v>0.14192724462554915</v>
      </c>
      <c r="AJ106" s="348">
        <f t="shared" si="102"/>
        <v>0.31940159999999995</v>
      </c>
      <c r="AK106" s="348">
        <f>(AJ106+AI106*(1+RdsonBotTc*Ta-RdsonBotTc*25))/(1-AI106*RdsonBotTc*ThetaJA_Q2)</f>
        <v>0.47224031381848286</v>
      </c>
      <c r="AL106" s="348">
        <f t="shared" si="104"/>
        <v>0.31940159999999995</v>
      </c>
      <c r="AM106" s="348">
        <f t="shared" si="105"/>
        <v>1.442196</v>
      </c>
      <c r="AN106" s="348">
        <f t="shared" si="106"/>
        <v>0.27715483202736013</v>
      </c>
      <c r="AO106" s="348">
        <f t="shared" si="107"/>
        <v>2.6400000000000001E-5</v>
      </c>
      <c r="AP106" s="348">
        <f t="shared" si="108"/>
        <v>0.34650000000000003</v>
      </c>
      <c r="AQ106" s="348">
        <f t="shared" si="109"/>
        <v>0.61836923076923067</v>
      </c>
      <c r="AR106" s="348">
        <f t="shared" si="110"/>
        <v>0.48509999999999998</v>
      </c>
      <c r="AS106" s="348">
        <f t="shared" si="133"/>
        <v>0.34652640000000001</v>
      </c>
      <c r="AT106" s="348">
        <f xml:space="preserve"> SUM(U106,X106,AA106,AG106,AK106,AL106,AM106,AS106,AN106)</f>
        <v>5.1875607549063574</v>
      </c>
      <c r="AU106">
        <f t="shared" si="112"/>
        <v>38.799999999999997</v>
      </c>
      <c r="AV106" s="526">
        <f t="shared" si="127"/>
        <v>0.88206755123770442</v>
      </c>
      <c r="AW106" s="534">
        <f t="shared" si="113"/>
        <v>119.66640932482369</v>
      </c>
      <c r="AX106" s="534">
        <f t="shared" si="114"/>
        <v>38.590315248412253</v>
      </c>
      <c r="AY106" s="9"/>
      <c r="AZ106" s="4">
        <f t="shared" si="128"/>
        <v>88.206755123770435</v>
      </c>
      <c r="BA106" s="348">
        <f t="shared" si="115"/>
        <v>0.41792926618589121</v>
      </c>
      <c r="BB106" s="348">
        <f t="shared" si="129"/>
        <v>3.8117871758380946</v>
      </c>
      <c r="BC106" s="348">
        <f t="shared" si="130"/>
        <v>2.8492002220196118</v>
      </c>
      <c r="BD106" s="348">
        <f t="shared" si="131"/>
        <v>0.94816499381848285</v>
      </c>
      <c r="BE106" s="348">
        <f t="shared" si="132"/>
        <v>0.27715483202736013</v>
      </c>
      <c r="BK106" s="18"/>
      <c r="BL106" s="19"/>
    </row>
    <row r="107" spans="7:64" x14ac:dyDescent="0.2">
      <c r="G107">
        <v>98</v>
      </c>
      <c r="H107" s="531">
        <f t="shared" si="85"/>
        <v>12</v>
      </c>
      <c r="I107" s="4">
        <f t="shared" si="86"/>
        <v>1</v>
      </c>
      <c r="J107" s="348">
        <f t="shared" si="116"/>
        <v>7.84</v>
      </c>
      <c r="K107" s="348">
        <f t="shared" si="87"/>
        <v>7.84</v>
      </c>
      <c r="L107" s="4">
        <f>Vout*K107/(Vin*Efficiency)</f>
        <v>3.6296296296296298</v>
      </c>
      <c r="M107" s="348">
        <f t="shared" si="89"/>
        <v>0.42555482954583412</v>
      </c>
      <c r="N107" s="4">
        <f>(Vin-(Rdson1+Rdcr)*K107-Vout)*M107/(Fsw*Lf)</f>
        <v>0.63358666318927037</v>
      </c>
      <c r="O107" s="4">
        <f t="shared" si="117"/>
        <v>8.1567933315946348</v>
      </c>
      <c r="P107" s="4">
        <f t="shared" si="118"/>
        <v>7.5232066684053649</v>
      </c>
      <c r="Q107" s="4">
        <f>IF(MIN(Vin, -P107/(Coss_Q1+Coss_Q2)*0.00000002)&lt;0, 0, MIN(Vin, -P107/(Coss_Q1+Coss_Q2)*0.00000002))</f>
        <v>0</v>
      </c>
      <c r="R107" s="4">
        <f t="shared" si="119"/>
        <v>7.8421331709967541</v>
      </c>
      <c r="S107" s="348">
        <f>R107^2*Rdcr</f>
        <v>0.21524668435076663</v>
      </c>
      <c r="T107" s="348">
        <f t="shared" si="93"/>
        <v>0.2</v>
      </c>
      <c r="U107" s="348">
        <f>(T107+S107*(1+Ltc*(Ta-25)))/(1-S107*Ltc*ThetaCa)</f>
        <v>0.42252240814412051</v>
      </c>
      <c r="V107" s="4">
        <f t="shared" si="120"/>
        <v>0.18290071527364102</v>
      </c>
      <c r="W107" s="348">
        <f t="shared" si="121"/>
        <v>3.3452671647609502E-5</v>
      </c>
      <c r="X107" s="348">
        <f t="shared" si="122"/>
        <v>3.3452671647609502E-5</v>
      </c>
      <c r="Y107" s="4">
        <f t="shared" si="123"/>
        <v>3.8773612533192887</v>
      </c>
      <c r="Z107" s="348">
        <f t="shared" si="124"/>
        <v>1.5033930288741726E-2</v>
      </c>
      <c r="AA107" s="525">
        <f t="shared" si="125"/>
        <v>1.5033930288741726E-2</v>
      </c>
      <c r="AB107" s="348">
        <f t="shared" si="126"/>
        <v>5.1157813554640184</v>
      </c>
      <c r="AC107" s="348">
        <f>Rdson1*AB107^2</f>
        <v>0.31405462652295923</v>
      </c>
      <c r="AD107" s="348">
        <f t="shared" si="96"/>
        <v>0.78145504663212439</v>
      </c>
      <c r="AE107" s="348">
        <f t="shared" si="97"/>
        <v>0.71819999999999995</v>
      </c>
      <c r="AF107" s="348">
        <f t="shared" si="98"/>
        <v>0</v>
      </c>
      <c r="AG107" s="348">
        <f>(AF107+AE107+AD107+AC107*(1+RdsonTopTc*Ta-RdsonTopTc*25))/(1-AC107*RdsonTopTc*ThetaJA_Q1)</f>
        <v>1.9147332537540869</v>
      </c>
      <c r="AH107" s="348">
        <f t="shared" si="100"/>
        <v>5.943722217157724</v>
      </c>
      <c r="AI107" s="348">
        <f>Rdson2*AH107^2</f>
        <v>0.14484411855841073</v>
      </c>
      <c r="AJ107" s="348">
        <f t="shared" si="102"/>
        <v>0.32269439999999994</v>
      </c>
      <c r="AK107" s="348">
        <f>(AJ107+AI107*(1+RdsonBotTc*Ta-RdsonBotTc*25))/(1-AI107*RdsonBotTc*ThetaJA_Q2)</f>
        <v>0.47882961904761828</v>
      </c>
      <c r="AL107" s="348">
        <f t="shared" si="104"/>
        <v>0.32269439999999994</v>
      </c>
      <c r="AM107" s="348">
        <f t="shared" si="105"/>
        <v>1.4570639999999999</v>
      </c>
      <c r="AN107" s="348">
        <f t="shared" si="106"/>
        <v>0.28289564228957897</v>
      </c>
      <c r="AO107" s="348">
        <f t="shared" si="107"/>
        <v>2.6400000000000001E-5</v>
      </c>
      <c r="AP107" s="348">
        <f t="shared" si="108"/>
        <v>0.34650000000000003</v>
      </c>
      <c r="AQ107" s="348">
        <f t="shared" si="109"/>
        <v>0.61836923076923067</v>
      </c>
      <c r="AR107" s="348">
        <f t="shared" si="110"/>
        <v>0.48509999999999998</v>
      </c>
      <c r="AS107" s="348">
        <f t="shared" si="133"/>
        <v>0.34652640000000001</v>
      </c>
      <c r="AT107" s="348">
        <f xml:space="preserve"> SUM(U107,X107,AA107,AG107,AK107,AL107,AM107,AS107,AN107)</f>
        <v>5.2403331061957941</v>
      </c>
      <c r="AU107">
        <f t="shared" si="112"/>
        <v>39.200000000000003</v>
      </c>
      <c r="AV107" s="526">
        <f t="shared" si="127"/>
        <v>0.88208159705568923</v>
      </c>
      <c r="AW107" s="534">
        <f t="shared" si="113"/>
        <v>120.80861073767166</v>
      </c>
      <c r="AX107" s="534">
        <f t="shared" si="114"/>
        <v>39.058192079238069</v>
      </c>
      <c r="AY107" s="9"/>
      <c r="AZ107" s="4">
        <f t="shared" si="128"/>
        <v>88.208159705568917</v>
      </c>
      <c r="BA107" s="348">
        <f t="shared" si="115"/>
        <v>0.42252240814412051</v>
      </c>
      <c r="BB107" s="348">
        <f t="shared" si="129"/>
        <v>3.8506268728017052</v>
      </c>
      <c r="BC107" s="348">
        <f t="shared" si="130"/>
        <v>2.876395493754087</v>
      </c>
      <c r="BD107" s="348">
        <f t="shared" si="131"/>
        <v>0.95966073904761828</v>
      </c>
      <c r="BE107" s="348">
        <f t="shared" si="132"/>
        <v>0.28289564228957897</v>
      </c>
      <c r="BK107" s="18"/>
      <c r="BL107" s="19"/>
    </row>
    <row r="108" spans="7:64" x14ac:dyDescent="0.2">
      <c r="G108">
        <v>99</v>
      </c>
      <c r="H108" s="531">
        <f t="shared" si="85"/>
        <v>12</v>
      </c>
      <c r="I108" s="4">
        <f t="shared" si="86"/>
        <v>1</v>
      </c>
      <c r="J108" s="348">
        <f t="shared" si="116"/>
        <v>7.92</v>
      </c>
      <c r="K108" s="348">
        <f t="shared" si="87"/>
        <v>7.92</v>
      </c>
      <c r="L108" s="4">
        <f>Vout*K108/(Vin*Efficiency)</f>
        <v>3.6666666666666665</v>
      </c>
      <c r="M108" s="348">
        <f t="shared" si="89"/>
        <v>0.42564572305147275</v>
      </c>
      <c r="N108" s="4">
        <f>(Vin-(Rdson1+Rdcr)*K108-Vout)*M108/(Fsw*Lf)</f>
        <v>0.63360774727240488</v>
      </c>
      <c r="O108" s="4">
        <f t="shared" si="117"/>
        <v>8.2368038736362017</v>
      </c>
      <c r="P108" s="4">
        <f t="shared" si="118"/>
        <v>7.6031961263637973</v>
      </c>
      <c r="Q108" s="4">
        <f>IF(MIN(Vin, -P108/(Coss_Q1+Coss_Q2)*0.00000002)&lt;0, 0, MIN(Vin, -P108/(Coss_Q1+Coss_Q2)*0.00000002))</f>
        <v>0</v>
      </c>
      <c r="R108" s="4">
        <f t="shared" si="119"/>
        <v>7.9221117701100985</v>
      </c>
      <c r="S108" s="348">
        <f>R108^2*Rdcr</f>
        <v>0.21965949214340935</v>
      </c>
      <c r="T108" s="348">
        <f t="shared" si="93"/>
        <v>0.2</v>
      </c>
      <c r="U108" s="348">
        <f>(T108+S108*(1+Ltc*(Ta-25)))/(1-S108*Ltc*ThetaCa)</f>
        <v>0.42716597707014303</v>
      </c>
      <c r="V108" s="4">
        <f t="shared" si="120"/>
        <v>0.18290680172417767</v>
      </c>
      <c r="W108" s="348">
        <f t="shared" si="121"/>
        <v>3.3454898116967639E-5</v>
      </c>
      <c r="X108" s="348">
        <f t="shared" si="122"/>
        <v>3.3454898116967639E-5</v>
      </c>
      <c r="Y108" s="4">
        <f t="shared" si="123"/>
        <v>3.9170131727171542</v>
      </c>
      <c r="Z108" s="348">
        <f t="shared" si="124"/>
        <v>1.5342992195239706E-2</v>
      </c>
      <c r="AA108" s="525">
        <f t="shared" si="125"/>
        <v>1.5342992195239706E-2</v>
      </c>
      <c r="AB108" s="348">
        <f t="shared" si="126"/>
        <v>5.1685069233497698</v>
      </c>
      <c r="AC108" s="348">
        <f>Rdson1*AB108^2</f>
        <v>0.32056156580057404</v>
      </c>
      <c r="AD108" s="348">
        <f t="shared" si="96"/>
        <v>0.7894290777202071</v>
      </c>
      <c r="AE108" s="348">
        <f t="shared" si="97"/>
        <v>0.71819999999999995</v>
      </c>
      <c r="AF108" s="348">
        <f t="shared" si="98"/>
        <v>0</v>
      </c>
      <c r="AG108" s="348">
        <f>(AF108+AE108+AD108+AC108*(1+RdsonTopTc*Ta-RdsonTopTc*25))/(1-AC108*RdsonTopTc*ThetaJA_Q1)</f>
        <v>1.9322507376114098</v>
      </c>
      <c r="AH108" s="348">
        <f t="shared" si="100"/>
        <v>6.003864678805015</v>
      </c>
      <c r="AI108" s="348">
        <f>Rdson2*AH108^2</f>
        <v>0.14779020343375002</v>
      </c>
      <c r="AJ108" s="348">
        <f t="shared" si="102"/>
        <v>0.32598719999999998</v>
      </c>
      <c r="AK108" s="348">
        <f>(AJ108+AI108*(1+RdsonBotTc*Ta-RdsonBotTc*25))/(1-AI108*RdsonBotTc*ThetaJA_Q2)</f>
        <v>0.48545763308056494</v>
      </c>
      <c r="AL108" s="348">
        <f t="shared" si="104"/>
        <v>0.32598719999999998</v>
      </c>
      <c r="AM108" s="348">
        <f t="shared" si="105"/>
        <v>1.4719319999999998</v>
      </c>
      <c r="AN108" s="348">
        <f t="shared" si="106"/>
        <v>0.288695332531338</v>
      </c>
      <c r="AO108" s="348">
        <f t="shared" si="107"/>
        <v>2.6400000000000001E-5</v>
      </c>
      <c r="AP108" s="348">
        <f t="shared" si="108"/>
        <v>0.34650000000000003</v>
      </c>
      <c r="AQ108" s="348">
        <f t="shared" si="109"/>
        <v>0.61836923076923067</v>
      </c>
      <c r="AR108" s="348">
        <f t="shared" si="110"/>
        <v>0.48509999999999998</v>
      </c>
      <c r="AS108" s="348">
        <f t="shared" si="133"/>
        <v>0.34652640000000001</v>
      </c>
      <c r="AT108" s="348">
        <f xml:space="preserve"> SUM(U108,X108,AA108,AG108,AK108,AL108,AM108,AS108,AN108)</f>
        <v>5.2933917273868127</v>
      </c>
      <c r="AU108">
        <f t="shared" si="112"/>
        <v>39.6</v>
      </c>
      <c r="AV108" s="526">
        <f t="shared" si="127"/>
        <v>0.88208973473132291</v>
      </c>
      <c r="AW108" s="534">
        <f t="shared" si="113"/>
        <v>121.9564860196792</v>
      </c>
      <c r="AX108" s="534">
        <f t="shared" si="114"/>
        <v>39.527644358378993</v>
      </c>
      <c r="AY108" s="9"/>
      <c r="AZ108" s="4">
        <f t="shared" si="128"/>
        <v>88.208973473132289</v>
      </c>
      <c r="BA108" s="348">
        <f t="shared" si="115"/>
        <v>0.42716597707014303</v>
      </c>
      <c r="BB108" s="348">
        <f t="shared" si="129"/>
        <v>3.8896403706919744</v>
      </c>
      <c r="BC108" s="348">
        <f t="shared" si="130"/>
        <v>2.9037258576114096</v>
      </c>
      <c r="BD108" s="348">
        <f t="shared" si="131"/>
        <v>0.9711951930805649</v>
      </c>
      <c r="BE108" s="348">
        <f t="shared" si="132"/>
        <v>0.288695332531338</v>
      </c>
      <c r="BK108" s="18"/>
      <c r="BL108" s="19"/>
    </row>
    <row r="109" spans="7:64" x14ac:dyDescent="0.2">
      <c r="G109">
        <v>100</v>
      </c>
      <c r="H109" s="531">
        <f t="shared" si="85"/>
        <v>12</v>
      </c>
      <c r="I109" s="4">
        <f t="shared" si="86"/>
        <v>1</v>
      </c>
      <c r="J109" s="348">
        <f t="shared" si="116"/>
        <v>8</v>
      </c>
      <c r="K109" s="348">
        <f t="shared" si="87"/>
        <v>8</v>
      </c>
      <c r="L109" s="4">
        <f>Vout*K109/(Vin*Efficiency)</f>
        <v>3.7037037037037033</v>
      </c>
      <c r="M109" s="348">
        <f t="shared" si="89"/>
        <v>0.42573662056524353</v>
      </c>
      <c r="N109" s="4">
        <f>(Vin-(Rdson1+Rdcr)*K109-Vout)*M109/(Fsw*Lf)</f>
        <v>0.63362878852957016</v>
      </c>
      <c r="O109" s="4">
        <f t="shared" si="117"/>
        <v>8.3168143942647852</v>
      </c>
      <c r="P109" s="4">
        <f t="shared" si="118"/>
        <v>7.6831856057352148</v>
      </c>
      <c r="Q109" s="4">
        <f>IF(MIN(Vin, -P109/(Coss_Q1+Coss_Q2)*0.00000002)&lt;0, 0, MIN(Vin, -P109/(Coss_Q1+Coss_Q2)*0.00000002))</f>
        <v>0</v>
      </c>
      <c r="R109" s="4">
        <f t="shared" si="119"/>
        <v>8.0020907967941586</v>
      </c>
      <c r="S109" s="348">
        <f>R109^2*Rdcr</f>
        <v>0.2241170999204822</v>
      </c>
      <c r="T109" s="348">
        <f t="shared" si="93"/>
        <v>0.2</v>
      </c>
      <c r="U109" s="348">
        <f>(T109+S109*(1+Ltc*(Ta-25)))/(1-S109*Ltc*ThetaCa)</f>
        <v>0.43186007818400474</v>
      </c>
      <c r="V109" s="4">
        <f t="shared" si="120"/>
        <v>0.18291287581192189</v>
      </c>
      <c r="W109" s="348">
        <f t="shared" si="121"/>
        <v>3.3457120137787558E-5</v>
      </c>
      <c r="X109" s="348">
        <f t="shared" si="122"/>
        <v>3.3457120137787558E-5</v>
      </c>
      <c r="Y109" s="4">
        <f t="shared" si="123"/>
        <v>3.9566673593764992</v>
      </c>
      <c r="Z109" s="348">
        <f t="shared" si="124"/>
        <v>1.56552165927554E-2</v>
      </c>
      <c r="AA109" s="525">
        <f t="shared" si="125"/>
        <v>1.56552165927554E-2</v>
      </c>
      <c r="AB109" s="348">
        <f t="shared" si="126"/>
        <v>5.2212438783719817</v>
      </c>
      <c r="AC109" s="348">
        <f>Rdson1*AB109^2</f>
        <v>0.32713665164924272</v>
      </c>
      <c r="AD109" s="348">
        <f t="shared" si="96"/>
        <v>0.79740310880829013</v>
      </c>
      <c r="AE109" s="348">
        <f t="shared" si="97"/>
        <v>0.71819999999999995</v>
      </c>
      <c r="AF109" s="348">
        <f t="shared" si="98"/>
        <v>0</v>
      </c>
      <c r="AG109" s="348">
        <f>(AF109+AE109+AD109+AC109*(1+RdsonTopTc*Ta-RdsonTopTc*25))/(1-AC109*RdsonTopTc*ThetaJA_Q1)</f>
        <v>1.9499044777336501</v>
      </c>
      <c r="AH109" s="348">
        <f t="shared" si="100"/>
        <v>6.0639978135468429</v>
      </c>
      <c r="AI109" s="348">
        <f>Rdson2*AH109^2</f>
        <v>0.15076548487907365</v>
      </c>
      <c r="AJ109" s="348">
        <f t="shared" si="102"/>
        <v>0.32927999999999996</v>
      </c>
      <c r="AK109" s="348">
        <f>(AJ109+AI109*(1+RdsonBotTc*Ta-RdsonBotTc*25))/(1-AI109*RdsonBotTc*ThetaJA_Q2)</f>
        <v>0.49212449403973818</v>
      </c>
      <c r="AL109" s="348">
        <f t="shared" si="104"/>
        <v>0.32927999999999996</v>
      </c>
      <c r="AM109" s="348">
        <f t="shared" si="105"/>
        <v>1.4867999999999999</v>
      </c>
      <c r="AN109" s="348">
        <f t="shared" si="106"/>
        <v>0.29455390275263371</v>
      </c>
      <c r="AO109" s="348">
        <f t="shared" si="107"/>
        <v>2.6400000000000001E-5</v>
      </c>
      <c r="AP109" s="348">
        <f t="shared" si="108"/>
        <v>0.34650000000000003</v>
      </c>
      <c r="AQ109" s="348">
        <f t="shared" si="109"/>
        <v>0.61836923076923067</v>
      </c>
      <c r="AR109" s="348">
        <f t="shared" si="110"/>
        <v>0.48509999999999998</v>
      </c>
      <c r="AS109" s="348">
        <f t="shared" si="133"/>
        <v>0.34652640000000001</v>
      </c>
      <c r="AT109" s="348">
        <f xml:space="preserve"> SUM(U109,X109,AA109,AG109,AK109,AL109,AM109,AS109,AN109)</f>
        <v>5.3467380264229201</v>
      </c>
      <c r="AU109">
        <f t="shared" si="112"/>
        <v>40</v>
      </c>
      <c r="AV109" s="526">
        <f t="shared" si="127"/>
        <v>0.88209211380744856</v>
      </c>
      <c r="AW109" s="534">
        <f t="shared" si="113"/>
        <v>123.11008406481331</v>
      </c>
      <c r="AX109" s="534">
        <f t="shared" si="114"/>
        <v>39.998677707417343</v>
      </c>
      <c r="AY109" s="9"/>
      <c r="AZ109" s="4">
        <f t="shared" si="128"/>
        <v>88.209211380744861</v>
      </c>
      <c r="BA109" s="348">
        <f t="shared" si="115"/>
        <v>0.43186007818400474</v>
      </c>
      <c r="BB109" s="348">
        <f t="shared" si="129"/>
        <v>3.9288289717733882</v>
      </c>
      <c r="BC109" s="348">
        <f t="shared" si="130"/>
        <v>2.9311924777336502</v>
      </c>
      <c r="BD109" s="348">
        <f t="shared" si="131"/>
        <v>0.98276849403973809</v>
      </c>
      <c r="BE109" s="348">
        <f t="shared" si="132"/>
        <v>0.29455390275263371</v>
      </c>
      <c r="BK109" s="18"/>
      <c r="BL109" s="19"/>
    </row>
    <row r="110" spans="7:64" x14ac:dyDescent="0.2">
      <c r="H110" s="531"/>
      <c r="I110" s="4"/>
      <c r="J110" s="4"/>
      <c r="L110" s="4"/>
      <c r="R110" s="348"/>
      <c r="S110" s="348"/>
      <c r="T110" s="348"/>
      <c r="U110" s="348"/>
      <c r="W110" s="348"/>
      <c r="X110" s="348"/>
      <c r="Y110" s="348"/>
      <c r="Z110" s="348"/>
      <c r="AA110" s="525"/>
      <c r="AB110" s="348"/>
      <c r="AC110" s="348"/>
      <c r="AD110" s="348"/>
      <c r="AE110" s="348"/>
      <c r="AG110" s="348"/>
      <c r="AH110" s="348"/>
      <c r="AI110" s="348"/>
      <c r="AJ110" s="348"/>
      <c r="AK110" s="348"/>
      <c r="AL110" s="348"/>
      <c r="AM110" s="348"/>
      <c r="AN110" s="348"/>
      <c r="AO110" s="348"/>
      <c r="AP110" s="348"/>
      <c r="AQ110" s="348"/>
      <c r="AR110" s="348"/>
      <c r="AS110" s="348"/>
      <c r="AT110" s="348"/>
      <c r="AV110" s="526"/>
      <c r="AW110" s="534"/>
      <c r="AX110" s="534"/>
      <c r="AY110" s="9"/>
      <c r="AZ110" s="48"/>
      <c r="BA110" s="348"/>
      <c r="BB110" s="348"/>
      <c r="BC110" s="348"/>
      <c r="BD110" s="348"/>
      <c r="BE110" s="348"/>
    </row>
    <row r="111" spans="7:64" x14ac:dyDescent="0.2">
      <c r="H111" s="531"/>
      <c r="I111" s="4"/>
      <c r="J111" s="4"/>
      <c r="L111" s="4"/>
      <c r="R111" s="348"/>
      <c r="S111" s="348"/>
      <c r="T111" s="348"/>
      <c r="U111" s="348"/>
      <c r="W111" s="348"/>
      <c r="X111" s="348"/>
      <c r="Y111" s="348"/>
      <c r="Z111" s="348"/>
      <c r="AA111" s="525"/>
      <c r="AB111" s="348"/>
      <c r="AC111" s="348"/>
      <c r="AD111" s="348"/>
      <c r="AE111" s="348"/>
      <c r="AG111" s="348"/>
      <c r="AH111" s="348"/>
      <c r="AI111" s="348"/>
      <c r="AJ111" s="348"/>
      <c r="AK111" s="348"/>
      <c r="AL111" s="348"/>
      <c r="AM111" s="348"/>
      <c r="AN111" s="348"/>
      <c r="AO111" s="348"/>
      <c r="AP111" s="348"/>
      <c r="AQ111" s="348"/>
      <c r="AR111" s="348"/>
      <c r="AS111" s="348"/>
      <c r="AT111" s="348"/>
      <c r="AV111" s="526"/>
      <c r="AW111" s="534"/>
      <c r="AX111" s="534"/>
      <c r="AY111" s="9"/>
      <c r="AZ111" s="48"/>
      <c r="BA111" s="348"/>
      <c r="BB111" s="348"/>
      <c r="BC111" s="348"/>
      <c r="BD111" s="348"/>
      <c r="BE111" s="348"/>
    </row>
    <row r="112" spans="7:64" x14ac:dyDescent="0.2">
      <c r="H112" s="531"/>
      <c r="I112" s="4"/>
      <c r="J112" s="4"/>
      <c r="L112" s="4"/>
      <c r="R112" s="348"/>
      <c r="S112" s="348"/>
      <c r="T112" s="348"/>
      <c r="U112" s="348"/>
      <c r="W112" s="348"/>
      <c r="X112" s="348"/>
      <c r="Y112" s="348"/>
      <c r="Z112" s="348"/>
      <c r="AA112" s="525"/>
      <c r="AB112" s="348"/>
      <c r="AC112" s="348"/>
      <c r="AD112" s="348"/>
      <c r="AE112" s="348"/>
      <c r="AG112" s="348"/>
      <c r="AH112" s="348"/>
      <c r="AI112" s="348"/>
      <c r="AJ112" s="348"/>
      <c r="AK112" s="348"/>
      <c r="AL112" s="348"/>
      <c r="AM112" s="348"/>
      <c r="AN112" s="348"/>
      <c r="AO112" s="348"/>
      <c r="AP112" s="348"/>
      <c r="AQ112" s="348"/>
      <c r="AR112" s="348"/>
      <c r="AS112" s="348"/>
      <c r="AT112" s="348"/>
      <c r="AV112" s="526"/>
      <c r="AW112" s="534"/>
      <c r="AX112" s="534"/>
      <c r="AY112" s="9"/>
      <c r="AZ112" s="48"/>
      <c r="BA112" s="348"/>
      <c r="BB112" s="348"/>
      <c r="BC112" s="348"/>
      <c r="BD112" s="348"/>
      <c r="BE112" s="348"/>
    </row>
    <row r="113" spans="8:57" x14ac:dyDescent="0.2">
      <c r="H113" s="531"/>
      <c r="I113" s="4"/>
      <c r="J113" s="4"/>
      <c r="L113" s="4"/>
      <c r="R113" s="348"/>
      <c r="S113" s="348"/>
      <c r="T113" s="348"/>
      <c r="U113" s="348"/>
      <c r="W113" s="348"/>
      <c r="X113" s="348"/>
      <c r="Y113" s="348"/>
      <c r="Z113" s="348"/>
      <c r="AA113" s="525"/>
      <c r="AB113" s="348"/>
      <c r="AC113" s="348"/>
      <c r="AD113" s="348"/>
      <c r="AE113" s="348"/>
      <c r="AG113" s="348"/>
      <c r="AH113" s="348"/>
      <c r="AI113" s="348"/>
      <c r="AJ113" s="348"/>
      <c r="AK113" s="348"/>
      <c r="AL113" s="348"/>
      <c r="AM113" s="348"/>
      <c r="AN113" s="348"/>
      <c r="AO113" s="348"/>
      <c r="AP113" s="348"/>
      <c r="AQ113" s="348"/>
      <c r="AR113" s="348"/>
      <c r="AS113" s="348"/>
      <c r="AT113" s="348"/>
      <c r="AV113" s="526"/>
      <c r="AW113" s="534"/>
      <c r="AX113" s="534"/>
      <c r="AY113" s="9"/>
      <c r="AZ113" s="48"/>
      <c r="BA113" s="348"/>
      <c r="BB113" s="348"/>
      <c r="BC113" s="348"/>
      <c r="BD113" s="348"/>
      <c r="BE113" s="348"/>
    </row>
    <row r="114" spans="8:57" x14ac:dyDescent="0.2">
      <c r="H114" s="531"/>
      <c r="I114" s="4"/>
      <c r="J114" s="4"/>
      <c r="L114" s="4"/>
      <c r="R114" s="348"/>
      <c r="S114" s="348"/>
      <c r="T114" s="348"/>
      <c r="U114" s="348"/>
      <c r="W114" s="348"/>
      <c r="X114" s="348"/>
      <c r="Y114" s="348"/>
      <c r="Z114" s="348"/>
      <c r="AA114" s="525"/>
      <c r="AB114" s="348"/>
      <c r="AC114" s="348"/>
      <c r="AD114" s="348"/>
      <c r="AE114" s="348"/>
      <c r="AG114" s="348"/>
      <c r="AH114" s="348"/>
      <c r="AI114" s="348"/>
      <c r="AJ114" s="348"/>
      <c r="AK114" s="348"/>
      <c r="AL114" s="348"/>
      <c r="AM114" s="348"/>
      <c r="AN114" s="348"/>
      <c r="AO114" s="348"/>
      <c r="AP114" s="348"/>
      <c r="AQ114" s="348"/>
      <c r="AR114" s="348"/>
      <c r="AS114" s="348"/>
      <c r="AT114" s="348"/>
      <c r="AV114" s="526"/>
      <c r="AW114" s="534"/>
      <c r="AX114" s="534"/>
      <c r="AY114" s="9"/>
      <c r="AZ114" s="48"/>
      <c r="BA114" s="348"/>
      <c r="BB114" s="348"/>
      <c r="BC114" s="348"/>
      <c r="BD114" s="348"/>
      <c r="BE114" s="348"/>
    </row>
    <row r="115" spans="8:57" x14ac:dyDescent="0.2">
      <c r="H115" s="531"/>
      <c r="I115" s="4"/>
      <c r="J115" s="4"/>
      <c r="L115" s="4"/>
      <c r="R115" s="348"/>
      <c r="S115" s="348"/>
      <c r="T115" s="348"/>
      <c r="U115" s="348"/>
      <c r="W115" s="348"/>
      <c r="X115" s="348"/>
      <c r="Y115" s="348"/>
      <c r="Z115" s="348"/>
      <c r="AA115" s="525"/>
      <c r="AB115" s="348"/>
      <c r="AC115" s="348"/>
      <c r="AD115" s="348"/>
      <c r="AE115" s="348"/>
      <c r="AG115" s="348"/>
      <c r="AH115" s="348"/>
      <c r="AI115" s="348"/>
      <c r="AJ115" s="348"/>
      <c r="AK115" s="348"/>
      <c r="AL115" s="348"/>
      <c r="AM115" s="348"/>
      <c r="AN115" s="348"/>
      <c r="AO115" s="348"/>
      <c r="AP115" s="348"/>
      <c r="AQ115" s="348"/>
      <c r="AR115" s="348"/>
      <c r="AS115" s="348"/>
      <c r="AT115" s="348"/>
      <c r="AV115" s="526"/>
      <c r="AW115" s="534"/>
      <c r="AX115" s="534"/>
      <c r="AY115" s="9"/>
      <c r="AZ115" s="48"/>
      <c r="BA115" s="348"/>
      <c r="BB115" s="348"/>
      <c r="BC115" s="348"/>
      <c r="BD115" s="348"/>
      <c r="BE115" s="348"/>
    </row>
    <row r="116" spans="8:57" x14ac:dyDescent="0.2">
      <c r="H116" s="531"/>
      <c r="I116" s="4"/>
      <c r="J116" s="4"/>
      <c r="L116" s="4"/>
      <c r="R116" s="348"/>
      <c r="S116" s="348"/>
      <c r="T116" s="348"/>
      <c r="U116" s="348"/>
      <c r="W116" s="348"/>
      <c r="X116" s="348"/>
      <c r="Y116" s="348"/>
      <c r="Z116" s="348"/>
      <c r="AA116" s="525"/>
      <c r="AB116" s="348"/>
      <c r="AC116" s="348"/>
      <c r="AD116" s="348"/>
      <c r="AE116" s="348"/>
      <c r="AG116" s="348"/>
      <c r="AH116" s="348"/>
      <c r="AI116" s="348"/>
      <c r="AJ116" s="348"/>
      <c r="AK116" s="348"/>
      <c r="AL116" s="348"/>
      <c r="AM116" s="348"/>
      <c r="AN116" s="348"/>
      <c r="AO116" s="348"/>
      <c r="AP116" s="348"/>
      <c r="AQ116" s="348"/>
      <c r="AR116" s="348"/>
      <c r="AS116" s="348"/>
      <c r="AT116" s="348"/>
      <c r="AV116" s="526"/>
      <c r="AW116" s="534"/>
      <c r="AX116" s="534"/>
      <c r="AY116" s="9"/>
      <c r="AZ116" s="48"/>
      <c r="BA116" s="348"/>
      <c r="BB116" s="348"/>
      <c r="BC116" s="348"/>
      <c r="BD116" s="348"/>
      <c r="BE116" s="348"/>
    </row>
    <row r="117" spans="8:57" x14ac:dyDescent="0.2">
      <c r="H117" s="531"/>
      <c r="I117" s="4"/>
      <c r="J117" s="4"/>
      <c r="L117" s="4"/>
      <c r="R117" s="348"/>
      <c r="S117" s="348"/>
      <c r="T117" s="348"/>
      <c r="U117" s="348"/>
      <c r="W117" s="348"/>
      <c r="X117" s="348"/>
      <c r="Y117" s="348"/>
      <c r="Z117" s="348"/>
      <c r="AA117" s="525"/>
      <c r="AB117" s="348"/>
      <c r="AC117" s="348"/>
      <c r="AD117" s="348"/>
      <c r="AE117" s="348"/>
      <c r="AG117" s="348"/>
      <c r="AH117" s="348"/>
      <c r="AI117" s="348"/>
      <c r="AJ117" s="348"/>
      <c r="AK117" s="348"/>
      <c r="AL117" s="348"/>
      <c r="AM117" s="348"/>
      <c r="AN117" s="348"/>
      <c r="AO117" s="348"/>
      <c r="AP117" s="348"/>
      <c r="AQ117" s="348"/>
      <c r="AR117" s="348"/>
      <c r="AS117" s="348"/>
      <c r="AT117" s="348"/>
      <c r="AV117" s="526"/>
      <c r="AW117" s="534"/>
      <c r="AX117" s="534"/>
      <c r="AY117" s="9"/>
      <c r="AZ117" s="48"/>
      <c r="BA117" s="348"/>
      <c r="BB117" s="348"/>
      <c r="BC117" s="348"/>
      <c r="BD117" s="348"/>
      <c r="BE117" s="348"/>
    </row>
    <row r="118" spans="8:57" x14ac:dyDescent="0.2">
      <c r="H118" s="531"/>
      <c r="I118" s="4"/>
      <c r="J118" s="4"/>
      <c r="L118" s="4"/>
      <c r="R118" s="348"/>
      <c r="S118" s="348"/>
      <c r="T118" s="348"/>
      <c r="U118" s="348"/>
      <c r="W118" s="348"/>
      <c r="X118" s="348"/>
      <c r="Y118" s="348"/>
      <c r="Z118" s="348"/>
      <c r="AA118" s="525"/>
      <c r="AB118" s="348"/>
      <c r="AC118" s="348"/>
      <c r="AD118" s="348"/>
      <c r="AE118" s="348"/>
      <c r="AG118" s="348"/>
      <c r="AH118" s="348"/>
      <c r="AI118" s="348"/>
      <c r="AJ118" s="348"/>
      <c r="AK118" s="348"/>
      <c r="AL118" s="348"/>
      <c r="AM118" s="348"/>
      <c r="AN118" s="348"/>
      <c r="AO118" s="348"/>
      <c r="AP118" s="348"/>
      <c r="AQ118" s="348"/>
      <c r="AR118" s="348"/>
      <c r="AS118" s="348"/>
      <c r="AT118" s="348"/>
      <c r="AV118" s="526"/>
      <c r="AW118" s="534"/>
      <c r="AX118" s="534"/>
      <c r="AY118" s="9"/>
      <c r="AZ118" s="48"/>
      <c r="BA118" s="348"/>
      <c r="BB118" s="348"/>
      <c r="BC118" s="348"/>
      <c r="BD118" s="348"/>
      <c r="BE118" s="348"/>
    </row>
    <row r="119" spans="8:57" x14ac:dyDescent="0.2">
      <c r="H119" s="531"/>
      <c r="I119" s="4"/>
      <c r="J119" s="4"/>
      <c r="L119" s="4"/>
      <c r="R119" s="348"/>
      <c r="S119" s="348"/>
      <c r="T119" s="348"/>
      <c r="U119" s="348"/>
      <c r="W119" s="348"/>
      <c r="X119" s="348"/>
      <c r="Y119" s="348"/>
      <c r="Z119" s="348"/>
      <c r="AA119" s="525"/>
      <c r="AB119" s="348"/>
      <c r="AC119" s="348"/>
      <c r="AD119" s="348"/>
      <c r="AE119" s="348"/>
      <c r="AG119" s="348"/>
      <c r="AH119" s="348"/>
      <c r="AI119" s="348"/>
      <c r="AJ119" s="348"/>
      <c r="AK119" s="348"/>
      <c r="AL119" s="348"/>
      <c r="AM119" s="348"/>
      <c r="AN119" s="348"/>
      <c r="AO119" s="348"/>
      <c r="AP119" s="348"/>
      <c r="AQ119" s="348"/>
      <c r="AR119" s="348"/>
      <c r="AS119" s="348"/>
      <c r="AT119" s="348"/>
      <c r="AV119" s="526"/>
      <c r="AW119" s="534"/>
      <c r="AX119" s="534"/>
      <c r="AY119" s="9"/>
      <c r="AZ119" s="48"/>
      <c r="BA119" s="348"/>
      <c r="BB119" s="348"/>
      <c r="BC119" s="348"/>
      <c r="BD119" s="348"/>
      <c r="BE119" s="348"/>
    </row>
    <row r="120" spans="8:57" x14ac:dyDescent="0.2">
      <c r="H120" s="531"/>
      <c r="I120" s="4"/>
      <c r="J120" s="4"/>
      <c r="L120" s="4"/>
      <c r="R120" s="348"/>
      <c r="S120" s="348"/>
      <c r="T120" s="348"/>
      <c r="U120" s="348"/>
      <c r="W120" s="348"/>
      <c r="X120" s="348"/>
      <c r="Y120" s="348"/>
      <c r="Z120" s="348"/>
      <c r="AA120" s="525"/>
      <c r="AB120" s="348"/>
      <c r="AC120" s="348"/>
      <c r="AD120" s="348"/>
      <c r="AE120" s="348"/>
      <c r="AG120" s="348"/>
      <c r="AH120" s="348"/>
      <c r="AI120" s="348"/>
      <c r="AJ120" s="348"/>
      <c r="AK120" s="348"/>
      <c r="AL120" s="348"/>
      <c r="AM120" s="348"/>
      <c r="AN120" s="348"/>
      <c r="AO120" s="348"/>
      <c r="AP120" s="348"/>
      <c r="AQ120" s="348"/>
      <c r="AR120" s="348"/>
      <c r="AS120" s="348"/>
      <c r="AT120" s="348"/>
      <c r="AV120" s="526"/>
      <c r="AW120" s="534"/>
      <c r="AX120" s="534"/>
      <c r="AY120" s="9"/>
      <c r="AZ120" s="48"/>
      <c r="BA120" s="348"/>
      <c r="BB120" s="348"/>
      <c r="BC120" s="348"/>
      <c r="BD120" s="348"/>
      <c r="BE120" s="348"/>
    </row>
    <row r="121" spans="8:57" x14ac:dyDescent="0.2">
      <c r="H121" s="531"/>
      <c r="I121" s="4"/>
      <c r="J121" s="4"/>
      <c r="L121" s="4"/>
      <c r="R121" s="348"/>
      <c r="S121" s="348"/>
      <c r="T121" s="348"/>
      <c r="U121" s="348"/>
      <c r="W121" s="348"/>
      <c r="X121" s="348"/>
      <c r="Y121" s="348"/>
      <c r="Z121" s="348"/>
      <c r="AA121" s="525"/>
      <c r="AB121" s="348"/>
      <c r="AC121" s="348"/>
      <c r="AD121" s="348"/>
      <c r="AE121" s="348"/>
      <c r="AG121" s="348"/>
      <c r="AH121" s="348"/>
      <c r="AI121" s="348"/>
      <c r="AJ121" s="348"/>
      <c r="AK121" s="348"/>
      <c r="AL121" s="348"/>
      <c r="AM121" s="348"/>
      <c r="AN121" s="348"/>
      <c r="AO121" s="348"/>
      <c r="AP121" s="348"/>
      <c r="AQ121" s="348"/>
      <c r="AR121" s="348"/>
      <c r="AS121" s="348"/>
      <c r="AT121" s="348"/>
      <c r="AV121" s="526"/>
      <c r="AW121" s="534"/>
      <c r="AX121" s="534"/>
      <c r="AY121" s="9"/>
      <c r="AZ121" s="48"/>
      <c r="BA121" s="348"/>
      <c r="BB121" s="348"/>
      <c r="BC121" s="348"/>
      <c r="BD121" s="348"/>
      <c r="BE121" s="348"/>
    </row>
    <row r="122" spans="8:57" x14ac:dyDescent="0.2">
      <c r="H122" s="531"/>
      <c r="I122" s="4"/>
      <c r="J122" s="4"/>
      <c r="L122" s="4"/>
      <c r="R122" s="348"/>
      <c r="S122" s="348"/>
      <c r="T122" s="348"/>
      <c r="U122" s="348"/>
      <c r="W122" s="348"/>
      <c r="X122" s="348"/>
      <c r="Y122" s="348"/>
      <c r="Z122" s="348"/>
      <c r="AA122" s="525"/>
      <c r="AB122" s="348"/>
      <c r="AC122" s="348"/>
      <c r="AD122" s="348"/>
      <c r="AE122" s="348"/>
      <c r="AG122" s="348"/>
      <c r="AH122" s="348"/>
      <c r="AI122" s="348"/>
      <c r="AJ122" s="348"/>
      <c r="AK122" s="348"/>
      <c r="AL122" s="348"/>
      <c r="AM122" s="348"/>
      <c r="AN122" s="348"/>
      <c r="AO122" s="348"/>
      <c r="AP122" s="348"/>
      <c r="AQ122" s="348"/>
      <c r="AR122" s="348"/>
      <c r="AS122" s="348"/>
      <c r="AT122" s="348"/>
      <c r="AV122" s="526"/>
      <c r="AW122" s="534"/>
      <c r="AX122" s="534"/>
      <c r="AY122" s="9"/>
      <c r="AZ122" s="48"/>
      <c r="BA122" s="348"/>
      <c r="BB122" s="348"/>
      <c r="BC122" s="348"/>
      <c r="BD122" s="348"/>
      <c r="BE122" s="348"/>
    </row>
    <row r="123" spans="8:57" x14ac:dyDescent="0.2">
      <c r="H123" s="531"/>
      <c r="I123" s="4"/>
      <c r="J123" s="4"/>
      <c r="L123" s="4"/>
      <c r="R123" s="348"/>
      <c r="S123" s="348"/>
      <c r="T123" s="348"/>
      <c r="U123" s="348"/>
      <c r="W123" s="348"/>
      <c r="X123" s="348"/>
      <c r="Y123" s="348"/>
      <c r="Z123" s="348"/>
      <c r="AA123" s="525"/>
      <c r="AB123" s="348"/>
      <c r="AC123" s="348"/>
      <c r="AD123" s="348"/>
      <c r="AE123" s="348"/>
      <c r="AG123" s="348"/>
      <c r="AH123" s="348"/>
      <c r="AI123" s="348"/>
      <c r="AJ123" s="348"/>
      <c r="AK123" s="348"/>
      <c r="AL123" s="348"/>
      <c r="AM123" s="348"/>
      <c r="AN123" s="348"/>
      <c r="AO123" s="348"/>
      <c r="AP123" s="348"/>
      <c r="AQ123" s="348"/>
      <c r="AR123" s="348"/>
      <c r="AS123" s="348"/>
      <c r="AT123" s="348"/>
      <c r="AV123" s="526"/>
      <c r="AW123" s="534"/>
      <c r="AX123" s="534"/>
      <c r="AY123" s="9"/>
      <c r="AZ123" s="48"/>
      <c r="BA123" s="348"/>
      <c r="BB123" s="348"/>
      <c r="BC123" s="348"/>
      <c r="BD123" s="348"/>
      <c r="BE123" s="348"/>
    </row>
    <row r="124" spans="8:57" x14ac:dyDescent="0.2">
      <c r="H124" s="531"/>
      <c r="I124" s="4"/>
      <c r="J124" s="4"/>
      <c r="L124" s="4"/>
      <c r="R124" s="348"/>
      <c r="S124" s="348"/>
      <c r="T124" s="348"/>
      <c r="U124" s="348"/>
      <c r="W124" s="348"/>
      <c r="X124" s="348"/>
      <c r="Y124" s="348"/>
      <c r="Z124" s="348"/>
      <c r="AA124" s="525"/>
      <c r="AB124" s="348"/>
      <c r="AC124" s="348"/>
      <c r="AD124" s="348"/>
      <c r="AE124" s="348"/>
      <c r="AG124" s="348"/>
      <c r="AH124" s="348"/>
      <c r="AI124" s="348"/>
      <c r="AJ124" s="348"/>
      <c r="AK124" s="348"/>
      <c r="AL124" s="348"/>
      <c r="AM124" s="348"/>
      <c r="AN124" s="348"/>
      <c r="AO124" s="348"/>
      <c r="AP124" s="348"/>
      <c r="AQ124" s="348"/>
      <c r="AR124" s="348"/>
      <c r="AS124" s="348"/>
      <c r="AT124" s="348"/>
      <c r="AV124" s="526"/>
      <c r="AW124" s="534"/>
      <c r="AX124" s="534"/>
      <c r="AY124" s="9"/>
      <c r="AZ124" s="48"/>
      <c r="BA124" s="348"/>
      <c r="BB124" s="348"/>
      <c r="BC124" s="348"/>
      <c r="BD124" s="348"/>
      <c r="BE124" s="348"/>
    </row>
    <row r="125" spans="8:57" x14ac:dyDescent="0.2">
      <c r="H125" s="531"/>
      <c r="I125" s="4"/>
      <c r="J125" s="4"/>
      <c r="L125" s="4"/>
      <c r="R125" s="348"/>
      <c r="S125" s="348"/>
      <c r="T125" s="348"/>
      <c r="U125" s="348"/>
      <c r="W125" s="348"/>
      <c r="X125" s="348"/>
      <c r="Y125" s="348"/>
      <c r="Z125" s="348"/>
      <c r="AA125" s="525"/>
      <c r="AB125" s="348"/>
      <c r="AC125" s="348"/>
      <c r="AD125" s="348"/>
      <c r="AE125" s="348"/>
      <c r="AG125" s="348"/>
      <c r="AH125" s="348"/>
      <c r="AI125" s="348"/>
      <c r="AJ125" s="348"/>
      <c r="AK125" s="348"/>
      <c r="AL125" s="348"/>
      <c r="AM125" s="348"/>
      <c r="AN125" s="348"/>
      <c r="AO125" s="348"/>
      <c r="AP125" s="348"/>
      <c r="AQ125" s="348"/>
      <c r="AR125" s="348"/>
      <c r="AS125" s="348"/>
      <c r="AT125" s="348"/>
      <c r="AV125" s="526"/>
      <c r="AW125" s="534"/>
      <c r="AX125" s="534"/>
      <c r="AY125" s="9"/>
      <c r="AZ125" s="48"/>
      <c r="BA125" s="348"/>
      <c r="BB125" s="348"/>
      <c r="BC125" s="348"/>
      <c r="BD125" s="348"/>
      <c r="BE125" s="348"/>
    </row>
    <row r="126" spans="8:57" x14ac:dyDescent="0.2">
      <c r="H126" s="531"/>
      <c r="I126" s="4"/>
      <c r="J126" s="4"/>
      <c r="L126" s="4"/>
      <c r="R126" s="348"/>
      <c r="S126" s="348"/>
      <c r="T126" s="348"/>
      <c r="U126" s="348"/>
      <c r="W126" s="348"/>
      <c r="X126" s="348"/>
      <c r="Y126" s="348"/>
      <c r="Z126" s="348"/>
      <c r="AA126" s="525"/>
      <c r="AB126" s="348"/>
      <c r="AC126" s="348"/>
      <c r="AD126" s="348"/>
      <c r="AE126" s="348"/>
      <c r="AG126" s="348"/>
      <c r="AH126" s="348"/>
      <c r="AI126" s="348"/>
      <c r="AJ126" s="348"/>
      <c r="AK126" s="348"/>
      <c r="AL126" s="348"/>
      <c r="AM126" s="348"/>
      <c r="AN126" s="348"/>
      <c r="AO126" s="348"/>
      <c r="AP126" s="348"/>
      <c r="AQ126" s="348"/>
      <c r="AR126" s="348"/>
      <c r="AS126" s="348"/>
      <c r="AT126" s="348"/>
      <c r="AV126" s="526"/>
      <c r="AW126" s="534"/>
      <c r="AX126" s="534"/>
      <c r="AY126" s="9"/>
      <c r="AZ126" s="48"/>
      <c r="BA126" s="348"/>
      <c r="BB126" s="348"/>
      <c r="BC126" s="348"/>
      <c r="BD126" s="348"/>
      <c r="BE126" s="348"/>
    </row>
    <row r="127" spans="8:57" x14ac:dyDescent="0.2">
      <c r="H127" s="531"/>
      <c r="I127" s="4"/>
      <c r="J127" s="4"/>
      <c r="L127" s="4"/>
      <c r="R127" s="348"/>
      <c r="S127" s="348"/>
      <c r="T127" s="348"/>
      <c r="U127" s="348"/>
      <c r="W127" s="348"/>
      <c r="X127" s="348"/>
      <c r="Y127" s="348"/>
      <c r="Z127" s="348"/>
      <c r="AA127" s="525"/>
      <c r="AB127" s="348"/>
      <c r="AC127" s="348"/>
      <c r="AD127" s="348"/>
      <c r="AE127" s="348"/>
      <c r="AG127" s="348"/>
      <c r="AH127" s="348"/>
      <c r="AI127" s="348"/>
      <c r="AJ127" s="348"/>
      <c r="AK127" s="348"/>
      <c r="AL127" s="348"/>
      <c r="AM127" s="348"/>
      <c r="AN127" s="348"/>
      <c r="AO127" s="348"/>
      <c r="AP127" s="348"/>
      <c r="AQ127" s="348"/>
      <c r="AR127" s="348"/>
      <c r="AS127" s="348"/>
      <c r="AT127" s="348"/>
      <c r="AV127" s="526"/>
      <c r="AW127" s="534"/>
      <c r="AX127" s="534"/>
      <c r="AY127" s="9"/>
      <c r="AZ127" s="48"/>
      <c r="BA127" s="348"/>
      <c r="BB127" s="348"/>
      <c r="BC127" s="348"/>
      <c r="BD127" s="348"/>
      <c r="BE127" s="348"/>
    </row>
    <row r="128" spans="8:57" x14ac:dyDescent="0.2">
      <c r="H128" s="531"/>
      <c r="I128" s="4"/>
      <c r="J128" s="4"/>
      <c r="L128" s="4"/>
      <c r="R128" s="348"/>
      <c r="S128" s="348"/>
      <c r="T128" s="348"/>
      <c r="U128" s="348"/>
      <c r="W128" s="348"/>
      <c r="X128" s="348"/>
      <c r="Y128" s="348"/>
      <c r="Z128" s="348"/>
      <c r="AA128" s="525"/>
      <c r="AB128" s="348"/>
      <c r="AC128" s="348"/>
      <c r="AD128" s="348"/>
      <c r="AE128" s="348"/>
      <c r="AG128" s="348"/>
      <c r="AH128" s="348"/>
      <c r="AI128" s="348"/>
      <c r="AJ128" s="348"/>
      <c r="AK128" s="348"/>
      <c r="AL128" s="348"/>
      <c r="AM128" s="348"/>
      <c r="AN128" s="348"/>
      <c r="AO128" s="348"/>
      <c r="AP128" s="348"/>
      <c r="AQ128" s="348"/>
      <c r="AR128" s="348"/>
      <c r="AS128" s="348"/>
      <c r="AT128" s="348"/>
      <c r="AV128" s="526"/>
      <c r="AW128" s="534"/>
      <c r="AX128" s="534"/>
      <c r="AY128" s="9"/>
      <c r="AZ128" s="48"/>
      <c r="BA128" s="348"/>
      <c r="BB128" s="348"/>
      <c r="BC128" s="348"/>
      <c r="BD128" s="348"/>
      <c r="BE128" s="348"/>
    </row>
    <row r="129" spans="8:57" x14ac:dyDescent="0.2">
      <c r="H129" s="531"/>
      <c r="I129" s="4"/>
      <c r="J129" s="4"/>
      <c r="L129" s="4"/>
      <c r="R129" s="348"/>
      <c r="S129" s="348"/>
      <c r="T129" s="348"/>
      <c r="U129" s="348"/>
      <c r="W129" s="348"/>
      <c r="X129" s="348"/>
      <c r="Y129" s="348"/>
      <c r="Z129" s="348"/>
      <c r="AA129" s="525"/>
      <c r="AB129" s="348"/>
      <c r="AC129" s="348"/>
      <c r="AD129" s="348"/>
      <c r="AE129" s="348"/>
      <c r="AG129" s="348"/>
      <c r="AH129" s="348"/>
      <c r="AI129" s="348"/>
      <c r="AJ129" s="348"/>
      <c r="AK129" s="348"/>
      <c r="AL129" s="348"/>
      <c r="AM129" s="348"/>
      <c r="AN129" s="348"/>
      <c r="AO129" s="348"/>
      <c r="AP129" s="348"/>
      <c r="AQ129" s="348"/>
      <c r="AR129" s="348"/>
      <c r="AS129" s="348"/>
      <c r="AT129" s="348"/>
      <c r="AV129" s="526"/>
      <c r="AW129" s="534"/>
      <c r="AX129" s="534"/>
      <c r="AY129" s="9"/>
      <c r="AZ129" s="48"/>
      <c r="BA129" s="348"/>
      <c r="BB129" s="348"/>
      <c r="BC129" s="348"/>
      <c r="BD129" s="348"/>
      <c r="BE129" s="348"/>
    </row>
    <row r="130" spans="8:57" x14ac:dyDescent="0.2">
      <c r="H130" s="531"/>
      <c r="I130" s="4"/>
      <c r="J130" s="4"/>
      <c r="L130" s="4"/>
      <c r="R130" s="348"/>
      <c r="S130" s="348"/>
      <c r="T130" s="348"/>
      <c r="U130" s="348"/>
      <c r="W130" s="348"/>
      <c r="X130" s="348"/>
      <c r="Y130" s="348"/>
      <c r="Z130" s="348"/>
      <c r="AA130" s="525"/>
      <c r="AB130" s="348"/>
      <c r="AC130" s="348"/>
      <c r="AD130" s="348"/>
      <c r="AE130" s="348"/>
      <c r="AG130" s="348"/>
      <c r="AH130" s="348"/>
      <c r="AI130" s="348"/>
      <c r="AJ130" s="348"/>
      <c r="AK130" s="348"/>
      <c r="AL130" s="348"/>
      <c r="AM130" s="348"/>
      <c r="AN130" s="348"/>
      <c r="AO130" s="348"/>
      <c r="AP130" s="348"/>
      <c r="AQ130" s="348"/>
      <c r="AR130" s="348"/>
      <c r="AS130" s="348"/>
      <c r="AT130" s="348"/>
      <c r="AV130" s="526"/>
      <c r="AW130" s="534"/>
      <c r="AX130" s="534"/>
      <c r="AY130" s="9"/>
      <c r="AZ130" s="48"/>
      <c r="BA130" s="348"/>
      <c r="BB130" s="348"/>
      <c r="BC130" s="348"/>
      <c r="BD130" s="348"/>
      <c r="BE130" s="348"/>
    </row>
    <row r="131" spans="8:57" x14ac:dyDescent="0.2">
      <c r="H131" s="531"/>
      <c r="I131" s="4"/>
      <c r="J131" s="4"/>
      <c r="L131" s="4"/>
      <c r="R131" s="348"/>
      <c r="S131" s="348"/>
      <c r="T131" s="348"/>
      <c r="U131" s="348"/>
      <c r="W131" s="348"/>
      <c r="X131" s="348"/>
      <c r="Y131" s="348"/>
      <c r="Z131" s="348"/>
      <c r="AA131" s="525"/>
      <c r="AB131" s="348"/>
      <c r="AC131" s="348"/>
      <c r="AD131" s="348"/>
      <c r="AE131" s="348"/>
      <c r="AG131" s="348"/>
      <c r="AH131" s="348"/>
      <c r="AI131" s="348"/>
      <c r="AJ131" s="348"/>
      <c r="AK131" s="348"/>
      <c r="AL131" s="348"/>
      <c r="AM131" s="348"/>
      <c r="AN131" s="348"/>
      <c r="AO131" s="348"/>
      <c r="AP131" s="348"/>
      <c r="AQ131" s="348"/>
      <c r="AR131" s="348"/>
      <c r="AS131" s="348"/>
      <c r="AT131" s="348"/>
      <c r="AV131" s="526"/>
      <c r="AW131" s="534"/>
      <c r="AX131" s="534"/>
      <c r="AY131" s="9"/>
      <c r="AZ131" s="48"/>
      <c r="BA131" s="348"/>
      <c r="BB131" s="348"/>
      <c r="BC131" s="348"/>
      <c r="BD131" s="348"/>
      <c r="BE131" s="348"/>
    </row>
    <row r="132" spans="8:57" x14ac:dyDescent="0.2">
      <c r="H132" s="531"/>
      <c r="I132" s="4"/>
      <c r="J132" s="4"/>
      <c r="L132" s="4"/>
      <c r="R132" s="348"/>
      <c r="S132" s="348"/>
      <c r="T132" s="348"/>
      <c r="U132" s="348"/>
      <c r="W132" s="348"/>
      <c r="X132" s="348"/>
      <c r="Y132" s="348"/>
      <c r="Z132" s="348"/>
      <c r="AA132" s="525"/>
      <c r="AB132" s="348"/>
      <c r="AC132" s="348"/>
      <c r="AD132" s="348"/>
      <c r="AE132" s="348"/>
      <c r="AG132" s="348"/>
      <c r="AH132" s="348"/>
      <c r="AI132" s="348"/>
      <c r="AJ132" s="348"/>
      <c r="AK132" s="348"/>
      <c r="AL132" s="348"/>
      <c r="AM132" s="348"/>
      <c r="AN132" s="348"/>
      <c r="AO132" s="348"/>
      <c r="AP132" s="348"/>
      <c r="AQ132" s="348"/>
      <c r="AR132" s="348"/>
      <c r="AS132" s="348"/>
      <c r="AT132" s="348"/>
      <c r="AV132" s="526"/>
      <c r="AW132" s="534"/>
      <c r="AX132" s="534"/>
      <c r="AY132" s="9"/>
      <c r="AZ132" s="48"/>
      <c r="BA132" s="348"/>
      <c r="BB132" s="348"/>
      <c r="BC132" s="348"/>
      <c r="BD132" s="348"/>
      <c r="BE132" s="348"/>
    </row>
    <row r="133" spans="8:57" x14ac:dyDescent="0.2">
      <c r="H133" s="531"/>
      <c r="I133" s="4"/>
      <c r="J133" s="4"/>
      <c r="L133" s="4"/>
      <c r="R133" s="348"/>
      <c r="S133" s="348"/>
      <c r="T133" s="348"/>
      <c r="U133" s="348"/>
      <c r="W133" s="348"/>
      <c r="X133" s="348"/>
      <c r="Y133" s="348"/>
      <c r="Z133" s="348"/>
      <c r="AA133" s="525"/>
      <c r="AB133" s="348"/>
      <c r="AC133" s="348"/>
      <c r="AD133" s="348"/>
      <c r="AE133" s="348"/>
      <c r="AG133" s="348"/>
      <c r="AH133" s="348"/>
      <c r="AI133" s="348"/>
      <c r="AJ133" s="348"/>
      <c r="AK133" s="348"/>
      <c r="AL133" s="348"/>
      <c r="AM133" s="348"/>
      <c r="AN133" s="348"/>
      <c r="AO133" s="348"/>
      <c r="AP133" s="348"/>
      <c r="AQ133" s="348"/>
      <c r="AR133" s="348"/>
      <c r="AS133" s="348"/>
      <c r="AT133" s="348"/>
      <c r="AV133" s="526"/>
      <c r="AW133" s="534"/>
      <c r="AX133" s="534"/>
      <c r="AY133" s="9"/>
      <c r="AZ133" s="48"/>
      <c r="BA133" s="348"/>
      <c r="BB133" s="348"/>
      <c r="BC133" s="348"/>
      <c r="BD133" s="348"/>
      <c r="BE133" s="348"/>
    </row>
    <row r="134" spans="8:57" x14ac:dyDescent="0.2">
      <c r="H134" s="531"/>
      <c r="I134" s="4"/>
      <c r="J134" s="4"/>
      <c r="L134" s="4"/>
      <c r="R134" s="348"/>
      <c r="S134" s="348"/>
      <c r="T134" s="348"/>
      <c r="U134" s="348"/>
      <c r="W134" s="348"/>
      <c r="X134" s="348"/>
      <c r="Y134" s="348"/>
      <c r="Z134" s="348"/>
      <c r="AA134" s="525"/>
      <c r="AB134" s="348"/>
      <c r="AC134" s="348"/>
      <c r="AD134" s="348"/>
      <c r="AE134" s="348"/>
      <c r="AG134" s="348"/>
      <c r="AH134" s="348"/>
      <c r="AI134" s="348"/>
      <c r="AJ134" s="348"/>
      <c r="AK134" s="348"/>
      <c r="AL134" s="348"/>
      <c r="AM134" s="348"/>
      <c r="AN134" s="348"/>
      <c r="AO134" s="348"/>
      <c r="AP134" s="348"/>
      <c r="AQ134" s="348"/>
      <c r="AR134" s="348"/>
      <c r="AS134" s="348"/>
      <c r="AT134" s="348"/>
      <c r="AV134" s="526"/>
      <c r="AW134" s="534"/>
      <c r="AX134" s="534"/>
      <c r="AY134" s="9"/>
      <c r="AZ134" s="48"/>
      <c r="BA134" s="348"/>
      <c r="BB134" s="348"/>
      <c r="BC134" s="348"/>
      <c r="BD134" s="348"/>
      <c r="BE134" s="348"/>
    </row>
    <row r="135" spans="8:57" x14ac:dyDescent="0.2">
      <c r="H135" s="531"/>
      <c r="I135" s="4"/>
      <c r="J135" s="4"/>
      <c r="L135" s="4"/>
      <c r="R135" s="348"/>
      <c r="S135" s="348"/>
      <c r="T135" s="348"/>
      <c r="U135" s="348"/>
      <c r="W135" s="348"/>
      <c r="X135" s="348"/>
      <c r="Y135" s="348"/>
      <c r="Z135" s="348"/>
      <c r="AA135" s="525"/>
      <c r="AB135" s="348"/>
      <c r="AC135" s="348"/>
      <c r="AD135" s="348"/>
      <c r="AE135" s="348"/>
      <c r="AG135" s="348"/>
      <c r="AH135" s="348"/>
      <c r="AI135" s="348"/>
      <c r="AJ135" s="348"/>
      <c r="AK135" s="348"/>
      <c r="AL135" s="348"/>
      <c r="AM135" s="348"/>
      <c r="AN135" s="348"/>
      <c r="AO135" s="348"/>
      <c r="AP135" s="348"/>
      <c r="AQ135" s="348"/>
      <c r="AR135" s="348"/>
      <c r="AS135" s="348"/>
      <c r="AT135" s="348"/>
      <c r="AV135" s="526"/>
      <c r="AW135" s="534"/>
      <c r="AX135" s="534"/>
      <c r="AY135" s="9"/>
      <c r="AZ135" s="48"/>
      <c r="BA135" s="348"/>
      <c r="BB135" s="348"/>
      <c r="BC135" s="348"/>
      <c r="BD135" s="348"/>
      <c r="BE135" s="348"/>
    </row>
    <row r="136" spans="8:57" x14ac:dyDescent="0.2">
      <c r="H136" s="531"/>
      <c r="I136" s="4"/>
      <c r="J136" s="4"/>
      <c r="L136" s="4"/>
      <c r="R136" s="348"/>
      <c r="S136" s="348"/>
      <c r="T136" s="348"/>
      <c r="U136" s="348"/>
      <c r="W136" s="348"/>
      <c r="X136" s="348"/>
      <c r="Y136" s="348"/>
      <c r="Z136" s="348"/>
      <c r="AA136" s="525"/>
      <c r="AB136" s="348"/>
      <c r="AC136" s="348"/>
      <c r="AD136" s="348"/>
      <c r="AE136" s="348"/>
      <c r="AG136" s="348"/>
      <c r="AH136" s="348"/>
      <c r="AI136" s="348"/>
      <c r="AJ136" s="348"/>
      <c r="AK136" s="348"/>
      <c r="AL136" s="348"/>
      <c r="AM136" s="348"/>
      <c r="AN136" s="348"/>
      <c r="AO136" s="348"/>
      <c r="AP136" s="348"/>
      <c r="AQ136" s="348"/>
      <c r="AR136" s="348"/>
      <c r="AS136" s="348"/>
      <c r="AT136" s="348"/>
      <c r="AV136" s="526"/>
      <c r="AW136" s="534"/>
      <c r="AX136" s="534"/>
      <c r="AY136" s="9"/>
      <c r="AZ136" s="48"/>
      <c r="BA136" s="348"/>
      <c r="BB136" s="348"/>
      <c r="BC136" s="348"/>
      <c r="BD136" s="348"/>
      <c r="BE136" s="348"/>
    </row>
    <row r="137" spans="8:57" x14ac:dyDescent="0.2">
      <c r="H137" s="531"/>
      <c r="I137" s="4"/>
      <c r="J137" s="4"/>
      <c r="L137" s="4"/>
      <c r="R137" s="348"/>
      <c r="S137" s="348"/>
      <c r="T137" s="348"/>
      <c r="U137" s="348"/>
      <c r="W137" s="348"/>
      <c r="X137" s="348"/>
      <c r="Y137" s="348"/>
      <c r="Z137" s="348"/>
      <c r="AA137" s="525"/>
      <c r="AB137" s="348"/>
      <c r="AC137" s="348"/>
      <c r="AD137" s="348"/>
      <c r="AE137" s="348"/>
      <c r="AG137" s="348"/>
      <c r="AH137" s="348"/>
      <c r="AI137" s="348"/>
      <c r="AJ137" s="348"/>
      <c r="AK137" s="348"/>
      <c r="AL137" s="348"/>
      <c r="AM137" s="348"/>
      <c r="AN137" s="348"/>
      <c r="AO137" s="348"/>
      <c r="AP137" s="348"/>
      <c r="AQ137" s="348"/>
      <c r="AR137" s="348"/>
      <c r="AS137" s="348"/>
      <c r="AT137" s="348"/>
      <c r="AV137" s="526"/>
      <c r="AW137" s="534"/>
      <c r="AX137" s="534"/>
      <c r="AY137" s="9"/>
      <c r="AZ137" s="48"/>
      <c r="BA137" s="348"/>
      <c r="BB137" s="348"/>
      <c r="BC137" s="348"/>
      <c r="BD137" s="348"/>
      <c r="BE137" s="348"/>
    </row>
    <row r="138" spans="8:57" x14ac:dyDescent="0.2">
      <c r="H138" s="531"/>
      <c r="I138" s="4"/>
      <c r="J138" s="4"/>
      <c r="L138" s="4"/>
      <c r="R138" s="348"/>
      <c r="S138" s="348"/>
      <c r="T138" s="348"/>
      <c r="U138" s="348"/>
      <c r="W138" s="348"/>
      <c r="X138" s="348"/>
      <c r="Y138" s="348"/>
      <c r="Z138" s="348"/>
      <c r="AA138" s="525"/>
      <c r="AB138" s="348"/>
      <c r="AC138" s="348"/>
      <c r="AD138" s="348"/>
      <c r="AE138" s="348"/>
      <c r="AG138" s="348"/>
      <c r="AH138" s="348"/>
      <c r="AI138" s="348"/>
      <c r="AJ138" s="348"/>
      <c r="AK138" s="348"/>
      <c r="AL138" s="348"/>
      <c r="AM138" s="348"/>
      <c r="AN138" s="348"/>
      <c r="AO138" s="348"/>
      <c r="AP138" s="348"/>
      <c r="AQ138" s="348"/>
      <c r="AR138" s="348"/>
      <c r="AS138" s="348"/>
      <c r="AT138" s="348"/>
      <c r="AV138" s="526"/>
      <c r="AW138" s="534"/>
      <c r="AX138" s="534"/>
      <c r="AY138" s="9"/>
      <c r="AZ138" s="48"/>
      <c r="BA138" s="348"/>
      <c r="BB138" s="348"/>
      <c r="BC138" s="348"/>
      <c r="BD138" s="348"/>
      <c r="BE138" s="348"/>
    </row>
    <row r="139" spans="8:57" x14ac:dyDescent="0.2">
      <c r="H139" s="531"/>
      <c r="I139" s="4"/>
      <c r="J139" s="4"/>
      <c r="L139" s="4"/>
      <c r="R139" s="348"/>
      <c r="S139" s="348"/>
      <c r="T139" s="348"/>
      <c r="U139" s="348"/>
      <c r="W139" s="348"/>
      <c r="X139" s="348"/>
      <c r="Y139" s="348"/>
      <c r="Z139" s="348"/>
      <c r="AA139" s="525"/>
      <c r="AB139" s="348"/>
      <c r="AC139" s="348"/>
      <c r="AD139" s="348"/>
      <c r="AE139" s="348"/>
      <c r="AG139" s="348"/>
      <c r="AH139" s="348"/>
      <c r="AI139" s="348"/>
      <c r="AJ139" s="348"/>
      <c r="AK139" s="348"/>
      <c r="AL139" s="348"/>
      <c r="AM139" s="348"/>
      <c r="AN139" s="348"/>
      <c r="AO139" s="348"/>
      <c r="AP139" s="348"/>
      <c r="AQ139" s="348"/>
      <c r="AR139" s="348"/>
      <c r="AS139" s="348"/>
      <c r="AT139" s="348"/>
      <c r="AV139" s="526"/>
      <c r="AW139" s="534"/>
      <c r="AX139" s="534"/>
      <c r="AY139" s="9"/>
      <c r="AZ139" s="48"/>
      <c r="BA139" s="348"/>
      <c r="BB139" s="348"/>
      <c r="BC139" s="348"/>
      <c r="BD139" s="348"/>
      <c r="BE139" s="348"/>
    </row>
    <row r="140" spans="8:57" x14ac:dyDescent="0.2">
      <c r="H140" s="531"/>
      <c r="I140" s="4"/>
      <c r="J140" s="4"/>
      <c r="L140" s="4"/>
      <c r="R140" s="348"/>
      <c r="S140" s="348"/>
      <c r="T140" s="348"/>
      <c r="U140" s="348"/>
      <c r="W140" s="348"/>
      <c r="X140" s="348"/>
      <c r="Y140" s="348"/>
      <c r="Z140" s="348"/>
      <c r="AA140" s="525"/>
      <c r="AB140" s="348"/>
      <c r="AC140" s="348"/>
      <c r="AD140" s="348"/>
      <c r="AE140" s="348"/>
      <c r="AG140" s="348"/>
      <c r="AH140" s="348"/>
      <c r="AI140" s="348"/>
      <c r="AJ140" s="348"/>
      <c r="AK140" s="348"/>
      <c r="AL140" s="348"/>
      <c r="AM140" s="348"/>
      <c r="AN140" s="348"/>
      <c r="AO140" s="348"/>
      <c r="AP140" s="348"/>
      <c r="AQ140" s="348"/>
      <c r="AR140" s="348"/>
      <c r="AS140" s="348"/>
      <c r="AT140" s="348"/>
      <c r="AV140" s="526"/>
      <c r="AW140" s="534"/>
      <c r="AX140" s="534"/>
      <c r="AY140" s="9"/>
      <c r="AZ140" s="48"/>
      <c r="BA140" s="348"/>
      <c r="BB140" s="348"/>
      <c r="BC140" s="348"/>
      <c r="BD140" s="348"/>
      <c r="BE140" s="348"/>
    </row>
    <row r="141" spans="8:57" x14ac:dyDescent="0.2">
      <c r="H141" s="531"/>
      <c r="I141" s="4"/>
      <c r="J141" s="4"/>
      <c r="L141" s="4"/>
      <c r="R141" s="348"/>
      <c r="S141" s="348"/>
      <c r="T141" s="348"/>
      <c r="U141" s="348"/>
      <c r="W141" s="348"/>
      <c r="X141" s="348"/>
      <c r="Y141" s="348"/>
      <c r="Z141" s="348"/>
      <c r="AA141" s="525"/>
      <c r="AB141" s="348"/>
      <c r="AC141" s="348"/>
      <c r="AD141" s="348"/>
      <c r="AE141" s="348"/>
      <c r="AG141" s="348"/>
      <c r="AH141" s="348"/>
      <c r="AI141" s="348"/>
      <c r="AJ141" s="348"/>
      <c r="AK141" s="348"/>
      <c r="AL141" s="348"/>
      <c r="AM141" s="348"/>
      <c r="AN141" s="348"/>
      <c r="AO141" s="348"/>
      <c r="AP141" s="348"/>
      <c r="AQ141" s="348"/>
      <c r="AR141" s="348"/>
      <c r="AS141" s="348"/>
      <c r="AT141" s="348"/>
      <c r="AV141" s="526"/>
      <c r="AW141" s="534"/>
      <c r="AX141" s="534"/>
      <c r="AY141" s="9"/>
      <c r="AZ141" s="48"/>
      <c r="BA141" s="348"/>
      <c r="BB141" s="348"/>
      <c r="BC141" s="348"/>
      <c r="BD141" s="348"/>
      <c r="BE141" s="348"/>
    </row>
    <row r="142" spans="8:57" x14ac:dyDescent="0.2">
      <c r="H142" s="531"/>
      <c r="I142" s="4"/>
      <c r="J142" s="4"/>
      <c r="L142" s="4"/>
      <c r="R142" s="348"/>
      <c r="S142" s="348"/>
      <c r="T142" s="348"/>
      <c r="U142" s="348"/>
      <c r="W142" s="348"/>
      <c r="X142" s="348"/>
      <c r="Y142" s="348"/>
      <c r="Z142" s="348"/>
      <c r="AA142" s="525"/>
      <c r="AB142" s="348"/>
      <c r="AC142" s="348"/>
      <c r="AD142" s="348"/>
      <c r="AE142" s="348"/>
      <c r="AG142" s="348"/>
      <c r="AH142" s="348"/>
      <c r="AI142" s="348"/>
      <c r="AJ142" s="348"/>
      <c r="AK142" s="348"/>
      <c r="AL142" s="348"/>
      <c r="AM142" s="348"/>
      <c r="AN142" s="348"/>
      <c r="AO142" s="348"/>
      <c r="AP142" s="348"/>
      <c r="AQ142" s="348"/>
      <c r="AR142" s="348"/>
      <c r="AS142" s="348"/>
      <c r="AT142" s="348"/>
      <c r="AV142" s="526"/>
      <c r="AW142" s="534"/>
      <c r="AX142" s="534"/>
      <c r="AY142" s="9"/>
      <c r="AZ142" s="48"/>
      <c r="BA142" s="348"/>
      <c r="BB142" s="348"/>
      <c r="BC142" s="348"/>
      <c r="BD142" s="348"/>
      <c r="BE142" s="348"/>
    </row>
    <row r="143" spans="8:57" x14ac:dyDescent="0.2">
      <c r="H143" s="531"/>
      <c r="I143" s="4"/>
      <c r="J143" s="4"/>
      <c r="L143" s="4"/>
      <c r="R143" s="348"/>
      <c r="S143" s="348"/>
      <c r="T143" s="348"/>
      <c r="U143" s="348"/>
      <c r="W143" s="348"/>
      <c r="X143" s="348"/>
      <c r="Y143" s="348"/>
      <c r="Z143" s="348"/>
      <c r="AA143" s="525"/>
      <c r="AB143" s="348"/>
      <c r="AC143" s="348"/>
      <c r="AD143" s="348"/>
      <c r="AE143" s="348"/>
      <c r="AG143" s="348"/>
      <c r="AH143" s="348"/>
      <c r="AI143" s="348"/>
      <c r="AJ143" s="348"/>
      <c r="AK143" s="348"/>
      <c r="AL143" s="348"/>
      <c r="AM143" s="348"/>
      <c r="AN143" s="348"/>
      <c r="AO143" s="348"/>
      <c r="AP143" s="348"/>
      <c r="AQ143" s="348"/>
      <c r="AR143" s="348"/>
      <c r="AS143" s="348"/>
      <c r="AT143" s="348"/>
      <c r="AV143" s="526"/>
      <c r="AW143" s="534"/>
      <c r="AX143" s="534"/>
      <c r="AY143" s="9"/>
      <c r="AZ143" s="48"/>
      <c r="BA143" s="348"/>
      <c r="BB143" s="348"/>
      <c r="BC143" s="348"/>
      <c r="BD143" s="348"/>
      <c r="BE143" s="348"/>
    </row>
    <row r="144" spans="8:57" x14ac:dyDescent="0.2">
      <c r="H144" s="531"/>
      <c r="I144" s="4"/>
      <c r="J144" s="4"/>
      <c r="L144" s="4"/>
      <c r="R144" s="348"/>
      <c r="S144" s="348"/>
      <c r="T144" s="348"/>
      <c r="U144" s="348"/>
      <c r="W144" s="348"/>
      <c r="X144" s="348"/>
      <c r="Y144" s="348"/>
      <c r="Z144" s="348"/>
      <c r="AA144" s="525"/>
      <c r="AB144" s="348"/>
      <c r="AC144" s="348"/>
      <c r="AD144" s="348"/>
      <c r="AE144" s="348"/>
      <c r="AG144" s="348"/>
      <c r="AH144" s="348"/>
      <c r="AI144" s="348"/>
      <c r="AJ144" s="348"/>
      <c r="AK144" s="348"/>
      <c r="AL144" s="348"/>
      <c r="AM144" s="348"/>
      <c r="AN144" s="348"/>
      <c r="AO144" s="348"/>
      <c r="AP144" s="348"/>
      <c r="AQ144" s="348"/>
      <c r="AR144" s="348"/>
      <c r="AS144" s="348"/>
      <c r="AT144" s="348"/>
      <c r="AV144" s="526"/>
      <c r="AW144" s="534"/>
      <c r="AX144" s="534"/>
      <c r="AY144" s="9"/>
      <c r="AZ144" s="48"/>
      <c r="BA144" s="348"/>
      <c r="BB144" s="348"/>
      <c r="BC144" s="348"/>
      <c r="BD144" s="348"/>
      <c r="BE144" s="348"/>
    </row>
    <row r="145" spans="8:57" x14ac:dyDescent="0.2">
      <c r="H145" s="531"/>
      <c r="I145" s="4"/>
      <c r="J145" s="4"/>
      <c r="L145" s="4"/>
      <c r="R145" s="348"/>
      <c r="S145" s="348"/>
      <c r="T145" s="348"/>
      <c r="U145" s="348"/>
      <c r="W145" s="348"/>
      <c r="X145" s="348"/>
      <c r="Y145" s="348"/>
      <c r="Z145" s="348"/>
      <c r="AA145" s="525"/>
      <c r="AB145" s="348"/>
      <c r="AC145" s="348"/>
      <c r="AD145" s="348"/>
      <c r="AE145" s="348"/>
      <c r="AG145" s="348"/>
      <c r="AH145" s="348"/>
      <c r="AI145" s="348"/>
      <c r="AJ145" s="348"/>
      <c r="AK145" s="348"/>
      <c r="AL145" s="348"/>
      <c r="AM145" s="348"/>
      <c r="AN145" s="348"/>
      <c r="AO145" s="348"/>
      <c r="AP145" s="348"/>
      <c r="AQ145" s="348"/>
      <c r="AR145" s="348"/>
      <c r="AS145" s="348"/>
      <c r="AT145" s="348"/>
      <c r="AV145" s="526"/>
      <c r="AW145" s="534"/>
      <c r="AX145" s="534"/>
      <c r="AY145" s="9"/>
      <c r="AZ145" s="48"/>
      <c r="BA145" s="348"/>
      <c r="BB145" s="348"/>
      <c r="BC145" s="348"/>
      <c r="BD145" s="348"/>
      <c r="BE145" s="348"/>
    </row>
    <row r="146" spans="8:57" x14ac:dyDescent="0.2">
      <c r="H146" s="531"/>
      <c r="I146" s="4"/>
      <c r="J146" s="4"/>
      <c r="L146" s="4"/>
      <c r="R146" s="348"/>
      <c r="S146" s="348"/>
      <c r="T146" s="348"/>
      <c r="U146" s="348"/>
      <c r="W146" s="348"/>
      <c r="X146" s="348"/>
      <c r="Y146" s="348"/>
      <c r="Z146" s="348"/>
      <c r="AA146" s="525"/>
      <c r="AB146" s="348"/>
      <c r="AC146" s="348"/>
      <c r="AD146" s="348"/>
      <c r="AE146" s="348"/>
      <c r="AG146" s="348"/>
      <c r="AH146" s="348"/>
      <c r="AI146" s="348"/>
      <c r="AJ146" s="348"/>
      <c r="AK146" s="348"/>
      <c r="AL146" s="348"/>
      <c r="AM146" s="348"/>
      <c r="AN146" s="348"/>
      <c r="AO146" s="348"/>
      <c r="AP146" s="348"/>
      <c r="AQ146" s="348"/>
      <c r="AR146" s="348"/>
      <c r="AS146" s="348"/>
      <c r="AT146" s="348"/>
      <c r="AV146" s="526"/>
      <c r="AW146" s="534"/>
      <c r="AX146" s="534"/>
      <c r="AY146" s="9"/>
      <c r="AZ146" s="48"/>
      <c r="BA146" s="348"/>
      <c r="BB146" s="348"/>
      <c r="BC146" s="348"/>
      <c r="BD146" s="348"/>
      <c r="BE146" s="348"/>
    </row>
    <row r="147" spans="8:57" x14ac:dyDescent="0.2">
      <c r="H147" s="531"/>
      <c r="I147" s="4"/>
      <c r="J147" s="4"/>
      <c r="L147" s="4"/>
      <c r="R147" s="348"/>
      <c r="S147" s="348"/>
      <c r="T147" s="348"/>
      <c r="U147" s="348"/>
      <c r="W147" s="348"/>
      <c r="X147" s="348"/>
      <c r="Y147" s="348"/>
      <c r="Z147" s="348"/>
      <c r="AA147" s="525"/>
      <c r="AB147" s="348"/>
      <c r="AC147" s="348"/>
      <c r="AD147" s="348"/>
      <c r="AE147" s="348"/>
      <c r="AG147" s="348"/>
      <c r="AH147" s="348"/>
      <c r="AI147" s="348"/>
      <c r="AJ147" s="348"/>
      <c r="AK147" s="348"/>
      <c r="AL147" s="348"/>
      <c r="AM147" s="348"/>
      <c r="AN147" s="348"/>
      <c r="AO147" s="348"/>
      <c r="AP147" s="348"/>
      <c r="AQ147" s="348"/>
      <c r="AR147" s="348"/>
      <c r="AS147" s="348"/>
      <c r="AT147" s="348"/>
      <c r="AV147" s="526"/>
      <c r="AW147" s="534"/>
      <c r="AX147" s="534"/>
      <c r="AY147" s="9"/>
      <c r="AZ147" s="48"/>
      <c r="BA147" s="348"/>
      <c r="BB147" s="348"/>
      <c r="BC147" s="348"/>
      <c r="BD147" s="348"/>
      <c r="BE147" s="348"/>
    </row>
    <row r="148" spans="8:57" x14ac:dyDescent="0.2">
      <c r="H148" s="531"/>
      <c r="I148" s="4"/>
      <c r="J148" s="4"/>
      <c r="L148" s="4"/>
      <c r="R148" s="348"/>
      <c r="S148" s="348"/>
      <c r="T148" s="348"/>
      <c r="U148" s="348"/>
      <c r="W148" s="348"/>
      <c r="X148" s="348"/>
      <c r="Y148" s="348"/>
      <c r="Z148" s="348"/>
      <c r="AA148" s="525"/>
      <c r="AB148" s="348"/>
      <c r="AC148" s="348"/>
      <c r="AD148" s="348"/>
      <c r="AE148" s="348"/>
      <c r="AG148" s="348"/>
      <c r="AH148" s="348"/>
      <c r="AI148" s="348"/>
      <c r="AJ148" s="348"/>
      <c r="AK148" s="348"/>
      <c r="AL148" s="348"/>
      <c r="AM148" s="348"/>
      <c r="AN148" s="348"/>
      <c r="AO148" s="348"/>
      <c r="AP148" s="348"/>
      <c r="AQ148" s="348"/>
      <c r="AR148" s="348"/>
      <c r="AS148" s="348"/>
      <c r="AT148" s="348"/>
      <c r="AV148" s="526"/>
      <c r="AW148" s="534"/>
      <c r="AX148" s="534"/>
      <c r="AY148" s="9"/>
      <c r="AZ148" s="48"/>
      <c r="BA148" s="348"/>
      <c r="BB148" s="348"/>
      <c r="BC148" s="348"/>
      <c r="BD148" s="348"/>
      <c r="BE148" s="348"/>
    </row>
    <row r="149" spans="8:57" x14ac:dyDescent="0.2">
      <c r="H149" s="531"/>
      <c r="I149" s="4"/>
      <c r="J149" s="4"/>
      <c r="L149" s="4"/>
      <c r="R149" s="348"/>
      <c r="S149" s="348"/>
      <c r="T149" s="348"/>
      <c r="U149" s="348"/>
      <c r="W149" s="348"/>
      <c r="X149" s="348"/>
      <c r="Y149" s="348"/>
      <c r="Z149" s="348"/>
      <c r="AA149" s="525"/>
      <c r="AB149" s="348"/>
      <c r="AC149" s="348"/>
      <c r="AD149" s="348"/>
      <c r="AE149" s="348"/>
      <c r="AG149" s="348"/>
      <c r="AH149" s="348"/>
      <c r="AI149" s="348"/>
      <c r="AJ149" s="348"/>
      <c r="AK149" s="348"/>
      <c r="AL149" s="348"/>
      <c r="AM149" s="348"/>
      <c r="AN149" s="348"/>
      <c r="AO149" s="348"/>
      <c r="AP149" s="348"/>
      <c r="AQ149" s="348"/>
      <c r="AR149" s="348"/>
      <c r="AS149" s="348"/>
      <c r="AT149" s="348"/>
      <c r="AV149" s="526"/>
      <c r="AW149" s="534"/>
      <c r="AX149" s="534"/>
      <c r="AY149" s="9"/>
      <c r="AZ149" s="48"/>
      <c r="BA149" s="348"/>
      <c r="BB149" s="348"/>
      <c r="BC149" s="348"/>
      <c r="BD149" s="348"/>
      <c r="BE149" s="348"/>
    </row>
    <row r="150" spans="8:57" x14ac:dyDescent="0.2">
      <c r="H150" s="531"/>
      <c r="I150" s="4"/>
      <c r="J150" s="4"/>
      <c r="L150" s="4"/>
      <c r="R150" s="348"/>
      <c r="S150" s="348"/>
      <c r="T150" s="348"/>
      <c r="U150" s="348"/>
      <c r="W150" s="348"/>
      <c r="X150" s="348"/>
      <c r="Y150" s="348"/>
      <c r="Z150" s="348"/>
      <c r="AA150" s="525"/>
      <c r="AB150" s="348"/>
      <c r="AC150" s="348"/>
      <c r="AD150" s="348"/>
      <c r="AE150" s="348"/>
      <c r="AG150" s="348"/>
      <c r="AH150" s="348"/>
      <c r="AI150" s="348"/>
      <c r="AJ150" s="348"/>
      <c r="AK150" s="348"/>
      <c r="AL150" s="348"/>
      <c r="AM150" s="348"/>
      <c r="AN150" s="348"/>
      <c r="AO150" s="348"/>
      <c r="AP150" s="348"/>
      <c r="AQ150" s="348"/>
      <c r="AR150" s="348"/>
      <c r="AS150" s="348"/>
      <c r="AT150" s="348"/>
      <c r="AV150" s="526"/>
      <c r="AW150" s="534"/>
      <c r="AX150" s="534"/>
      <c r="AY150" s="9"/>
      <c r="AZ150" s="48"/>
      <c r="BA150" s="348"/>
      <c r="BB150" s="348"/>
      <c r="BC150" s="348"/>
      <c r="BD150" s="348"/>
      <c r="BE150" s="348"/>
    </row>
    <row r="151" spans="8:57" x14ac:dyDescent="0.2">
      <c r="H151" s="531"/>
      <c r="I151" s="4"/>
      <c r="J151" s="4"/>
      <c r="L151" s="4"/>
      <c r="R151" s="348"/>
      <c r="S151" s="348"/>
      <c r="T151" s="348"/>
      <c r="U151" s="348"/>
      <c r="W151" s="348"/>
      <c r="X151" s="348"/>
      <c r="Y151" s="348"/>
      <c r="Z151" s="348"/>
      <c r="AA151" s="525"/>
      <c r="AB151" s="348"/>
      <c r="AC151" s="348"/>
      <c r="AD151" s="348"/>
      <c r="AE151" s="348"/>
      <c r="AG151" s="348"/>
      <c r="AH151" s="348"/>
      <c r="AI151" s="348"/>
      <c r="AJ151" s="348"/>
      <c r="AK151" s="348"/>
      <c r="AL151" s="348"/>
      <c r="AM151" s="348"/>
      <c r="AN151" s="348"/>
      <c r="AO151" s="348"/>
      <c r="AP151" s="348"/>
      <c r="AQ151" s="348"/>
      <c r="AR151" s="348"/>
      <c r="AS151" s="348"/>
      <c r="AT151" s="348"/>
      <c r="AV151" s="526"/>
      <c r="AW151" s="534"/>
      <c r="AX151" s="534"/>
      <c r="AY151" s="9"/>
      <c r="AZ151" s="48"/>
      <c r="BA151" s="348"/>
      <c r="BB151" s="348"/>
      <c r="BC151" s="348"/>
      <c r="BD151" s="348"/>
      <c r="BE151" s="348"/>
    </row>
    <row r="152" spans="8:57" x14ac:dyDescent="0.2">
      <c r="H152" s="531"/>
      <c r="I152" s="4"/>
      <c r="J152" s="4"/>
      <c r="L152" s="4"/>
      <c r="R152" s="348"/>
      <c r="S152" s="348"/>
      <c r="T152" s="348"/>
      <c r="U152" s="348"/>
      <c r="W152" s="348"/>
      <c r="X152" s="348"/>
      <c r="Y152" s="348"/>
      <c r="Z152" s="348"/>
      <c r="AA152" s="525"/>
      <c r="AB152" s="348"/>
      <c r="AC152" s="348"/>
      <c r="AD152" s="348"/>
      <c r="AE152" s="348"/>
      <c r="AG152" s="348"/>
      <c r="AH152" s="348"/>
      <c r="AI152" s="348"/>
      <c r="AJ152" s="348"/>
      <c r="AK152" s="348"/>
      <c r="AL152" s="348"/>
      <c r="AM152" s="348"/>
      <c r="AN152" s="348"/>
      <c r="AO152" s="348"/>
      <c r="AP152" s="348"/>
      <c r="AQ152" s="348"/>
      <c r="AR152" s="348"/>
      <c r="AS152" s="348"/>
      <c r="AT152" s="348"/>
      <c r="AV152" s="526"/>
      <c r="AW152" s="534"/>
      <c r="AX152" s="534"/>
      <c r="AY152" s="9"/>
      <c r="AZ152" s="48"/>
      <c r="BA152" s="348"/>
      <c r="BB152" s="348"/>
      <c r="BC152" s="348"/>
      <c r="BD152" s="348"/>
      <c r="BE152" s="348"/>
    </row>
    <row r="153" spans="8:57" x14ac:dyDescent="0.2">
      <c r="H153" s="531"/>
      <c r="I153" s="4"/>
      <c r="J153" s="4"/>
      <c r="L153" s="4"/>
      <c r="R153" s="348"/>
      <c r="S153" s="348"/>
      <c r="T153" s="348"/>
      <c r="U153" s="348"/>
      <c r="W153" s="348"/>
      <c r="X153" s="348"/>
      <c r="Y153" s="348"/>
      <c r="Z153" s="348"/>
      <c r="AA153" s="525"/>
      <c r="AB153" s="348"/>
      <c r="AC153" s="348"/>
      <c r="AD153" s="348"/>
      <c r="AE153" s="348"/>
      <c r="AG153" s="348"/>
      <c r="AH153" s="348"/>
      <c r="AI153" s="348"/>
      <c r="AJ153" s="348"/>
      <c r="AK153" s="348"/>
      <c r="AL153" s="348"/>
      <c r="AM153" s="348"/>
      <c r="AN153" s="348"/>
      <c r="AO153" s="348"/>
      <c r="AP153" s="348"/>
      <c r="AQ153" s="348"/>
      <c r="AR153" s="348"/>
      <c r="AS153" s="348"/>
      <c r="AT153" s="348"/>
      <c r="AV153" s="526"/>
      <c r="AW153" s="534"/>
      <c r="AX153" s="534"/>
      <c r="AY153" s="9"/>
      <c r="AZ153" s="48"/>
      <c r="BA153" s="348"/>
      <c r="BB153" s="348"/>
      <c r="BC153" s="348"/>
      <c r="BD153" s="348"/>
      <c r="BE153" s="348"/>
    </row>
    <row r="154" spans="8:57" x14ac:dyDescent="0.2">
      <c r="H154" s="531"/>
      <c r="I154" s="4"/>
      <c r="J154" s="4"/>
      <c r="L154" s="4"/>
      <c r="R154" s="348"/>
      <c r="S154" s="348"/>
      <c r="T154" s="348"/>
      <c r="U154" s="348"/>
      <c r="W154" s="348"/>
      <c r="X154" s="348"/>
      <c r="Y154" s="348"/>
      <c r="Z154" s="348"/>
      <c r="AA154" s="525"/>
      <c r="AB154" s="348"/>
      <c r="AC154" s="348"/>
      <c r="AD154" s="348"/>
      <c r="AE154" s="348"/>
      <c r="AG154" s="348"/>
      <c r="AH154" s="348"/>
      <c r="AI154" s="348"/>
      <c r="AJ154" s="348"/>
      <c r="AK154" s="348"/>
      <c r="AL154" s="348"/>
      <c r="AM154" s="348"/>
      <c r="AN154" s="348"/>
      <c r="AO154" s="348"/>
      <c r="AP154" s="348"/>
      <c r="AQ154" s="348"/>
      <c r="AR154" s="348"/>
      <c r="AS154" s="348"/>
      <c r="AT154" s="348"/>
      <c r="AV154" s="526"/>
      <c r="AW154" s="534"/>
      <c r="AX154" s="534"/>
      <c r="AY154" s="9"/>
      <c r="AZ154" s="48"/>
      <c r="BA154" s="348"/>
      <c r="BB154" s="348"/>
      <c r="BC154" s="348"/>
      <c r="BD154" s="348"/>
      <c r="BE154" s="348"/>
    </row>
    <row r="155" spans="8:57" x14ac:dyDescent="0.2">
      <c r="H155" s="531"/>
      <c r="I155" s="4"/>
      <c r="J155" s="4"/>
      <c r="L155" s="4"/>
      <c r="R155" s="348"/>
      <c r="S155" s="348"/>
      <c r="T155" s="348"/>
      <c r="U155" s="348"/>
      <c r="W155" s="348"/>
      <c r="X155" s="348"/>
      <c r="Y155" s="348"/>
      <c r="Z155" s="348"/>
      <c r="AA155" s="525"/>
      <c r="AB155" s="348"/>
      <c r="AC155" s="348"/>
      <c r="AD155" s="348"/>
      <c r="AE155" s="348"/>
      <c r="AG155" s="348"/>
      <c r="AH155" s="348"/>
      <c r="AI155" s="348"/>
      <c r="AJ155" s="348"/>
      <c r="AK155" s="348"/>
      <c r="AL155" s="348"/>
      <c r="AM155" s="348"/>
      <c r="AN155" s="348"/>
      <c r="AO155" s="348"/>
      <c r="AP155" s="348"/>
      <c r="AQ155" s="348"/>
      <c r="AR155" s="348"/>
      <c r="AS155" s="348"/>
      <c r="AT155" s="348"/>
      <c r="AV155" s="526"/>
      <c r="AW155" s="534"/>
      <c r="AX155" s="534"/>
      <c r="AY155" s="9"/>
      <c r="AZ155" s="48"/>
      <c r="BA155" s="348"/>
      <c r="BB155" s="348"/>
      <c r="BC155" s="348"/>
      <c r="BD155" s="348"/>
      <c r="BE155" s="348"/>
    </row>
    <row r="156" spans="8:57" x14ac:dyDescent="0.2">
      <c r="H156" s="531"/>
      <c r="I156" s="4"/>
      <c r="J156" s="4"/>
      <c r="L156" s="4"/>
      <c r="R156" s="348"/>
      <c r="S156" s="348"/>
      <c r="T156" s="348"/>
      <c r="U156" s="348"/>
      <c r="W156" s="348"/>
      <c r="X156" s="348"/>
      <c r="Y156" s="348"/>
      <c r="Z156" s="348"/>
      <c r="AA156" s="525"/>
      <c r="AB156" s="348"/>
      <c r="AC156" s="348"/>
      <c r="AD156" s="348"/>
      <c r="AE156" s="348"/>
      <c r="AG156" s="348"/>
      <c r="AH156" s="348"/>
      <c r="AI156" s="348"/>
      <c r="AJ156" s="348"/>
      <c r="AK156" s="348"/>
      <c r="AL156" s="348"/>
      <c r="AM156" s="348"/>
      <c r="AN156" s="348"/>
      <c r="AO156" s="348"/>
      <c r="AP156" s="348"/>
      <c r="AQ156" s="348"/>
      <c r="AR156" s="348"/>
      <c r="AS156" s="348"/>
      <c r="AT156" s="348"/>
      <c r="AV156" s="526"/>
      <c r="AW156" s="534"/>
      <c r="AX156" s="534"/>
      <c r="AY156" s="9"/>
      <c r="AZ156" s="48"/>
      <c r="BA156" s="348"/>
      <c r="BB156" s="348"/>
      <c r="BC156" s="348"/>
      <c r="BD156" s="348"/>
      <c r="BE156" s="348"/>
    </row>
    <row r="157" spans="8:57" x14ac:dyDescent="0.2">
      <c r="H157" s="531"/>
      <c r="I157" s="4"/>
      <c r="J157" s="4"/>
      <c r="L157" s="4"/>
      <c r="R157" s="348"/>
      <c r="S157" s="348"/>
      <c r="T157" s="348"/>
      <c r="U157" s="348"/>
      <c r="W157" s="348"/>
      <c r="X157" s="348"/>
      <c r="Y157" s="348"/>
      <c r="Z157" s="348"/>
      <c r="AA157" s="525"/>
      <c r="AB157" s="348"/>
      <c r="AC157" s="348"/>
      <c r="AD157" s="348"/>
      <c r="AE157" s="348"/>
      <c r="AG157" s="348"/>
      <c r="AH157" s="348"/>
      <c r="AI157" s="348"/>
      <c r="AJ157" s="348"/>
      <c r="AK157" s="348"/>
      <c r="AL157" s="348"/>
      <c r="AM157" s="348"/>
      <c r="AN157" s="348"/>
      <c r="AO157" s="348"/>
      <c r="AP157" s="348"/>
      <c r="AQ157" s="348"/>
      <c r="AR157" s="348"/>
      <c r="AS157" s="348"/>
      <c r="AT157" s="348"/>
      <c r="AV157" s="526"/>
      <c r="AW157" s="534"/>
      <c r="AX157" s="534"/>
      <c r="AY157" s="9"/>
      <c r="AZ157" s="48"/>
      <c r="BA157" s="348"/>
      <c r="BB157" s="348"/>
      <c r="BC157" s="348"/>
      <c r="BD157" s="348"/>
      <c r="BE157" s="348"/>
    </row>
    <row r="158" spans="8:57" x14ac:dyDescent="0.2">
      <c r="H158" s="531"/>
      <c r="I158" s="4"/>
      <c r="J158" s="4"/>
      <c r="L158" s="4"/>
      <c r="R158" s="348"/>
      <c r="S158" s="348"/>
      <c r="T158" s="348"/>
      <c r="U158" s="348"/>
      <c r="W158" s="348"/>
      <c r="X158" s="348"/>
      <c r="Y158" s="348"/>
      <c r="Z158" s="348"/>
      <c r="AA158" s="525"/>
      <c r="AB158" s="348"/>
      <c r="AC158" s="348"/>
      <c r="AD158" s="348"/>
      <c r="AE158" s="348"/>
      <c r="AG158" s="348"/>
      <c r="AH158" s="348"/>
      <c r="AI158" s="348"/>
      <c r="AJ158" s="348"/>
      <c r="AK158" s="348"/>
      <c r="AL158" s="348"/>
      <c r="AM158" s="348"/>
      <c r="AN158" s="348"/>
      <c r="AO158" s="348"/>
      <c r="AP158" s="348"/>
      <c r="AQ158" s="348"/>
      <c r="AR158" s="348"/>
      <c r="AS158" s="348"/>
      <c r="AT158" s="348"/>
      <c r="AV158" s="526"/>
      <c r="AW158" s="534"/>
      <c r="AX158" s="534"/>
      <c r="AY158" s="9"/>
      <c r="AZ158" s="48"/>
      <c r="BA158" s="348"/>
      <c r="BB158" s="348"/>
      <c r="BC158" s="348"/>
      <c r="BD158" s="348"/>
      <c r="BE158" s="348"/>
    </row>
    <row r="159" spans="8:57" x14ac:dyDescent="0.2">
      <c r="H159" s="531"/>
      <c r="I159" s="4"/>
      <c r="J159" s="4"/>
      <c r="L159" s="4"/>
      <c r="R159" s="348"/>
      <c r="S159" s="348"/>
      <c r="T159" s="348"/>
      <c r="U159" s="348"/>
      <c r="W159" s="348"/>
      <c r="X159" s="348"/>
      <c r="Y159" s="348"/>
      <c r="Z159" s="348"/>
      <c r="AA159" s="525"/>
      <c r="AB159" s="348"/>
      <c r="AC159" s="348"/>
      <c r="AD159" s="348"/>
      <c r="AE159" s="348"/>
      <c r="AG159" s="348"/>
      <c r="AH159" s="348"/>
      <c r="AI159" s="348"/>
      <c r="AJ159" s="348"/>
      <c r="AK159" s="348"/>
      <c r="AL159" s="348"/>
      <c r="AM159" s="348"/>
      <c r="AN159" s="348"/>
      <c r="AO159" s="348"/>
      <c r="AP159" s="348"/>
      <c r="AQ159" s="348"/>
      <c r="AR159" s="348"/>
      <c r="AS159" s="348"/>
      <c r="AT159" s="348"/>
      <c r="AV159" s="526"/>
      <c r="AW159" s="534"/>
      <c r="AX159" s="534"/>
      <c r="AY159" s="9"/>
      <c r="AZ159" s="48"/>
      <c r="BA159" s="348"/>
      <c r="BB159" s="348"/>
      <c r="BC159" s="348"/>
      <c r="BD159" s="348"/>
      <c r="BE159" s="348"/>
    </row>
    <row r="160" spans="8:57" x14ac:dyDescent="0.2">
      <c r="H160" s="531"/>
      <c r="I160" s="4"/>
      <c r="J160" s="4"/>
      <c r="L160" s="4"/>
      <c r="R160" s="348"/>
      <c r="S160" s="348"/>
      <c r="T160" s="348"/>
      <c r="U160" s="348"/>
      <c r="W160" s="348"/>
      <c r="X160" s="348"/>
      <c r="Y160" s="348"/>
      <c r="Z160" s="348"/>
      <c r="AA160" s="525"/>
      <c r="AB160" s="348"/>
      <c r="AC160" s="348"/>
      <c r="AD160" s="348"/>
      <c r="AE160" s="348"/>
      <c r="AG160" s="348"/>
      <c r="AH160" s="348"/>
      <c r="AI160" s="348"/>
      <c r="AJ160" s="348"/>
      <c r="AK160" s="348"/>
      <c r="AL160" s="348"/>
      <c r="AM160" s="348"/>
      <c r="AN160" s="348"/>
      <c r="AO160" s="348"/>
      <c r="AP160" s="348"/>
      <c r="AQ160" s="348"/>
      <c r="AR160" s="348"/>
      <c r="AS160" s="348"/>
      <c r="AT160" s="348"/>
      <c r="AV160" s="526"/>
      <c r="AW160" s="534"/>
      <c r="AX160" s="534"/>
      <c r="AY160" s="9"/>
      <c r="AZ160" s="48"/>
      <c r="BA160" s="348"/>
      <c r="BB160" s="348"/>
      <c r="BC160" s="348"/>
      <c r="BD160" s="348"/>
      <c r="BE160" s="348"/>
    </row>
    <row r="161" spans="8:57" x14ac:dyDescent="0.2">
      <c r="H161" s="531"/>
      <c r="I161" s="4"/>
      <c r="J161" s="4"/>
      <c r="L161" s="4"/>
      <c r="R161" s="348"/>
      <c r="S161" s="348"/>
      <c r="T161" s="348"/>
      <c r="U161" s="348"/>
      <c r="W161" s="348"/>
      <c r="X161" s="348"/>
      <c r="Y161" s="348"/>
      <c r="Z161" s="348"/>
      <c r="AA161" s="525"/>
      <c r="AB161" s="348"/>
      <c r="AC161" s="348"/>
      <c r="AD161" s="348"/>
      <c r="AE161" s="348"/>
      <c r="AG161" s="348"/>
      <c r="AH161" s="348"/>
      <c r="AI161" s="348"/>
      <c r="AJ161" s="348"/>
      <c r="AK161" s="348"/>
      <c r="AL161" s="348"/>
      <c r="AM161" s="348"/>
      <c r="AN161" s="348"/>
      <c r="AO161" s="348"/>
      <c r="AP161" s="348"/>
      <c r="AQ161" s="348"/>
      <c r="AR161" s="348"/>
      <c r="AS161" s="348"/>
      <c r="AT161" s="348"/>
      <c r="AV161" s="526"/>
      <c r="AW161" s="534"/>
      <c r="AX161" s="534"/>
      <c r="AY161" s="9"/>
      <c r="AZ161" s="48"/>
      <c r="BA161" s="348"/>
      <c r="BB161" s="348"/>
      <c r="BC161" s="348"/>
      <c r="BD161" s="348"/>
      <c r="BE161" s="348"/>
    </row>
    <row r="162" spans="8:57" x14ac:dyDescent="0.2">
      <c r="H162" s="531"/>
      <c r="I162" s="4"/>
      <c r="J162" s="4"/>
      <c r="L162" s="4"/>
      <c r="R162" s="348"/>
      <c r="S162" s="348"/>
      <c r="T162" s="348"/>
      <c r="U162" s="348"/>
      <c r="W162" s="348"/>
      <c r="X162" s="348"/>
      <c r="Y162" s="348"/>
      <c r="Z162" s="348"/>
      <c r="AA162" s="525"/>
      <c r="AB162" s="348"/>
      <c r="AC162" s="348"/>
      <c r="AD162" s="348"/>
      <c r="AE162" s="348"/>
      <c r="AG162" s="348"/>
      <c r="AH162" s="348"/>
      <c r="AI162" s="348"/>
      <c r="AJ162" s="348"/>
      <c r="AK162" s="348"/>
      <c r="AL162" s="348"/>
      <c r="AM162" s="348"/>
      <c r="AN162" s="348"/>
      <c r="AO162" s="348"/>
      <c r="AP162" s="348"/>
      <c r="AQ162" s="348"/>
      <c r="AR162" s="348"/>
      <c r="AS162" s="348"/>
      <c r="AT162" s="348"/>
      <c r="AV162" s="526"/>
      <c r="AW162" s="534"/>
      <c r="AX162" s="534"/>
      <c r="AY162" s="9"/>
      <c r="AZ162" s="48"/>
      <c r="BA162" s="348"/>
      <c r="BB162" s="348"/>
      <c r="BC162" s="348"/>
      <c r="BD162" s="348"/>
      <c r="BE162" s="348"/>
    </row>
    <row r="163" spans="8:57" x14ac:dyDescent="0.2">
      <c r="H163" s="531"/>
      <c r="I163" s="4"/>
      <c r="J163" s="4"/>
      <c r="L163" s="4"/>
      <c r="R163" s="348"/>
      <c r="S163" s="348"/>
      <c r="T163" s="348"/>
      <c r="U163" s="348"/>
      <c r="W163" s="348"/>
      <c r="X163" s="348"/>
      <c r="Y163" s="348"/>
      <c r="Z163" s="348"/>
      <c r="AA163" s="525"/>
      <c r="AB163" s="348"/>
      <c r="AC163" s="348"/>
      <c r="AD163" s="348"/>
      <c r="AE163" s="348"/>
      <c r="AG163" s="348"/>
      <c r="AH163" s="348"/>
      <c r="AI163" s="348"/>
      <c r="AJ163" s="348"/>
      <c r="AK163" s="348"/>
      <c r="AL163" s="348"/>
      <c r="AM163" s="348"/>
      <c r="AN163" s="348"/>
      <c r="AO163" s="348"/>
      <c r="AP163" s="348"/>
      <c r="AQ163" s="348"/>
      <c r="AR163" s="348"/>
      <c r="AS163" s="348"/>
      <c r="AT163" s="348"/>
      <c r="AV163" s="526"/>
      <c r="AW163" s="534"/>
      <c r="AX163" s="534"/>
      <c r="AY163" s="9"/>
      <c r="AZ163" s="48"/>
      <c r="BA163" s="348"/>
      <c r="BB163" s="348"/>
      <c r="BC163" s="348"/>
      <c r="BD163" s="348"/>
      <c r="BE163" s="348"/>
    </row>
    <row r="164" spans="8:57" x14ac:dyDescent="0.2">
      <c r="H164" s="531"/>
      <c r="I164" s="4"/>
      <c r="J164" s="4"/>
      <c r="L164" s="4"/>
      <c r="R164" s="348"/>
      <c r="S164" s="348"/>
      <c r="T164" s="348"/>
      <c r="U164" s="348"/>
      <c r="W164" s="348"/>
      <c r="X164" s="348"/>
      <c r="Y164" s="348"/>
      <c r="Z164" s="348"/>
      <c r="AA164" s="525"/>
      <c r="AB164" s="348"/>
      <c r="AC164" s="348"/>
      <c r="AD164" s="348"/>
      <c r="AE164" s="348"/>
      <c r="AG164" s="348"/>
      <c r="AH164" s="348"/>
      <c r="AI164" s="348"/>
      <c r="AJ164" s="348"/>
      <c r="AK164" s="348"/>
      <c r="AL164" s="348"/>
      <c r="AM164" s="348"/>
      <c r="AN164" s="348"/>
      <c r="AO164" s="348"/>
      <c r="AP164" s="348"/>
      <c r="AQ164" s="348"/>
      <c r="AR164" s="348"/>
      <c r="AS164" s="348"/>
      <c r="AT164" s="348"/>
      <c r="AV164" s="526"/>
      <c r="AW164" s="534"/>
      <c r="AX164" s="534"/>
      <c r="AY164" s="9"/>
      <c r="AZ164" s="48"/>
      <c r="BA164" s="348"/>
      <c r="BB164" s="348"/>
      <c r="BC164" s="348"/>
      <c r="BD164" s="348"/>
      <c r="BE164" s="348"/>
    </row>
    <row r="165" spans="8:57" x14ac:dyDescent="0.2">
      <c r="H165" s="531"/>
      <c r="I165" s="4"/>
      <c r="J165" s="4"/>
      <c r="L165" s="4"/>
      <c r="R165" s="348"/>
      <c r="S165" s="348"/>
      <c r="T165" s="348"/>
      <c r="U165" s="348"/>
      <c r="W165" s="348"/>
      <c r="X165" s="348"/>
      <c r="Y165" s="348"/>
      <c r="Z165" s="348"/>
      <c r="AA165" s="525"/>
      <c r="AB165" s="348"/>
      <c r="AC165" s="348"/>
      <c r="AD165" s="348"/>
      <c r="AE165" s="348"/>
      <c r="AG165" s="348"/>
      <c r="AH165" s="348"/>
      <c r="AI165" s="348"/>
      <c r="AJ165" s="348"/>
      <c r="AK165" s="348"/>
      <c r="AL165" s="348"/>
      <c r="AM165" s="348"/>
      <c r="AN165" s="348"/>
      <c r="AO165" s="348"/>
      <c r="AP165" s="348"/>
      <c r="AQ165" s="348"/>
      <c r="AR165" s="348"/>
      <c r="AS165" s="348"/>
      <c r="AT165" s="348"/>
      <c r="AV165" s="526"/>
      <c r="AW165" s="534"/>
      <c r="AX165" s="534"/>
      <c r="AY165" s="9"/>
      <c r="AZ165" s="48"/>
      <c r="BA165" s="348"/>
      <c r="BB165" s="348"/>
      <c r="BC165" s="348"/>
      <c r="BD165" s="348"/>
      <c r="BE165" s="348"/>
    </row>
    <row r="166" spans="8:57" x14ac:dyDescent="0.2">
      <c r="H166" s="531"/>
      <c r="I166" s="4"/>
      <c r="J166" s="4"/>
      <c r="L166" s="4"/>
      <c r="R166" s="348"/>
      <c r="S166" s="348"/>
      <c r="T166" s="348"/>
      <c r="U166" s="348"/>
      <c r="W166" s="348"/>
      <c r="X166" s="348"/>
      <c r="Y166" s="348"/>
      <c r="Z166" s="348"/>
      <c r="AA166" s="525"/>
      <c r="AB166" s="348"/>
      <c r="AC166" s="348"/>
      <c r="AD166" s="348"/>
      <c r="AE166" s="348"/>
      <c r="AG166" s="348"/>
      <c r="AH166" s="348"/>
      <c r="AI166" s="348"/>
      <c r="AJ166" s="348"/>
      <c r="AK166" s="348"/>
      <c r="AL166" s="348"/>
      <c r="AM166" s="348"/>
      <c r="AN166" s="348"/>
      <c r="AO166" s="348"/>
      <c r="AP166" s="348"/>
      <c r="AQ166" s="348"/>
      <c r="AR166" s="348"/>
      <c r="AS166" s="348"/>
      <c r="AT166" s="348"/>
      <c r="AV166" s="526"/>
      <c r="AW166" s="534"/>
      <c r="AX166" s="534"/>
      <c r="AY166" s="9"/>
      <c r="AZ166" s="48"/>
      <c r="BA166" s="348"/>
      <c r="BB166" s="348"/>
      <c r="BC166" s="348"/>
      <c r="BD166" s="348"/>
      <c r="BE166" s="348"/>
    </row>
    <row r="167" spans="8:57" x14ac:dyDescent="0.2">
      <c r="H167" s="531"/>
      <c r="I167" s="4"/>
      <c r="J167" s="4"/>
      <c r="L167" s="4"/>
      <c r="R167" s="348"/>
      <c r="S167" s="348"/>
      <c r="T167" s="348"/>
      <c r="U167" s="348"/>
      <c r="W167" s="348"/>
      <c r="X167" s="348"/>
      <c r="Y167" s="348"/>
      <c r="Z167" s="348"/>
      <c r="AA167" s="525"/>
      <c r="AB167" s="348"/>
      <c r="AC167" s="348"/>
      <c r="AD167" s="348"/>
      <c r="AE167" s="348"/>
      <c r="AG167" s="348"/>
      <c r="AH167" s="348"/>
      <c r="AI167" s="348"/>
      <c r="AJ167" s="348"/>
      <c r="AK167" s="348"/>
      <c r="AL167" s="348"/>
      <c r="AM167" s="348"/>
      <c r="AN167" s="348"/>
      <c r="AO167" s="348"/>
      <c r="AP167" s="348"/>
      <c r="AQ167" s="348"/>
      <c r="AR167" s="348"/>
      <c r="AS167" s="348"/>
      <c r="AT167" s="348"/>
      <c r="AV167" s="526"/>
      <c r="AW167" s="534"/>
      <c r="AX167" s="534"/>
      <c r="AY167" s="9"/>
      <c r="AZ167" s="48"/>
      <c r="BA167" s="348"/>
      <c r="BB167" s="348"/>
      <c r="BC167" s="348"/>
      <c r="BD167" s="348"/>
      <c r="BE167" s="348"/>
    </row>
    <row r="168" spans="8:57" x14ac:dyDescent="0.2">
      <c r="H168" s="531"/>
      <c r="I168" s="4"/>
      <c r="J168" s="4"/>
      <c r="L168" s="4"/>
      <c r="R168" s="348"/>
      <c r="S168" s="348"/>
      <c r="T168" s="348"/>
      <c r="U168" s="348"/>
      <c r="W168" s="348"/>
      <c r="X168" s="348"/>
      <c r="Y168" s="348"/>
      <c r="Z168" s="348"/>
      <c r="AA168" s="525"/>
      <c r="AB168" s="348"/>
      <c r="AC168" s="348"/>
      <c r="AD168" s="348"/>
      <c r="AE168" s="348"/>
      <c r="AG168" s="348"/>
      <c r="AH168" s="348"/>
      <c r="AI168" s="348"/>
      <c r="AJ168" s="348"/>
      <c r="AK168" s="348"/>
      <c r="AL168" s="348"/>
      <c r="AM168" s="348"/>
      <c r="AN168" s="348"/>
      <c r="AO168" s="348"/>
      <c r="AP168" s="348"/>
      <c r="AQ168" s="348"/>
      <c r="AR168" s="348"/>
      <c r="AS168" s="348"/>
      <c r="AT168" s="348"/>
      <c r="AV168" s="526"/>
      <c r="AW168" s="534"/>
      <c r="AX168" s="534"/>
      <c r="AY168" s="9"/>
      <c r="AZ168" s="48"/>
      <c r="BA168" s="348"/>
      <c r="BB168" s="348"/>
      <c r="BC168" s="348"/>
      <c r="BD168" s="348"/>
      <c r="BE168" s="348"/>
    </row>
    <row r="169" spans="8:57" x14ac:dyDescent="0.2">
      <c r="H169" s="531"/>
      <c r="I169" s="4"/>
      <c r="J169" s="4"/>
      <c r="L169" s="4"/>
      <c r="R169" s="348"/>
      <c r="S169" s="348"/>
      <c r="T169" s="348"/>
      <c r="U169" s="348"/>
      <c r="W169" s="348"/>
      <c r="X169" s="348"/>
      <c r="Y169" s="348"/>
      <c r="Z169" s="348"/>
      <c r="AA169" s="525"/>
      <c r="AB169" s="348"/>
      <c r="AC169" s="348"/>
      <c r="AD169" s="348"/>
      <c r="AE169" s="348"/>
      <c r="AG169" s="348"/>
      <c r="AH169" s="348"/>
      <c r="AI169" s="348"/>
      <c r="AJ169" s="348"/>
      <c r="AK169" s="348"/>
      <c r="AL169" s="348"/>
      <c r="AM169" s="348"/>
      <c r="AN169" s="348"/>
      <c r="AO169" s="348"/>
      <c r="AP169" s="348"/>
      <c r="AQ169" s="348"/>
      <c r="AR169" s="348"/>
      <c r="AS169" s="348"/>
      <c r="AT169" s="348"/>
      <c r="AV169" s="526"/>
      <c r="AW169" s="534"/>
      <c r="AX169" s="534"/>
      <c r="AY169" s="9"/>
      <c r="AZ169" s="48"/>
      <c r="BA169" s="348"/>
      <c r="BB169" s="348"/>
      <c r="BC169" s="348"/>
      <c r="BD169" s="348"/>
      <c r="BE169" s="348"/>
    </row>
    <row r="170" spans="8:57" x14ac:dyDescent="0.2">
      <c r="H170" s="531"/>
      <c r="I170" s="4"/>
      <c r="J170" s="4"/>
      <c r="L170" s="4"/>
      <c r="R170" s="348"/>
      <c r="S170" s="348"/>
      <c r="T170" s="348"/>
      <c r="U170" s="348"/>
      <c r="W170" s="348"/>
      <c r="X170" s="348"/>
      <c r="Y170" s="348"/>
      <c r="Z170" s="348"/>
      <c r="AA170" s="525"/>
      <c r="AB170" s="348"/>
      <c r="AC170" s="348"/>
      <c r="AD170" s="348"/>
      <c r="AE170" s="348"/>
      <c r="AG170" s="348"/>
      <c r="AH170" s="348"/>
      <c r="AI170" s="348"/>
      <c r="AJ170" s="348"/>
      <c r="AK170" s="348"/>
      <c r="AL170" s="348"/>
      <c r="AM170" s="348"/>
      <c r="AN170" s="348"/>
      <c r="AO170" s="348"/>
      <c r="AP170" s="348"/>
      <c r="AQ170" s="348"/>
      <c r="AR170" s="348"/>
      <c r="AS170" s="348"/>
      <c r="AT170" s="348"/>
      <c r="AV170" s="526"/>
      <c r="AW170" s="534"/>
      <c r="AX170" s="534"/>
      <c r="AY170" s="9"/>
      <c r="AZ170" s="48"/>
      <c r="BA170" s="348"/>
      <c r="BB170" s="348"/>
      <c r="BC170" s="348"/>
      <c r="BD170" s="348"/>
      <c r="BE170" s="348"/>
    </row>
    <row r="171" spans="8:57" x14ac:dyDescent="0.2">
      <c r="H171" s="531"/>
      <c r="I171" s="4"/>
      <c r="J171" s="4"/>
      <c r="L171" s="4"/>
      <c r="R171" s="348"/>
      <c r="S171" s="348"/>
      <c r="T171" s="348"/>
      <c r="U171" s="348"/>
      <c r="W171" s="348"/>
      <c r="X171" s="348"/>
      <c r="Y171" s="348"/>
      <c r="Z171" s="348"/>
      <c r="AA171" s="525"/>
      <c r="AB171" s="348"/>
      <c r="AC171" s="348"/>
      <c r="AD171" s="348"/>
      <c r="AE171" s="348"/>
      <c r="AG171" s="348"/>
      <c r="AH171" s="348"/>
      <c r="AI171" s="348"/>
      <c r="AJ171" s="348"/>
      <c r="AK171" s="348"/>
      <c r="AL171" s="348"/>
      <c r="AM171" s="348"/>
      <c r="AN171" s="348"/>
      <c r="AO171" s="348"/>
      <c r="AP171" s="348"/>
      <c r="AQ171" s="348"/>
      <c r="AR171" s="348"/>
      <c r="AS171" s="348"/>
      <c r="AT171" s="348"/>
      <c r="AV171" s="526"/>
      <c r="AW171" s="534"/>
      <c r="AX171" s="534"/>
      <c r="AY171" s="9"/>
      <c r="AZ171" s="48"/>
      <c r="BA171" s="348"/>
      <c r="BB171" s="348"/>
      <c r="BC171" s="348"/>
      <c r="BD171" s="348"/>
      <c r="BE171" s="348"/>
    </row>
    <row r="172" spans="8:57" x14ac:dyDescent="0.2">
      <c r="H172" s="531"/>
      <c r="I172" s="4"/>
      <c r="J172" s="4"/>
      <c r="L172" s="4"/>
      <c r="R172" s="348"/>
      <c r="S172" s="348"/>
      <c r="T172" s="348"/>
      <c r="U172" s="348"/>
      <c r="W172" s="348"/>
      <c r="X172" s="348"/>
      <c r="Y172" s="348"/>
      <c r="Z172" s="348"/>
      <c r="AA172" s="525"/>
      <c r="AB172" s="348"/>
      <c r="AC172" s="348"/>
      <c r="AD172" s="348"/>
      <c r="AE172" s="348"/>
      <c r="AG172" s="348"/>
      <c r="AH172" s="348"/>
      <c r="AI172" s="348"/>
      <c r="AJ172" s="348"/>
      <c r="AK172" s="348"/>
      <c r="AL172" s="348"/>
      <c r="AM172" s="348"/>
      <c r="AN172" s="348"/>
      <c r="AO172" s="348"/>
      <c r="AP172" s="348"/>
      <c r="AQ172" s="348"/>
      <c r="AR172" s="348"/>
      <c r="AS172" s="348"/>
      <c r="AT172" s="348"/>
      <c r="AV172" s="526"/>
      <c r="AW172" s="534"/>
      <c r="AX172" s="534"/>
      <c r="AY172" s="9"/>
      <c r="AZ172" s="48"/>
      <c r="BA172" s="348"/>
      <c r="BB172" s="348"/>
      <c r="BC172" s="348"/>
      <c r="BD172" s="348"/>
      <c r="BE172" s="348"/>
    </row>
    <row r="173" spans="8:57" x14ac:dyDescent="0.2">
      <c r="H173" s="531"/>
      <c r="I173" s="4"/>
      <c r="J173" s="4"/>
      <c r="L173" s="4"/>
      <c r="R173" s="348"/>
      <c r="S173" s="348"/>
      <c r="T173" s="348"/>
      <c r="U173" s="348"/>
      <c r="W173" s="348"/>
      <c r="X173" s="348"/>
      <c r="Y173" s="348"/>
      <c r="Z173" s="348"/>
      <c r="AA173" s="525"/>
      <c r="AB173" s="348"/>
      <c r="AC173" s="348"/>
      <c r="AD173" s="348"/>
      <c r="AE173" s="348"/>
      <c r="AG173" s="348"/>
      <c r="AH173" s="348"/>
      <c r="AI173" s="348"/>
      <c r="AJ173" s="348"/>
      <c r="AK173" s="348"/>
      <c r="AL173" s="348"/>
      <c r="AM173" s="348"/>
      <c r="AN173" s="348"/>
      <c r="AO173" s="348"/>
      <c r="AP173" s="348"/>
      <c r="AQ173" s="348"/>
      <c r="AR173" s="348"/>
      <c r="AS173" s="348"/>
      <c r="AT173" s="348"/>
      <c r="AV173" s="526"/>
      <c r="AW173" s="534"/>
      <c r="AX173" s="534"/>
      <c r="AY173" s="9"/>
      <c r="AZ173" s="48"/>
      <c r="BA173" s="348"/>
      <c r="BB173" s="348"/>
      <c r="BC173" s="348"/>
      <c r="BD173" s="348"/>
      <c r="BE173" s="348"/>
    </row>
    <row r="174" spans="8:57" x14ac:dyDescent="0.2">
      <c r="H174" s="531"/>
      <c r="I174" s="4"/>
      <c r="J174" s="4"/>
      <c r="L174" s="4"/>
      <c r="R174" s="348"/>
      <c r="S174" s="348"/>
      <c r="T174" s="348"/>
      <c r="U174" s="348"/>
      <c r="W174" s="348"/>
      <c r="X174" s="348"/>
      <c r="Y174" s="348"/>
      <c r="Z174" s="348"/>
      <c r="AA174" s="525"/>
      <c r="AB174" s="348"/>
      <c r="AC174" s="348"/>
      <c r="AD174" s="348"/>
      <c r="AE174" s="348"/>
      <c r="AG174" s="348"/>
      <c r="AH174" s="348"/>
      <c r="AI174" s="348"/>
      <c r="AJ174" s="348"/>
      <c r="AK174" s="348"/>
      <c r="AL174" s="348"/>
      <c r="AM174" s="348"/>
      <c r="AN174" s="348"/>
      <c r="AO174" s="348"/>
      <c r="AP174" s="348"/>
      <c r="AQ174" s="348"/>
      <c r="AR174" s="348"/>
      <c r="AS174" s="348"/>
      <c r="AT174" s="348"/>
      <c r="AV174" s="526"/>
      <c r="AW174" s="534"/>
      <c r="AX174" s="534"/>
      <c r="AY174" s="9"/>
      <c r="AZ174" s="48"/>
      <c r="BA174" s="348"/>
      <c r="BB174" s="348"/>
      <c r="BC174" s="348"/>
      <c r="BD174" s="348"/>
      <c r="BE174" s="348"/>
    </row>
    <row r="175" spans="8:57" x14ac:dyDescent="0.2">
      <c r="H175" s="531"/>
      <c r="I175" s="4"/>
      <c r="J175" s="4"/>
      <c r="L175" s="4"/>
      <c r="R175" s="348"/>
      <c r="S175" s="348"/>
      <c r="T175" s="348"/>
      <c r="U175" s="348"/>
      <c r="W175" s="348"/>
      <c r="X175" s="348"/>
      <c r="Y175" s="348"/>
      <c r="Z175" s="348"/>
      <c r="AA175" s="525"/>
      <c r="AB175" s="348"/>
      <c r="AC175" s="348"/>
      <c r="AD175" s="348"/>
      <c r="AE175" s="348"/>
      <c r="AG175" s="348"/>
      <c r="AH175" s="348"/>
      <c r="AI175" s="348"/>
      <c r="AJ175" s="348"/>
      <c r="AK175" s="348"/>
      <c r="AL175" s="348"/>
      <c r="AM175" s="348"/>
      <c r="AN175" s="348"/>
      <c r="AO175" s="348"/>
      <c r="AP175" s="348"/>
      <c r="AQ175" s="348"/>
      <c r="AR175" s="348"/>
      <c r="AS175" s="348"/>
      <c r="AT175" s="348"/>
      <c r="AV175" s="526"/>
      <c r="AW175" s="534"/>
      <c r="AX175" s="534"/>
      <c r="AY175" s="9"/>
      <c r="AZ175" s="48"/>
      <c r="BA175" s="348"/>
      <c r="BB175" s="348"/>
      <c r="BC175" s="348"/>
      <c r="BD175" s="348"/>
      <c r="BE175" s="348"/>
    </row>
    <row r="176" spans="8:57" x14ac:dyDescent="0.2">
      <c r="H176" s="531"/>
      <c r="I176" s="4"/>
      <c r="J176" s="4"/>
      <c r="L176" s="4"/>
      <c r="R176" s="348"/>
      <c r="S176" s="348"/>
      <c r="T176" s="348"/>
      <c r="U176" s="348"/>
      <c r="W176" s="348"/>
      <c r="X176" s="348"/>
      <c r="Y176" s="348"/>
      <c r="Z176" s="348"/>
      <c r="AA176" s="525"/>
      <c r="AB176" s="348"/>
      <c r="AC176" s="348"/>
      <c r="AD176" s="348"/>
      <c r="AE176" s="348"/>
      <c r="AG176" s="348"/>
      <c r="AH176" s="348"/>
      <c r="AI176" s="348"/>
      <c r="AJ176" s="348"/>
      <c r="AK176" s="348"/>
      <c r="AL176" s="348"/>
      <c r="AM176" s="348"/>
      <c r="AN176" s="348"/>
      <c r="AO176" s="348"/>
      <c r="AP176" s="348"/>
      <c r="AQ176" s="348"/>
      <c r="AR176" s="348"/>
      <c r="AS176" s="348"/>
      <c r="AT176" s="348"/>
      <c r="AV176" s="526"/>
      <c r="AW176" s="534"/>
      <c r="AX176" s="534"/>
      <c r="AY176" s="9"/>
      <c r="AZ176" s="48"/>
      <c r="BA176" s="348"/>
      <c r="BB176" s="348"/>
      <c r="BC176" s="348"/>
      <c r="BD176" s="348"/>
      <c r="BE176" s="348"/>
    </row>
    <row r="177" spans="8:57" x14ac:dyDescent="0.2">
      <c r="H177" s="531"/>
      <c r="I177" s="4"/>
      <c r="J177" s="4"/>
      <c r="L177" s="4"/>
      <c r="R177" s="348"/>
      <c r="S177" s="348"/>
      <c r="T177" s="348"/>
      <c r="U177" s="348"/>
      <c r="W177" s="348"/>
      <c r="X177" s="348"/>
      <c r="Y177" s="348"/>
      <c r="Z177" s="348"/>
      <c r="AA177" s="525"/>
      <c r="AB177" s="348"/>
      <c r="AC177" s="348"/>
      <c r="AD177" s="348"/>
      <c r="AE177" s="348"/>
      <c r="AG177" s="348"/>
      <c r="AH177" s="348"/>
      <c r="AI177" s="348"/>
      <c r="AJ177" s="348"/>
      <c r="AK177" s="348"/>
      <c r="AL177" s="348"/>
      <c r="AM177" s="348"/>
      <c r="AN177" s="348"/>
      <c r="AO177" s="348"/>
      <c r="AP177" s="348"/>
      <c r="AQ177" s="348"/>
      <c r="AR177" s="348"/>
      <c r="AS177" s="348"/>
      <c r="AT177" s="348"/>
      <c r="AV177" s="526"/>
      <c r="AW177" s="534"/>
      <c r="AX177" s="534"/>
      <c r="AY177" s="9"/>
      <c r="AZ177" s="48"/>
      <c r="BA177" s="348"/>
      <c r="BB177" s="348"/>
      <c r="BC177" s="348"/>
      <c r="BD177" s="348"/>
      <c r="BE177" s="348"/>
    </row>
    <row r="178" spans="8:57" x14ac:dyDescent="0.2">
      <c r="H178" s="531"/>
      <c r="I178" s="4"/>
      <c r="J178" s="4"/>
      <c r="L178" s="4"/>
      <c r="R178" s="348"/>
      <c r="S178" s="348"/>
      <c r="T178" s="348"/>
      <c r="U178" s="348"/>
      <c r="W178" s="348"/>
      <c r="X178" s="348"/>
      <c r="Y178" s="348"/>
      <c r="Z178" s="348"/>
      <c r="AA178" s="525"/>
      <c r="AB178" s="348"/>
      <c r="AC178" s="348"/>
      <c r="AD178" s="348"/>
      <c r="AE178" s="348"/>
      <c r="AG178" s="348"/>
      <c r="AH178" s="348"/>
      <c r="AI178" s="348"/>
      <c r="AJ178" s="348"/>
      <c r="AK178" s="348"/>
      <c r="AL178" s="348"/>
      <c r="AM178" s="348"/>
      <c r="AN178" s="348"/>
      <c r="AO178" s="348"/>
      <c r="AP178" s="348"/>
      <c r="AQ178" s="348"/>
      <c r="AR178" s="348"/>
      <c r="AS178" s="348"/>
      <c r="AT178" s="348"/>
      <c r="AV178" s="526"/>
      <c r="AW178" s="534"/>
      <c r="AX178" s="534"/>
      <c r="AY178" s="9"/>
      <c r="AZ178" s="48"/>
      <c r="BA178" s="348"/>
      <c r="BB178" s="348"/>
      <c r="BC178" s="348"/>
      <c r="BD178" s="348"/>
      <c r="BE178" s="348"/>
    </row>
    <row r="179" spans="8:57" x14ac:dyDescent="0.2">
      <c r="H179" s="531"/>
      <c r="I179" s="4"/>
      <c r="J179" s="4"/>
      <c r="L179" s="4"/>
      <c r="R179" s="348"/>
      <c r="S179" s="348"/>
      <c r="T179" s="348"/>
      <c r="U179" s="348"/>
      <c r="W179" s="348"/>
      <c r="X179" s="348"/>
      <c r="Y179" s="348"/>
      <c r="Z179" s="348"/>
      <c r="AA179" s="525"/>
      <c r="AB179" s="348"/>
      <c r="AC179" s="348"/>
      <c r="AD179" s="348"/>
      <c r="AE179" s="348"/>
      <c r="AG179" s="348"/>
      <c r="AH179" s="348"/>
      <c r="AI179" s="348"/>
      <c r="AJ179" s="348"/>
      <c r="AK179" s="348"/>
      <c r="AL179" s="348"/>
      <c r="AM179" s="348"/>
      <c r="AN179" s="348"/>
      <c r="AO179" s="348"/>
      <c r="AP179" s="348"/>
      <c r="AQ179" s="348"/>
      <c r="AR179" s="348"/>
      <c r="AS179" s="348"/>
      <c r="AT179" s="348"/>
      <c r="AV179" s="526"/>
      <c r="AW179" s="534"/>
      <c r="AX179" s="534"/>
      <c r="AY179" s="9"/>
      <c r="AZ179" s="48"/>
      <c r="BA179" s="348"/>
      <c r="BB179" s="348"/>
      <c r="BC179" s="348"/>
      <c r="BD179" s="348"/>
      <c r="BE179" s="348"/>
    </row>
    <row r="180" spans="8:57" x14ac:dyDescent="0.2">
      <c r="H180" s="531"/>
      <c r="I180" s="4"/>
      <c r="J180" s="4"/>
      <c r="L180" s="4"/>
      <c r="R180" s="348"/>
      <c r="S180" s="348"/>
      <c r="T180" s="348"/>
      <c r="U180" s="348"/>
      <c r="W180" s="348"/>
      <c r="X180" s="348"/>
      <c r="Y180" s="348"/>
      <c r="Z180" s="348"/>
      <c r="AA180" s="525"/>
      <c r="AB180" s="348"/>
      <c r="AC180" s="348"/>
      <c r="AD180" s="348"/>
      <c r="AE180" s="348"/>
      <c r="AG180" s="348"/>
      <c r="AH180" s="348"/>
      <c r="AI180" s="348"/>
      <c r="AJ180" s="348"/>
      <c r="AK180" s="348"/>
      <c r="AL180" s="348"/>
      <c r="AM180" s="348"/>
      <c r="AN180" s="348"/>
      <c r="AO180" s="348"/>
      <c r="AP180" s="348"/>
      <c r="AQ180" s="348"/>
      <c r="AR180" s="348"/>
      <c r="AS180" s="348"/>
      <c r="AT180" s="348"/>
      <c r="AV180" s="526"/>
      <c r="AW180" s="534"/>
      <c r="AX180" s="534"/>
      <c r="AY180" s="9"/>
      <c r="AZ180" s="48"/>
      <c r="BA180" s="348"/>
      <c r="BB180" s="348"/>
      <c r="BC180" s="348"/>
      <c r="BD180" s="348"/>
      <c r="BE180" s="348"/>
    </row>
    <row r="181" spans="8:57" x14ac:dyDescent="0.2">
      <c r="H181" s="531"/>
      <c r="I181" s="4"/>
      <c r="J181" s="4"/>
      <c r="L181" s="4"/>
      <c r="R181" s="348"/>
      <c r="S181" s="348"/>
      <c r="T181" s="348"/>
      <c r="U181" s="348"/>
      <c r="W181" s="348"/>
      <c r="X181" s="348"/>
      <c r="Y181" s="348"/>
      <c r="Z181" s="348"/>
      <c r="AA181" s="525"/>
      <c r="AB181" s="348"/>
      <c r="AC181" s="348"/>
      <c r="AD181" s="348"/>
      <c r="AE181" s="348"/>
      <c r="AG181" s="348"/>
      <c r="AH181" s="348"/>
      <c r="AI181" s="348"/>
      <c r="AJ181" s="348"/>
      <c r="AK181" s="348"/>
      <c r="AL181" s="348"/>
      <c r="AM181" s="348"/>
      <c r="AN181" s="348"/>
      <c r="AO181" s="348"/>
      <c r="AP181" s="348"/>
      <c r="AQ181" s="348"/>
      <c r="AR181" s="348"/>
      <c r="AS181" s="348"/>
      <c r="AT181" s="348"/>
      <c r="AV181" s="526"/>
      <c r="AW181" s="534"/>
      <c r="AX181" s="534"/>
      <c r="AY181" s="9"/>
      <c r="AZ181" s="48"/>
      <c r="BA181" s="348"/>
      <c r="BB181" s="348"/>
      <c r="BC181" s="348"/>
      <c r="BD181" s="348"/>
      <c r="BE181" s="348"/>
    </row>
    <row r="182" spans="8:57" x14ac:dyDescent="0.2">
      <c r="H182" s="531"/>
      <c r="I182" s="4"/>
      <c r="J182" s="4"/>
      <c r="L182" s="4"/>
      <c r="R182" s="348"/>
      <c r="S182" s="348"/>
      <c r="T182" s="348"/>
      <c r="U182" s="348"/>
      <c r="W182" s="348"/>
      <c r="X182" s="348"/>
      <c r="Y182" s="348"/>
      <c r="Z182" s="348"/>
      <c r="AA182" s="525"/>
      <c r="AB182" s="348"/>
      <c r="AC182" s="348"/>
      <c r="AD182" s="348"/>
      <c r="AE182" s="348"/>
      <c r="AG182" s="348"/>
      <c r="AH182" s="348"/>
      <c r="AI182" s="348"/>
      <c r="AJ182" s="348"/>
      <c r="AK182" s="348"/>
      <c r="AL182" s="348"/>
      <c r="AM182" s="348"/>
      <c r="AN182" s="348"/>
      <c r="AO182" s="348"/>
      <c r="AP182" s="348"/>
      <c r="AQ182" s="348"/>
      <c r="AR182" s="348"/>
      <c r="AS182" s="348"/>
      <c r="AT182" s="348"/>
      <c r="AV182" s="526"/>
      <c r="AW182" s="534"/>
      <c r="AX182" s="534"/>
      <c r="AY182" s="9"/>
      <c r="AZ182" s="48"/>
      <c r="BA182" s="348"/>
      <c r="BB182" s="348"/>
      <c r="BC182" s="348"/>
      <c r="BD182" s="348"/>
      <c r="BE182" s="348"/>
    </row>
    <row r="183" spans="8:57" x14ac:dyDescent="0.2">
      <c r="H183" s="531"/>
      <c r="I183" s="4"/>
      <c r="J183" s="4"/>
      <c r="L183" s="4"/>
      <c r="R183" s="348"/>
      <c r="S183" s="348"/>
      <c r="T183" s="348"/>
      <c r="U183" s="348"/>
      <c r="W183" s="348"/>
      <c r="X183" s="348"/>
      <c r="Y183" s="348"/>
      <c r="Z183" s="348"/>
      <c r="AA183" s="525"/>
      <c r="AB183" s="348"/>
      <c r="AC183" s="348"/>
      <c r="AD183" s="348"/>
      <c r="AE183" s="348"/>
      <c r="AG183" s="348"/>
      <c r="AH183" s="348"/>
      <c r="AI183" s="348"/>
      <c r="AJ183" s="348"/>
      <c r="AK183" s="348"/>
      <c r="AL183" s="348"/>
      <c r="AM183" s="348"/>
      <c r="AN183" s="348"/>
      <c r="AO183" s="348"/>
      <c r="AP183" s="348"/>
      <c r="AQ183" s="348"/>
      <c r="AR183" s="348"/>
      <c r="AS183" s="348"/>
      <c r="AT183" s="348"/>
      <c r="AV183" s="526"/>
      <c r="AW183" s="534"/>
      <c r="AX183" s="534"/>
      <c r="AY183" s="9"/>
      <c r="AZ183" s="48"/>
      <c r="BA183" s="348"/>
      <c r="BB183" s="348"/>
      <c r="BC183" s="348"/>
      <c r="BD183" s="348"/>
      <c r="BE183" s="348"/>
    </row>
    <row r="184" spans="8:57" x14ac:dyDescent="0.2">
      <c r="H184" s="531"/>
      <c r="I184" s="4"/>
      <c r="J184" s="4"/>
      <c r="L184" s="4"/>
      <c r="R184" s="348"/>
      <c r="S184" s="348"/>
      <c r="T184" s="348"/>
      <c r="U184" s="348"/>
      <c r="W184" s="348"/>
      <c r="X184" s="348"/>
      <c r="Y184" s="348"/>
      <c r="Z184" s="348"/>
      <c r="AA184" s="525"/>
      <c r="AB184" s="348"/>
      <c r="AC184" s="348"/>
      <c r="AD184" s="348"/>
      <c r="AE184" s="348"/>
      <c r="AG184" s="348"/>
      <c r="AH184" s="348"/>
      <c r="AI184" s="348"/>
      <c r="AJ184" s="348"/>
      <c r="AK184" s="348"/>
      <c r="AL184" s="348"/>
      <c r="AM184" s="348"/>
      <c r="AN184" s="348"/>
      <c r="AO184" s="348"/>
      <c r="AP184" s="348"/>
      <c r="AQ184" s="348"/>
      <c r="AR184" s="348"/>
      <c r="AS184" s="348"/>
      <c r="AT184" s="348"/>
      <c r="AV184" s="526"/>
      <c r="AW184" s="534"/>
      <c r="AX184" s="534"/>
      <c r="AY184" s="9"/>
      <c r="AZ184" s="48"/>
      <c r="BA184" s="348"/>
      <c r="BB184" s="348"/>
      <c r="BC184" s="348"/>
      <c r="BD184" s="348"/>
      <c r="BE184" s="348"/>
    </row>
    <row r="185" spans="8:57" x14ac:dyDescent="0.2">
      <c r="H185" s="531"/>
      <c r="I185" s="4"/>
      <c r="J185" s="4"/>
      <c r="L185" s="4"/>
      <c r="R185" s="348"/>
      <c r="S185" s="348"/>
      <c r="T185" s="348"/>
      <c r="U185" s="348"/>
      <c r="W185" s="348"/>
      <c r="X185" s="348"/>
      <c r="Y185" s="348"/>
      <c r="Z185" s="348"/>
      <c r="AA185" s="525"/>
      <c r="AB185" s="348"/>
      <c r="AC185" s="348"/>
      <c r="AD185" s="348"/>
      <c r="AE185" s="348"/>
      <c r="AG185" s="348"/>
      <c r="AH185" s="348"/>
      <c r="AI185" s="348"/>
      <c r="AJ185" s="348"/>
      <c r="AK185" s="348"/>
      <c r="AL185" s="348"/>
      <c r="AM185" s="348"/>
      <c r="AN185" s="348"/>
      <c r="AO185" s="348"/>
      <c r="AP185" s="348"/>
      <c r="AQ185" s="348"/>
      <c r="AR185" s="348"/>
      <c r="AS185" s="348"/>
      <c r="AT185" s="348"/>
      <c r="AV185" s="526"/>
      <c r="AW185" s="534"/>
      <c r="AX185" s="534"/>
      <c r="AY185" s="9"/>
      <c r="AZ185" s="48"/>
      <c r="BA185" s="348"/>
      <c r="BB185" s="348"/>
      <c r="BC185" s="348"/>
      <c r="BD185" s="348"/>
      <c r="BE185" s="348"/>
    </row>
    <row r="186" spans="8:57" x14ac:dyDescent="0.2">
      <c r="H186" s="531"/>
      <c r="I186" s="4"/>
      <c r="J186" s="4"/>
      <c r="L186" s="4"/>
      <c r="R186" s="348"/>
      <c r="S186" s="348"/>
      <c r="T186" s="348"/>
      <c r="U186" s="348"/>
      <c r="W186" s="348"/>
      <c r="X186" s="348"/>
      <c r="Y186" s="348"/>
      <c r="Z186" s="348"/>
      <c r="AA186" s="525"/>
      <c r="AB186" s="348"/>
      <c r="AC186" s="348"/>
      <c r="AD186" s="348"/>
      <c r="AE186" s="348"/>
      <c r="AG186" s="348"/>
      <c r="AH186" s="348"/>
      <c r="AI186" s="348"/>
      <c r="AJ186" s="348"/>
      <c r="AK186" s="348"/>
      <c r="AL186" s="348"/>
      <c r="AM186" s="348"/>
      <c r="AN186" s="348"/>
      <c r="AO186" s="348"/>
      <c r="AP186" s="348"/>
      <c r="AQ186" s="348"/>
      <c r="AR186" s="348"/>
      <c r="AS186" s="348"/>
      <c r="AT186" s="348"/>
      <c r="AV186" s="526"/>
      <c r="AW186" s="534"/>
      <c r="AX186" s="534"/>
      <c r="AY186" s="9"/>
      <c r="AZ186" s="48"/>
      <c r="BA186" s="348"/>
      <c r="BB186" s="348"/>
      <c r="BC186" s="348"/>
      <c r="BD186" s="348"/>
      <c r="BE186" s="348"/>
    </row>
    <row r="187" spans="8:57" x14ac:dyDescent="0.2">
      <c r="H187" s="531"/>
      <c r="I187" s="4"/>
      <c r="J187" s="4"/>
      <c r="L187" s="4"/>
      <c r="R187" s="348"/>
      <c r="S187" s="348"/>
      <c r="T187" s="348"/>
      <c r="U187" s="348"/>
      <c r="W187" s="348"/>
      <c r="X187" s="348"/>
      <c r="Y187" s="348"/>
      <c r="Z187" s="348"/>
      <c r="AA187" s="525"/>
      <c r="AB187" s="348"/>
      <c r="AC187" s="348"/>
      <c r="AD187" s="348"/>
      <c r="AE187" s="348"/>
      <c r="AG187" s="348"/>
      <c r="AH187" s="348"/>
      <c r="AI187" s="348"/>
      <c r="AJ187" s="348"/>
      <c r="AK187" s="348"/>
      <c r="AL187" s="348"/>
      <c r="AM187" s="348"/>
      <c r="AN187" s="348"/>
      <c r="AO187" s="348"/>
      <c r="AP187" s="348"/>
      <c r="AQ187" s="348"/>
      <c r="AR187" s="348"/>
      <c r="AS187" s="348"/>
      <c r="AT187" s="348"/>
      <c r="AV187" s="526"/>
      <c r="AW187" s="534"/>
      <c r="AX187" s="534"/>
      <c r="AY187" s="9"/>
      <c r="AZ187" s="48"/>
      <c r="BA187" s="348"/>
      <c r="BB187" s="348"/>
      <c r="BC187" s="348"/>
      <c r="BD187" s="348"/>
      <c r="BE187" s="348"/>
    </row>
    <row r="188" spans="8:57" x14ac:dyDescent="0.2">
      <c r="H188" s="531"/>
      <c r="I188" s="4"/>
      <c r="J188" s="4"/>
      <c r="L188" s="4"/>
      <c r="R188" s="348"/>
      <c r="S188" s="348"/>
      <c r="T188" s="348"/>
      <c r="U188" s="348"/>
      <c r="W188" s="348"/>
      <c r="X188" s="348"/>
      <c r="Y188" s="348"/>
      <c r="Z188" s="348"/>
      <c r="AA188" s="525"/>
      <c r="AB188" s="348"/>
      <c r="AC188" s="348"/>
      <c r="AD188" s="348"/>
      <c r="AE188" s="348"/>
      <c r="AG188" s="348"/>
      <c r="AH188" s="348"/>
      <c r="AI188" s="348"/>
      <c r="AJ188" s="348"/>
      <c r="AK188" s="348"/>
      <c r="AL188" s="348"/>
      <c r="AM188" s="348"/>
      <c r="AN188" s="348"/>
      <c r="AO188" s="348"/>
      <c r="AP188" s="348"/>
      <c r="AQ188" s="348"/>
      <c r="AR188" s="348"/>
      <c r="AS188" s="348"/>
      <c r="AT188" s="348"/>
      <c r="AV188" s="526"/>
      <c r="AW188" s="534"/>
      <c r="AX188" s="534"/>
      <c r="AY188" s="9"/>
      <c r="AZ188" s="48"/>
      <c r="BA188" s="348"/>
      <c r="BB188" s="348"/>
      <c r="BC188" s="348"/>
      <c r="BD188" s="348"/>
      <c r="BE188" s="348"/>
    </row>
    <row r="189" spans="8:57" x14ac:dyDescent="0.2">
      <c r="H189" s="531"/>
      <c r="I189" s="4"/>
      <c r="J189" s="4"/>
      <c r="L189" s="4"/>
      <c r="R189" s="348"/>
      <c r="S189" s="348"/>
      <c r="T189" s="348"/>
      <c r="U189" s="348"/>
      <c r="W189" s="348"/>
      <c r="X189" s="348"/>
      <c r="Y189" s="348"/>
      <c r="Z189" s="348"/>
      <c r="AA189" s="525"/>
      <c r="AB189" s="348"/>
      <c r="AC189" s="348"/>
      <c r="AD189" s="348"/>
      <c r="AE189" s="348"/>
      <c r="AG189" s="348"/>
      <c r="AH189" s="348"/>
      <c r="AI189" s="348"/>
      <c r="AJ189" s="348"/>
      <c r="AK189" s="348"/>
      <c r="AL189" s="348"/>
      <c r="AM189" s="348"/>
      <c r="AN189" s="348"/>
      <c r="AO189" s="348"/>
      <c r="AP189" s="348"/>
      <c r="AQ189" s="348"/>
      <c r="AR189" s="348"/>
      <c r="AS189" s="348"/>
      <c r="AT189" s="348"/>
      <c r="AV189" s="526"/>
      <c r="AW189" s="534"/>
      <c r="AX189" s="534"/>
      <c r="AY189" s="9"/>
      <c r="AZ189" s="48"/>
      <c r="BA189" s="348"/>
      <c r="BB189" s="348"/>
      <c r="BC189" s="348"/>
      <c r="BD189" s="348"/>
      <c r="BE189" s="348"/>
    </row>
    <row r="190" spans="8:57" x14ac:dyDescent="0.2">
      <c r="H190" s="531"/>
      <c r="I190" s="4"/>
      <c r="J190" s="4"/>
      <c r="L190" s="4"/>
      <c r="R190" s="348"/>
      <c r="S190" s="348"/>
      <c r="T190" s="348"/>
      <c r="U190" s="348"/>
      <c r="W190" s="348"/>
      <c r="X190" s="348"/>
      <c r="Y190" s="348"/>
      <c r="Z190" s="348"/>
      <c r="AA190" s="525"/>
      <c r="AB190" s="348"/>
      <c r="AC190" s="348"/>
      <c r="AD190" s="348"/>
      <c r="AE190" s="348"/>
      <c r="AG190" s="348"/>
      <c r="AH190" s="348"/>
      <c r="AI190" s="348"/>
      <c r="AJ190" s="348"/>
      <c r="AK190" s="348"/>
      <c r="AL190" s="348"/>
      <c r="AM190" s="348"/>
      <c r="AN190" s="348"/>
      <c r="AO190" s="348"/>
      <c r="AP190" s="348"/>
      <c r="AQ190" s="348"/>
      <c r="AR190" s="348"/>
      <c r="AS190" s="348"/>
      <c r="AT190" s="348"/>
      <c r="AV190" s="526"/>
      <c r="AW190" s="534"/>
      <c r="AX190" s="534"/>
      <c r="AY190" s="9"/>
      <c r="AZ190" s="48"/>
      <c r="BA190" s="348"/>
      <c r="BB190" s="348"/>
      <c r="BC190" s="348"/>
      <c r="BD190" s="348"/>
      <c r="BE190" s="348"/>
    </row>
    <row r="191" spans="8:57" x14ac:dyDescent="0.2">
      <c r="H191" s="531"/>
      <c r="I191" s="4"/>
      <c r="J191" s="4"/>
      <c r="L191" s="4"/>
      <c r="R191" s="348"/>
      <c r="S191" s="348"/>
      <c r="T191" s="348"/>
      <c r="U191" s="348"/>
      <c r="W191" s="348"/>
      <c r="X191" s="348"/>
      <c r="Y191" s="348"/>
      <c r="Z191" s="348"/>
      <c r="AA191" s="525"/>
      <c r="AB191" s="348"/>
      <c r="AC191" s="348"/>
      <c r="AD191" s="348"/>
      <c r="AE191" s="348"/>
      <c r="AG191" s="348"/>
      <c r="AH191" s="348"/>
      <c r="AI191" s="348"/>
      <c r="AJ191" s="348"/>
      <c r="AK191" s="348"/>
      <c r="AL191" s="348"/>
      <c r="AM191" s="348"/>
      <c r="AN191" s="348"/>
      <c r="AO191" s="348"/>
      <c r="AP191" s="348"/>
      <c r="AQ191" s="348"/>
      <c r="AR191" s="348"/>
      <c r="AS191" s="348"/>
      <c r="AT191" s="348"/>
      <c r="AV191" s="526"/>
      <c r="AW191" s="534"/>
      <c r="AX191" s="534"/>
      <c r="AY191" s="9"/>
      <c r="AZ191" s="48"/>
      <c r="BA191" s="348"/>
      <c r="BB191" s="348"/>
      <c r="BC191" s="348"/>
      <c r="BD191" s="348"/>
      <c r="BE191" s="348"/>
    </row>
    <row r="192" spans="8:57" x14ac:dyDescent="0.2">
      <c r="H192" s="531"/>
      <c r="I192" s="4"/>
      <c r="J192" s="4"/>
      <c r="L192" s="4"/>
      <c r="R192" s="348"/>
      <c r="S192" s="348"/>
      <c r="T192" s="348"/>
      <c r="U192" s="348"/>
      <c r="W192" s="348"/>
      <c r="X192" s="348"/>
      <c r="Y192" s="348"/>
      <c r="Z192" s="348"/>
      <c r="AA192" s="525"/>
      <c r="AB192" s="348"/>
      <c r="AC192" s="348"/>
      <c r="AD192" s="348"/>
      <c r="AE192" s="348"/>
      <c r="AG192" s="348"/>
      <c r="AH192" s="348"/>
      <c r="AI192" s="348"/>
      <c r="AJ192" s="348"/>
      <c r="AK192" s="348"/>
      <c r="AL192" s="348"/>
      <c r="AM192" s="348"/>
      <c r="AN192" s="348"/>
      <c r="AO192" s="348"/>
      <c r="AP192" s="348"/>
      <c r="AQ192" s="348"/>
      <c r="AR192" s="348"/>
      <c r="AS192" s="348"/>
      <c r="AT192" s="348"/>
      <c r="AV192" s="526"/>
      <c r="AW192" s="534"/>
      <c r="AX192" s="534"/>
      <c r="AY192" s="9"/>
      <c r="AZ192" s="48"/>
      <c r="BA192" s="348"/>
      <c r="BB192" s="348"/>
      <c r="BC192" s="348"/>
      <c r="BD192" s="348"/>
      <c r="BE192" s="348"/>
    </row>
    <row r="193" spans="8:57" x14ac:dyDescent="0.2">
      <c r="H193" s="531"/>
      <c r="I193" s="4"/>
      <c r="J193" s="4"/>
      <c r="L193" s="4"/>
      <c r="R193" s="348"/>
      <c r="S193" s="348"/>
      <c r="T193" s="348"/>
      <c r="U193" s="348"/>
      <c r="W193" s="348"/>
      <c r="X193" s="348"/>
      <c r="Y193" s="348"/>
      <c r="Z193" s="348"/>
      <c r="AA193" s="525"/>
      <c r="AB193" s="348"/>
      <c r="AC193" s="348"/>
      <c r="AD193" s="348"/>
      <c r="AE193" s="348"/>
      <c r="AG193" s="348"/>
      <c r="AH193" s="348"/>
      <c r="AI193" s="348"/>
      <c r="AJ193" s="348"/>
      <c r="AK193" s="348"/>
      <c r="AL193" s="348"/>
      <c r="AM193" s="348"/>
      <c r="AN193" s="348"/>
      <c r="AO193" s="348"/>
      <c r="AP193" s="348"/>
      <c r="AQ193" s="348"/>
      <c r="AR193" s="348"/>
      <c r="AS193" s="348"/>
      <c r="AT193" s="348"/>
      <c r="AV193" s="526"/>
      <c r="AW193" s="534"/>
      <c r="AX193" s="534"/>
      <c r="AY193" s="9"/>
      <c r="AZ193" s="48"/>
      <c r="BA193" s="348"/>
      <c r="BB193" s="348"/>
      <c r="BC193" s="348"/>
      <c r="BD193" s="348"/>
      <c r="BE193" s="348"/>
    </row>
    <row r="194" spans="8:57" x14ac:dyDescent="0.2">
      <c r="H194" s="531"/>
      <c r="I194" s="4"/>
      <c r="J194" s="4"/>
      <c r="L194" s="4"/>
      <c r="R194" s="348"/>
      <c r="S194" s="348"/>
      <c r="T194" s="348"/>
      <c r="U194" s="348"/>
      <c r="W194" s="348"/>
      <c r="X194" s="348"/>
      <c r="Y194" s="348"/>
      <c r="Z194" s="348"/>
      <c r="AA194" s="525"/>
      <c r="AB194" s="348"/>
      <c r="AC194" s="348"/>
      <c r="AD194" s="348"/>
      <c r="AE194" s="348"/>
      <c r="AG194" s="348"/>
      <c r="AH194" s="348"/>
      <c r="AI194" s="348"/>
      <c r="AJ194" s="348"/>
      <c r="AK194" s="348"/>
      <c r="AL194" s="348"/>
      <c r="AM194" s="348"/>
      <c r="AN194" s="348"/>
      <c r="AO194" s="348"/>
      <c r="AP194" s="348"/>
      <c r="AQ194" s="348"/>
      <c r="AR194" s="348"/>
      <c r="AS194" s="348"/>
      <c r="AT194" s="348"/>
      <c r="AV194" s="526"/>
      <c r="AW194" s="534"/>
      <c r="AX194" s="534"/>
      <c r="AY194" s="9"/>
      <c r="AZ194" s="48"/>
      <c r="BA194" s="348"/>
      <c r="BB194" s="348"/>
      <c r="BC194" s="348"/>
      <c r="BD194" s="348"/>
      <c r="BE194" s="348"/>
    </row>
    <row r="195" spans="8:57" x14ac:dyDescent="0.2">
      <c r="H195" s="531"/>
      <c r="I195" s="4"/>
      <c r="J195" s="4"/>
      <c r="L195" s="4"/>
      <c r="R195" s="348"/>
      <c r="S195" s="348"/>
      <c r="T195" s="348"/>
      <c r="U195" s="348"/>
      <c r="W195" s="348"/>
      <c r="X195" s="348"/>
      <c r="Y195" s="348"/>
      <c r="Z195" s="348"/>
      <c r="AA195" s="525"/>
      <c r="AB195" s="348"/>
      <c r="AC195" s="348"/>
      <c r="AD195" s="348"/>
      <c r="AE195" s="348"/>
      <c r="AG195" s="348"/>
      <c r="AH195" s="348"/>
      <c r="AI195" s="348"/>
      <c r="AJ195" s="348"/>
      <c r="AK195" s="348"/>
      <c r="AL195" s="348"/>
      <c r="AM195" s="348"/>
      <c r="AN195" s="348"/>
      <c r="AO195" s="348"/>
      <c r="AP195" s="348"/>
      <c r="AQ195" s="348"/>
      <c r="AR195" s="348"/>
      <c r="AS195" s="348"/>
      <c r="AT195" s="348"/>
      <c r="AV195" s="526"/>
      <c r="AW195" s="534"/>
      <c r="AX195" s="534"/>
      <c r="AY195" s="9"/>
      <c r="AZ195" s="48"/>
      <c r="BA195" s="348"/>
      <c r="BB195" s="348"/>
      <c r="BC195" s="348"/>
      <c r="BD195" s="348"/>
      <c r="BE195" s="348"/>
    </row>
    <row r="196" spans="8:57" x14ac:dyDescent="0.2">
      <c r="H196" s="531"/>
      <c r="I196" s="4"/>
      <c r="J196" s="4"/>
      <c r="L196" s="4"/>
      <c r="R196" s="348"/>
      <c r="S196" s="348"/>
      <c r="T196" s="348"/>
      <c r="U196" s="348"/>
      <c r="W196" s="348"/>
      <c r="X196" s="348"/>
      <c r="Y196" s="348"/>
      <c r="Z196" s="348"/>
      <c r="AA196" s="525"/>
      <c r="AB196" s="348"/>
      <c r="AC196" s="348"/>
      <c r="AD196" s="348"/>
      <c r="AE196" s="348"/>
      <c r="AG196" s="348"/>
      <c r="AH196" s="348"/>
      <c r="AI196" s="348"/>
      <c r="AJ196" s="348"/>
      <c r="AK196" s="348"/>
      <c r="AL196" s="348"/>
      <c r="AM196" s="348"/>
      <c r="AN196" s="348"/>
      <c r="AO196" s="348"/>
      <c r="AP196" s="348"/>
      <c r="AQ196" s="348"/>
      <c r="AR196" s="348"/>
      <c r="AS196" s="348"/>
      <c r="AT196" s="348"/>
      <c r="AV196" s="526"/>
      <c r="AW196" s="534"/>
      <c r="AX196" s="534"/>
      <c r="AY196" s="9"/>
      <c r="AZ196" s="48"/>
      <c r="BA196" s="348"/>
      <c r="BB196" s="348"/>
      <c r="BC196" s="348"/>
      <c r="BD196" s="348"/>
      <c r="BE196" s="348"/>
    </row>
    <row r="197" spans="8:57" x14ac:dyDescent="0.2">
      <c r="H197" s="531"/>
      <c r="I197" s="4"/>
      <c r="J197" s="4"/>
      <c r="L197" s="4"/>
      <c r="R197" s="348"/>
      <c r="S197" s="348"/>
      <c r="T197" s="348"/>
      <c r="U197" s="348"/>
      <c r="W197" s="348"/>
      <c r="X197" s="348"/>
      <c r="Y197" s="348"/>
      <c r="Z197" s="348"/>
      <c r="AA197" s="525"/>
      <c r="AB197" s="348"/>
      <c r="AC197" s="348"/>
      <c r="AD197" s="348"/>
      <c r="AE197" s="348"/>
      <c r="AG197" s="348"/>
      <c r="AH197" s="348"/>
      <c r="AI197" s="348"/>
      <c r="AJ197" s="348"/>
      <c r="AK197" s="348"/>
      <c r="AL197" s="348"/>
      <c r="AM197" s="348"/>
      <c r="AN197" s="348"/>
      <c r="AO197" s="348"/>
      <c r="AP197" s="348"/>
      <c r="AQ197" s="348"/>
      <c r="AR197" s="348"/>
      <c r="AS197" s="348"/>
      <c r="AT197" s="348"/>
      <c r="AV197" s="526"/>
      <c r="AW197" s="534"/>
      <c r="AX197" s="534"/>
      <c r="AY197" s="9"/>
      <c r="AZ197" s="48"/>
      <c r="BA197" s="348"/>
      <c r="BB197" s="348"/>
      <c r="BC197" s="348"/>
      <c r="BD197" s="348"/>
      <c r="BE197" s="348"/>
    </row>
    <row r="198" spans="8:57" x14ac:dyDescent="0.2">
      <c r="H198" s="531"/>
      <c r="I198" s="4"/>
      <c r="J198" s="4"/>
      <c r="L198" s="4"/>
      <c r="R198" s="348"/>
      <c r="S198" s="348"/>
      <c r="T198" s="348"/>
      <c r="U198" s="348"/>
      <c r="W198" s="348"/>
      <c r="X198" s="348"/>
      <c r="Y198" s="348"/>
      <c r="Z198" s="348"/>
      <c r="AA198" s="525"/>
      <c r="AB198" s="348"/>
      <c r="AC198" s="348"/>
      <c r="AD198" s="348"/>
      <c r="AE198" s="348"/>
      <c r="AG198" s="348"/>
      <c r="AH198" s="348"/>
      <c r="AI198" s="348"/>
      <c r="AJ198" s="348"/>
      <c r="AK198" s="348"/>
      <c r="AL198" s="348"/>
      <c r="AM198" s="348"/>
      <c r="AN198" s="348"/>
      <c r="AO198" s="348"/>
      <c r="AP198" s="348"/>
      <c r="AQ198" s="348"/>
      <c r="AR198" s="348"/>
      <c r="AS198" s="348"/>
      <c r="AT198" s="348"/>
      <c r="AV198" s="526"/>
      <c r="AW198" s="534"/>
      <c r="AX198" s="534"/>
      <c r="AY198" s="9"/>
      <c r="AZ198" s="48"/>
      <c r="BA198" s="348"/>
      <c r="BB198" s="348"/>
      <c r="BC198" s="348"/>
      <c r="BD198" s="348"/>
      <c r="BE198" s="348"/>
    </row>
    <row r="199" spans="8:57" x14ac:dyDescent="0.2">
      <c r="H199" s="531"/>
      <c r="I199" s="4"/>
      <c r="J199" s="4"/>
      <c r="L199" s="4"/>
      <c r="R199" s="348"/>
      <c r="S199" s="348"/>
      <c r="T199" s="348"/>
      <c r="U199" s="348"/>
      <c r="W199" s="348"/>
      <c r="X199" s="348"/>
      <c r="Y199" s="348"/>
      <c r="Z199" s="348"/>
      <c r="AA199" s="525"/>
      <c r="AB199" s="348"/>
      <c r="AC199" s="348"/>
      <c r="AD199" s="348"/>
      <c r="AE199" s="348"/>
      <c r="AG199" s="348"/>
      <c r="AH199" s="348"/>
      <c r="AI199" s="348"/>
      <c r="AJ199" s="348"/>
      <c r="AK199" s="348"/>
      <c r="AL199" s="348"/>
      <c r="AM199" s="348"/>
      <c r="AN199" s="348"/>
      <c r="AO199" s="348"/>
      <c r="AP199" s="348"/>
      <c r="AQ199" s="348"/>
      <c r="AR199" s="348"/>
      <c r="AS199" s="348"/>
      <c r="AT199" s="348"/>
      <c r="AV199" s="526"/>
      <c r="AW199" s="534"/>
      <c r="AX199" s="534"/>
      <c r="AY199" s="9"/>
      <c r="AZ199" s="48"/>
      <c r="BA199" s="348"/>
      <c r="BB199" s="348"/>
      <c r="BC199" s="348"/>
      <c r="BD199" s="348"/>
      <c r="BE199" s="348"/>
    </row>
    <row r="200" spans="8:57" x14ac:dyDescent="0.2">
      <c r="H200" s="531"/>
      <c r="I200" s="4"/>
      <c r="J200" s="4"/>
      <c r="L200" s="4"/>
      <c r="R200" s="348"/>
      <c r="S200" s="348"/>
      <c r="T200" s="348"/>
      <c r="U200" s="348"/>
      <c r="W200" s="348"/>
      <c r="X200" s="348"/>
      <c r="Y200" s="348"/>
      <c r="Z200" s="348"/>
      <c r="AA200" s="525"/>
      <c r="AB200" s="348"/>
      <c r="AC200" s="348"/>
      <c r="AD200" s="348"/>
      <c r="AE200" s="348"/>
      <c r="AG200" s="348"/>
      <c r="AH200" s="348"/>
      <c r="AI200" s="348"/>
      <c r="AJ200" s="348"/>
      <c r="AK200" s="348"/>
      <c r="AL200" s="348"/>
      <c r="AM200" s="348"/>
      <c r="AN200" s="348"/>
      <c r="AO200" s="348"/>
      <c r="AP200" s="348"/>
      <c r="AQ200" s="348"/>
      <c r="AR200" s="348"/>
      <c r="AS200" s="348"/>
      <c r="AT200" s="348"/>
      <c r="AV200" s="526"/>
      <c r="AW200" s="534"/>
      <c r="AX200" s="534"/>
      <c r="AY200" s="9"/>
      <c r="AZ200" s="48"/>
      <c r="BA200" s="348"/>
      <c r="BB200" s="348"/>
      <c r="BC200" s="348"/>
      <c r="BD200" s="348"/>
      <c r="BE200" s="348"/>
    </row>
    <row r="201" spans="8:57" x14ac:dyDescent="0.2">
      <c r="H201" s="531"/>
      <c r="I201" s="4"/>
      <c r="J201" s="4"/>
      <c r="L201" s="4"/>
      <c r="R201" s="348"/>
      <c r="S201" s="348"/>
      <c r="T201" s="348"/>
      <c r="U201" s="348"/>
      <c r="W201" s="348"/>
      <c r="X201" s="348"/>
      <c r="Y201" s="348"/>
      <c r="Z201" s="348"/>
      <c r="AA201" s="525"/>
      <c r="AB201" s="348"/>
      <c r="AC201" s="348"/>
      <c r="AD201" s="348"/>
      <c r="AE201" s="348"/>
      <c r="AG201" s="348"/>
      <c r="AH201" s="348"/>
      <c r="AI201" s="348"/>
      <c r="AJ201" s="348"/>
      <c r="AK201" s="348"/>
      <c r="AL201" s="348"/>
      <c r="AM201" s="348"/>
      <c r="AN201" s="348"/>
      <c r="AO201" s="348"/>
      <c r="AP201" s="348"/>
      <c r="AQ201" s="348"/>
      <c r="AR201" s="348"/>
      <c r="AS201" s="348"/>
      <c r="AT201" s="348"/>
      <c r="AV201" s="526"/>
      <c r="AW201" s="534"/>
      <c r="AX201" s="534"/>
      <c r="AY201" s="9"/>
      <c r="AZ201" s="48"/>
      <c r="BA201" s="348"/>
      <c r="BB201" s="348"/>
      <c r="BC201" s="348"/>
      <c r="BD201" s="348"/>
      <c r="BE201" s="348"/>
    </row>
    <row r="202" spans="8:57" x14ac:dyDescent="0.2">
      <c r="H202" s="531"/>
      <c r="I202" s="4"/>
      <c r="J202" s="4"/>
      <c r="L202" s="4"/>
      <c r="R202" s="348"/>
      <c r="S202" s="348"/>
      <c r="T202" s="348"/>
      <c r="U202" s="348"/>
      <c r="W202" s="348"/>
      <c r="X202" s="348"/>
      <c r="Y202" s="348"/>
      <c r="Z202" s="348"/>
      <c r="AA202" s="525"/>
      <c r="AB202" s="348"/>
      <c r="AC202" s="348"/>
      <c r="AD202" s="348"/>
      <c r="AE202" s="348"/>
      <c r="AG202" s="348"/>
      <c r="AH202" s="348"/>
      <c r="AI202" s="348"/>
      <c r="AJ202" s="348"/>
      <c r="AK202" s="348"/>
      <c r="AL202" s="348"/>
      <c r="AM202" s="348"/>
      <c r="AN202" s="348"/>
      <c r="AO202" s="348"/>
      <c r="AP202" s="348"/>
      <c r="AQ202" s="348"/>
      <c r="AR202" s="348"/>
      <c r="AS202" s="348"/>
      <c r="AT202" s="348"/>
      <c r="AV202" s="526"/>
      <c r="AW202" s="534"/>
      <c r="AX202" s="534"/>
      <c r="AY202" s="9"/>
      <c r="AZ202" s="48"/>
      <c r="BA202" s="348"/>
      <c r="BB202" s="348"/>
      <c r="BC202" s="348"/>
      <c r="BD202" s="348"/>
      <c r="BE202" s="348"/>
    </row>
    <row r="203" spans="8:57" x14ac:dyDescent="0.2">
      <c r="H203" s="531"/>
      <c r="I203" s="4"/>
      <c r="J203" s="4"/>
      <c r="L203" s="4"/>
      <c r="R203" s="348"/>
      <c r="S203" s="348"/>
      <c r="T203" s="348"/>
      <c r="U203" s="348"/>
      <c r="W203" s="348"/>
      <c r="X203" s="348"/>
      <c r="Y203" s="348"/>
      <c r="Z203" s="348"/>
      <c r="AA203" s="525"/>
      <c r="AB203" s="348"/>
      <c r="AC203" s="348"/>
      <c r="AD203" s="348"/>
      <c r="AE203" s="348"/>
      <c r="AG203" s="348"/>
      <c r="AH203" s="348"/>
      <c r="AI203" s="348"/>
      <c r="AJ203" s="348"/>
      <c r="AK203" s="348"/>
      <c r="AL203" s="348"/>
      <c r="AM203" s="348"/>
      <c r="AN203" s="348"/>
      <c r="AO203" s="348"/>
      <c r="AP203" s="348"/>
      <c r="AQ203" s="348"/>
      <c r="AR203" s="348"/>
      <c r="AS203" s="348"/>
      <c r="AT203" s="348"/>
      <c r="AV203" s="526"/>
      <c r="AW203" s="534"/>
      <c r="AX203" s="534"/>
      <c r="AY203" s="9"/>
      <c r="AZ203" s="48"/>
      <c r="BA203" s="348"/>
      <c r="BB203" s="348"/>
      <c r="BC203" s="348"/>
      <c r="BD203" s="348"/>
      <c r="BE203" s="348"/>
    </row>
    <row r="204" spans="8:57" x14ac:dyDescent="0.2">
      <c r="H204" s="531"/>
      <c r="I204" s="4"/>
      <c r="J204" s="4"/>
      <c r="L204" s="4"/>
      <c r="R204" s="348"/>
      <c r="S204" s="348"/>
      <c r="T204" s="348"/>
      <c r="U204" s="348"/>
      <c r="W204" s="348"/>
      <c r="X204" s="348"/>
      <c r="Y204" s="348"/>
      <c r="Z204" s="348"/>
      <c r="AA204" s="525"/>
      <c r="AB204" s="348"/>
      <c r="AC204" s="348"/>
      <c r="AD204" s="348"/>
      <c r="AE204" s="348"/>
      <c r="AG204" s="348"/>
      <c r="AH204" s="348"/>
      <c r="AI204" s="348"/>
      <c r="AJ204" s="348"/>
      <c r="AK204" s="348"/>
      <c r="AL204" s="348"/>
      <c r="AM204" s="348"/>
      <c r="AN204" s="348"/>
      <c r="AO204" s="348"/>
      <c r="AP204" s="348"/>
      <c r="AQ204" s="348"/>
      <c r="AR204" s="348"/>
      <c r="AS204" s="348"/>
      <c r="AT204" s="348"/>
      <c r="AV204" s="526"/>
      <c r="AW204" s="534"/>
      <c r="AX204" s="534"/>
      <c r="AY204" s="9"/>
      <c r="AZ204" s="48"/>
      <c r="BA204" s="348"/>
      <c r="BB204" s="348"/>
      <c r="BC204" s="348"/>
      <c r="BD204" s="348"/>
      <c r="BE204" s="348"/>
    </row>
    <row r="205" spans="8:57" x14ac:dyDescent="0.2">
      <c r="H205" s="531"/>
      <c r="I205" s="4"/>
      <c r="J205" s="4"/>
      <c r="L205" s="4"/>
      <c r="R205" s="348"/>
      <c r="S205" s="348"/>
      <c r="T205" s="348"/>
      <c r="U205" s="348"/>
      <c r="W205" s="348"/>
      <c r="X205" s="348"/>
      <c r="Y205" s="348"/>
      <c r="Z205" s="348"/>
      <c r="AA205" s="525"/>
      <c r="AB205" s="348"/>
      <c r="AC205" s="348"/>
      <c r="AD205" s="348"/>
      <c r="AE205" s="348"/>
      <c r="AG205" s="348"/>
      <c r="AH205" s="348"/>
      <c r="AI205" s="348"/>
      <c r="AJ205" s="348"/>
      <c r="AK205" s="348"/>
      <c r="AL205" s="348"/>
      <c r="AM205" s="348"/>
      <c r="AN205" s="348"/>
      <c r="AO205" s="348"/>
      <c r="AP205" s="348"/>
      <c r="AQ205" s="348"/>
      <c r="AR205" s="348"/>
      <c r="AS205" s="348"/>
      <c r="AT205" s="348"/>
      <c r="AV205" s="526"/>
      <c r="AW205" s="534"/>
      <c r="AX205" s="534"/>
      <c r="AY205" s="9"/>
      <c r="AZ205" s="48"/>
      <c r="BA205" s="348"/>
      <c r="BB205" s="348"/>
      <c r="BC205" s="348"/>
      <c r="BD205" s="348"/>
      <c r="BE205" s="348"/>
    </row>
    <row r="206" spans="8:57" x14ac:dyDescent="0.2">
      <c r="H206" s="531"/>
      <c r="I206" s="4"/>
      <c r="J206" s="4"/>
      <c r="L206" s="4"/>
      <c r="R206" s="348"/>
      <c r="S206" s="348"/>
      <c r="T206" s="348"/>
      <c r="U206" s="348"/>
      <c r="W206" s="348"/>
      <c r="X206" s="348"/>
      <c r="Y206" s="348"/>
      <c r="Z206" s="348"/>
      <c r="AA206" s="525"/>
      <c r="AB206" s="348"/>
      <c r="AC206" s="348"/>
      <c r="AD206" s="348"/>
      <c r="AE206" s="348"/>
      <c r="AG206" s="348"/>
      <c r="AH206" s="348"/>
      <c r="AI206" s="348"/>
      <c r="AJ206" s="348"/>
      <c r="AK206" s="348"/>
      <c r="AL206" s="348"/>
      <c r="AM206" s="348"/>
      <c r="AN206" s="348"/>
      <c r="AO206" s="348"/>
      <c r="AP206" s="348"/>
      <c r="AQ206" s="348"/>
      <c r="AR206" s="348"/>
      <c r="AS206" s="348"/>
      <c r="AT206" s="348"/>
      <c r="AV206" s="526"/>
      <c r="AW206" s="534"/>
      <c r="AX206" s="534"/>
      <c r="AY206" s="9"/>
      <c r="AZ206" s="48"/>
      <c r="BA206" s="348"/>
      <c r="BB206" s="348"/>
      <c r="BC206" s="348"/>
      <c r="BD206" s="348"/>
      <c r="BE206" s="348"/>
    </row>
    <row r="207" spans="8:57" x14ac:dyDescent="0.2">
      <c r="H207" s="531"/>
      <c r="I207" s="4"/>
      <c r="J207" s="4"/>
      <c r="L207" s="4"/>
      <c r="R207" s="348"/>
      <c r="S207" s="348"/>
      <c r="T207" s="348"/>
      <c r="U207" s="348"/>
      <c r="W207" s="348"/>
      <c r="X207" s="348"/>
      <c r="Y207" s="348"/>
      <c r="Z207" s="348"/>
      <c r="AA207" s="525"/>
      <c r="AB207" s="348"/>
      <c r="AC207" s="348"/>
      <c r="AD207" s="348"/>
      <c r="AE207" s="348"/>
      <c r="AG207" s="348"/>
      <c r="AH207" s="348"/>
      <c r="AI207" s="348"/>
      <c r="AJ207" s="348"/>
      <c r="AK207" s="348"/>
      <c r="AL207" s="348"/>
      <c r="AM207" s="348"/>
      <c r="AN207" s="348"/>
      <c r="AO207" s="348"/>
      <c r="AP207" s="348"/>
      <c r="AQ207" s="348"/>
      <c r="AR207" s="348"/>
      <c r="AS207" s="348"/>
      <c r="AT207" s="348"/>
      <c r="AV207" s="526"/>
      <c r="AW207" s="534"/>
      <c r="AX207" s="534"/>
      <c r="AY207" s="9"/>
      <c r="AZ207" s="48"/>
      <c r="BA207" s="348"/>
      <c r="BB207" s="348"/>
      <c r="BC207" s="348"/>
      <c r="BD207" s="348"/>
      <c r="BE207" s="348"/>
    </row>
    <row r="208" spans="8:57" x14ac:dyDescent="0.2">
      <c r="H208" s="531"/>
      <c r="I208" s="4"/>
      <c r="J208" s="4"/>
      <c r="L208" s="4"/>
      <c r="R208" s="348"/>
      <c r="S208" s="348"/>
      <c r="T208" s="348"/>
      <c r="U208" s="348"/>
      <c r="W208" s="348"/>
      <c r="X208" s="348"/>
      <c r="Y208" s="348"/>
      <c r="Z208" s="348"/>
      <c r="AA208" s="525"/>
      <c r="AB208" s="348"/>
      <c r="AC208" s="348"/>
      <c r="AD208" s="348"/>
      <c r="AE208" s="348"/>
      <c r="AG208" s="348"/>
      <c r="AH208" s="348"/>
      <c r="AI208" s="348"/>
      <c r="AJ208" s="348"/>
      <c r="AK208" s="348"/>
      <c r="AL208" s="348"/>
      <c r="AM208" s="348"/>
      <c r="AN208" s="348"/>
      <c r="AO208" s="348"/>
      <c r="AP208" s="348"/>
      <c r="AQ208" s="348"/>
      <c r="AR208" s="348"/>
      <c r="AS208" s="348"/>
      <c r="AT208" s="348"/>
      <c r="AV208" s="526"/>
      <c r="AW208" s="534"/>
      <c r="AX208" s="534"/>
      <c r="AY208" s="9"/>
      <c r="AZ208" s="48"/>
      <c r="BA208" s="348"/>
      <c r="BB208" s="348"/>
      <c r="BC208" s="348"/>
      <c r="BD208" s="348"/>
      <c r="BE208" s="348"/>
    </row>
    <row r="209" spans="8:57" x14ac:dyDescent="0.2">
      <c r="H209" s="531"/>
      <c r="I209" s="4"/>
      <c r="J209" s="4"/>
      <c r="L209" s="4"/>
      <c r="R209" s="348"/>
      <c r="S209" s="348"/>
      <c r="T209" s="348"/>
      <c r="U209" s="348"/>
      <c r="W209" s="348"/>
      <c r="X209" s="348"/>
      <c r="Y209" s="348"/>
      <c r="Z209" s="348"/>
      <c r="AA209" s="525"/>
      <c r="AB209" s="348"/>
      <c r="AC209" s="348"/>
      <c r="AD209" s="348"/>
      <c r="AE209" s="348"/>
      <c r="AG209" s="348"/>
      <c r="AH209" s="348"/>
      <c r="AI209" s="348"/>
      <c r="AJ209" s="348"/>
      <c r="AK209" s="348"/>
      <c r="AL209" s="348"/>
      <c r="AM209" s="348"/>
      <c r="AN209" s="348"/>
      <c r="AO209" s="348"/>
      <c r="AP209" s="348"/>
      <c r="AQ209" s="348"/>
      <c r="AR209" s="348"/>
      <c r="AS209" s="348"/>
      <c r="AT209" s="348"/>
      <c r="AV209" s="526"/>
      <c r="AW209" s="534"/>
      <c r="AX209" s="534"/>
      <c r="AY209" s="9"/>
      <c r="AZ209" s="48"/>
      <c r="BA209" s="348"/>
      <c r="BB209" s="348"/>
      <c r="BC209" s="348"/>
      <c r="BD209" s="348"/>
      <c r="BE209" s="348"/>
    </row>
  </sheetData>
  <sheetProtection selectLockedCells="1"/>
  <mergeCells count="11">
    <mergeCell ref="AZ7:BE7"/>
    <mergeCell ref="AB7:AG7"/>
    <mergeCell ref="AH7:AK7"/>
    <mergeCell ref="AO7:AS7"/>
    <mergeCell ref="AT7:AX7"/>
    <mergeCell ref="Y7:AA7"/>
    <mergeCell ref="A1:D4"/>
    <mergeCell ref="A6:D7"/>
    <mergeCell ref="G7:N7"/>
    <mergeCell ref="R7:U7"/>
    <mergeCell ref="V7:X7"/>
  </mergeCells>
  <pageMargins left="0.75" right="0.75" top="1" bottom="1" header="0.5" footer="0.5"/>
  <pageSetup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2:B7"/>
  <sheetViews>
    <sheetView zoomScaleNormal="100" workbookViewId="0">
      <selection activeCell="B2" sqref="B2"/>
    </sheetView>
  </sheetViews>
  <sheetFormatPr defaultRowHeight="12.75" x14ac:dyDescent="0.2"/>
  <cols>
    <col min="1" max="1" width="10.5703125" customWidth="1"/>
    <col min="2" max="2" width="126" customWidth="1"/>
  </cols>
  <sheetData>
    <row r="2" spans="1:2" x14ac:dyDescent="0.2">
      <c r="A2" t="str">
        <f>IF(PLOT_TYPE=1, "EFF_Ch1", "EFF_Ch2")</f>
        <v>EFF_Ch1</v>
      </c>
    </row>
    <row r="5" spans="1:2" ht="409.5" customHeight="1" x14ac:dyDescent="0.2">
      <c r="B5" s="521"/>
    </row>
    <row r="7" spans="1:2" ht="409.5" customHeight="1" x14ac:dyDescent="0.2">
      <c r="B7" s="521"/>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dimension ref="A2:AN113"/>
  <sheetViews>
    <sheetView topLeftCell="K1" zoomScaleNormal="100" workbookViewId="0">
      <selection activeCell="AR24" sqref="AR24"/>
    </sheetView>
  </sheetViews>
  <sheetFormatPr defaultRowHeight="12.75" x14ac:dyDescent="0.2"/>
  <cols>
    <col min="1" max="1" width="16.140625" style="307" customWidth="1"/>
    <col min="2" max="2" width="15.7109375" style="307" customWidth="1"/>
    <col min="3" max="3" width="16.5703125" customWidth="1"/>
    <col min="4" max="4" width="14.28515625" style="30" customWidth="1"/>
    <col min="5" max="6" width="9.7109375" style="30" customWidth="1"/>
    <col min="7" max="7" width="18.7109375" style="30" customWidth="1"/>
    <col min="8" max="8" width="5.7109375" style="30" customWidth="1"/>
    <col min="9" max="9" width="18.7109375" style="30" bestFit="1" customWidth="1"/>
    <col min="10" max="10" width="17" customWidth="1"/>
    <col min="11" max="11" width="7.7109375" customWidth="1"/>
    <col min="12" max="12" width="12.7109375" customWidth="1"/>
    <col min="13" max="13" width="8.42578125" customWidth="1"/>
    <col min="15" max="16" width="9.5703125" style="299" customWidth="1"/>
    <col min="17" max="18" width="12.140625" style="650" customWidth="1"/>
    <col min="19" max="19" width="11.140625" style="650" customWidth="1"/>
    <col min="20" max="20" width="12.140625" style="650" customWidth="1"/>
    <col min="23" max="23" width="12.140625" bestFit="1" customWidth="1"/>
    <col min="24" max="24" width="12.7109375" bestFit="1" customWidth="1"/>
    <col min="27" max="27" width="12.42578125" bestFit="1" customWidth="1"/>
    <col min="28" max="28" width="13.140625" bestFit="1" customWidth="1"/>
    <col min="31" max="31" width="11" bestFit="1" customWidth="1"/>
    <col min="39" max="39" width="12.42578125" bestFit="1" customWidth="1"/>
    <col min="40" max="40" width="13.140625" bestFit="1" customWidth="1"/>
  </cols>
  <sheetData>
    <row r="2" spans="1:40" x14ac:dyDescent="0.2">
      <c r="A2"/>
      <c r="B2"/>
      <c r="AD2" s="113" t="s">
        <v>884</v>
      </c>
    </row>
    <row r="3" spans="1:40" x14ac:dyDescent="0.2">
      <c r="B3" s="308"/>
      <c r="D3" s="30">
        <f>L_infilter*0.000001</f>
        <v>6.8000000000000005E-7</v>
      </c>
      <c r="L3" s="358" t="s">
        <v>878</v>
      </c>
      <c r="M3" s="30">
        <f>'Input Filters'!O9*0.000001</f>
        <v>6.8000000000000005E-7</v>
      </c>
      <c r="AD3" t="s">
        <v>775</v>
      </c>
      <c r="AE3">
        <f>'Input Filters'!G9*0.000001</f>
        <v>9.9999999999999995E-7</v>
      </c>
    </row>
    <row r="4" spans="1:40" x14ac:dyDescent="0.2">
      <c r="B4" s="308"/>
      <c r="L4" s="358" t="s">
        <v>879</v>
      </c>
      <c r="M4" s="30">
        <f>'Input Filters'!O10*0.000001</f>
        <v>4.6999999999999995E-7</v>
      </c>
      <c r="AD4" t="s">
        <v>827</v>
      </c>
      <c r="AE4">
        <f>'Input Filters'!G10*0.000001</f>
        <v>9.9999999999999995E-7</v>
      </c>
    </row>
    <row r="5" spans="1:40" x14ac:dyDescent="0.2">
      <c r="B5" s="308"/>
      <c r="L5" s="113" t="s">
        <v>880</v>
      </c>
      <c r="M5">
        <f>'Input Filters'!O11*0.000001</f>
        <v>9.9999999999999995E-7</v>
      </c>
      <c r="AD5" t="s">
        <v>815</v>
      </c>
      <c r="AE5">
        <f>'Input Filters'!G11*0.000001</f>
        <v>9.9999999999999995E-7</v>
      </c>
    </row>
    <row r="6" spans="1:40" x14ac:dyDescent="0.2">
      <c r="B6" s="308"/>
      <c r="L6" s="113" t="s">
        <v>881</v>
      </c>
      <c r="M6">
        <f>'Input Filters'!O12</f>
        <v>0.35</v>
      </c>
      <c r="AD6" t="s">
        <v>816</v>
      </c>
      <c r="AE6">
        <f>'Input Filters'!G12</f>
        <v>10</v>
      </c>
    </row>
    <row r="7" spans="1:40" ht="13.5" thickBot="1" x14ac:dyDescent="0.25">
      <c r="B7" s="383"/>
    </row>
    <row r="8" spans="1:40" x14ac:dyDescent="0.2">
      <c r="B8" s="392"/>
    </row>
    <row r="9" spans="1:40" ht="13.5" thickBot="1" x14ac:dyDescent="0.25"/>
    <row r="10" spans="1:40" ht="15" x14ac:dyDescent="0.2">
      <c r="A10" s="857" t="s">
        <v>437</v>
      </c>
      <c r="B10" s="851" t="s">
        <v>817</v>
      </c>
      <c r="C10" s="663"/>
      <c r="D10" s="664"/>
      <c r="E10" s="664"/>
      <c r="F10" s="664"/>
      <c r="G10" s="664"/>
      <c r="H10" s="664"/>
      <c r="I10" s="663"/>
      <c r="J10" s="663"/>
      <c r="K10" s="663"/>
      <c r="L10" s="663"/>
      <c r="M10" s="663"/>
      <c r="N10" s="663"/>
      <c r="O10" s="665"/>
      <c r="W10" s="113" t="s">
        <v>877</v>
      </c>
      <c r="AA10" s="113" t="s">
        <v>779</v>
      </c>
      <c r="AD10" s="113" t="s">
        <v>883</v>
      </c>
    </row>
    <row r="11" spans="1:40" ht="15" x14ac:dyDescent="0.2">
      <c r="A11" s="858"/>
      <c r="B11" s="852"/>
      <c r="C11" s="663"/>
      <c r="D11" s="664"/>
      <c r="E11" s="664"/>
      <c r="F11" s="664"/>
      <c r="G11" s="664"/>
      <c r="H11" s="664"/>
      <c r="I11" s="889" t="s">
        <v>796</v>
      </c>
      <c r="J11" s="889"/>
      <c r="K11" s="666"/>
      <c r="L11" s="889" t="s">
        <v>797</v>
      </c>
      <c r="M11" s="889"/>
      <c r="N11" s="889"/>
      <c r="O11" s="889"/>
      <c r="P11" s="649"/>
      <c r="Q11" s="890" t="s">
        <v>779</v>
      </c>
      <c r="R11" s="890"/>
      <c r="S11" s="890"/>
      <c r="T11" s="890"/>
      <c r="W11" s="113" t="s">
        <v>791</v>
      </c>
      <c r="X11" s="113" t="s">
        <v>792</v>
      </c>
      <c r="AA11" s="113" t="s">
        <v>791</v>
      </c>
      <c r="AB11" s="113" t="s">
        <v>792</v>
      </c>
      <c r="AD11" s="889" t="s">
        <v>796</v>
      </c>
      <c r="AE11" s="889"/>
      <c r="AF11" s="889" t="s">
        <v>797</v>
      </c>
      <c r="AG11" s="889"/>
      <c r="AH11" s="889"/>
      <c r="AI11" s="889"/>
    </row>
    <row r="12" spans="1:40" ht="19.5" thickBot="1" x14ac:dyDescent="0.35">
      <c r="A12" s="859"/>
      <c r="B12" s="351"/>
      <c r="C12" s="668" t="s">
        <v>788</v>
      </c>
      <c r="D12" s="669" t="s">
        <v>794</v>
      </c>
      <c r="E12" s="669" t="s">
        <v>793</v>
      </c>
      <c r="F12" s="669"/>
      <c r="G12" s="669" t="s">
        <v>795</v>
      </c>
      <c r="H12" s="667"/>
      <c r="I12" s="664"/>
      <c r="J12" s="663"/>
      <c r="K12" s="663"/>
      <c r="L12" s="663"/>
      <c r="M12" s="663"/>
      <c r="N12" s="663"/>
      <c r="O12" s="665"/>
      <c r="Q12" s="397" t="s">
        <v>789</v>
      </c>
      <c r="R12" s="891" t="s">
        <v>790</v>
      </c>
      <c r="S12" s="891"/>
      <c r="T12" s="891"/>
      <c r="AD12" s="664"/>
      <c r="AE12" s="663"/>
      <c r="AF12" s="663"/>
      <c r="AG12" s="663"/>
      <c r="AH12" s="663"/>
      <c r="AI12" s="665"/>
      <c r="AM12" s="113" t="s">
        <v>791</v>
      </c>
      <c r="AN12" s="113" t="s">
        <v>792</v>
      </c>
    </row>
    <row r="13" spans="1:40" x14ac:dyDescent="0.2">
      <c r="A13" s="324">
        <v>1</v>
      </c>
      <c r="B13" s="352">
        <f>A13/1000</f>
        <v>1E-3</v>
      </c>
      <c r="C13" t="str">
        <f t="shared" ref="C13:C44" si="0">COMPLEX(0,2*Pi*A13)</f>
        <v>6.2831853i</v>
      </c>
      <c r="D13" s="30" t="str">
        <f t="shared" ref="D13:D44" si="1">COMPLEX(-POWER(2*Pi*A13,2),0)</f>
        <v>-39.4784175141361</v>
      </c>
      <c r="E13" s="30" t="str">
        <f t="shared" ref="E13:E44" si="2">COMPLEX(0,-POWER(2*Pi*A13,3))</f>
        <v>-248.050212592082i</v>
      </c>
      <c r="G13" s="30" t="e">
        <f t="shared" ref="G13:G44" si="3">IMSUM(IMPRODUCT(C13,Rcomp_AEF*Csen_AEF),Csen_AEF/Ccomp_AEF)</f>
        <v>#VALUE!</v>
      </c>
      <c r="I13" s="30" t="e">
        <f t="shared" ref="I13:I44" si="4">IMPRODUCT((RdampSel*CdampSel+RdampSel*CinjSel),C13)</f>
        <v>#REF!</v>
      </c>
      <c r="J13" t="e">
        <f>IMSUM(1,I13)</f>
        <v>#REF!</v>
      </c>
      <c r="L13" s="30" t="e">
        <f t="shared" ref="L13:L44" si="5">IMPRODUCT(G13,L_infilterStd*RdampSel*CinjSel*CdampSel,E13)</f>
        <v>#VALUE!</v>
      </c>
      <c r="M13" t="e">
        <f t="shared" ref="M13:M44" si="6">IMPRODUCT(G13,L_infilterStd*CinjSel,D13)</f>
        <v>#VALUE!</v>
      </c>
      <c r="N13" t="e">
        <f>J13</f>
        <v>#REF!</v>
      </c>
      <c r="O13" s="299" t="e">
        <f>IMSUM(L13:N13)</f>
        <v>#VALUE!</v>
      </c>
      <c r="P13" s="651">
        <v>0</v>
      </c>
      <c r="Q13" s="397" t="str">
        <f t="shared" ref="Q13:Q44" si="7">IMSUM(IMPRODUCT(C13,RdampPssv*CdampPssv),1)</f>
        <v>1+0.000002199114855i</v>
      </c>
      <c r="R13" s="397" t="str">
        <f t="shared" ref="R13:R44" si="8">IMPRODUCT(RdampPssv*CdampPssv*CfilterPssv*LinfilterPssv,E13)</f>
        <v>-2.77468967805503E-17i</v>
      </c>
      <c r="S13" s="397" t="str">
        <f t="shared" ref="S13:S44" si="9">IMPRODUCT(D13,LinfilterPssv*(CfilterPssv+CdampPssv))</f>
        <v>-3.94626261471304E-11</v>
      </c>
      <c r="T13" s="397" t="str">
        <f>IMSUM(S13,R13,Q13)</f>
        <v>0.999999999960537+2.19911485497225E-06i</v>
      </c>
      <c r="U13" s="652">
        <v>1</v>
      </c>
      <c r="V13">
        <f>CHOOSE(INFILTER_TYPE,U13,IMDIV(J13,O13))</f>
        <v>1</v>
      </c>
      <c r="W13">
        <f>20*LOG10(IMABS(V13))</f>
        <v>0</v>
      </c>
      <c r="X13">
        <f t="shared" ref="X13:X44" si="10">IMARGUMENT(V13)*180/Pi</f>
        <v>0</v>
      </c>
      <c r="Z13" t="str">
        <f t="shared" ref="Z13:Z44" si="11">IMDIV(Q13,T13)</f>
        <v>1.00000000003946-5.9033537744459E-17i</v>
      </c>
      <c r="AA13">
        <f>20*LOG10(IMABS(Z13))</f>
        <v>3.4274512546547312E-10</v>
      </c>
      <c r="AB13">
        <f t="shared" ref="AB13:AB44" si="12">IMARGUMENT(Z13)*180/Pi</f>
        <v>-3.3823725662152017E-15</v>
      </c>
      <c r="AD13" s="30" t="str">
        <f t="shared" ref="AD13:AD44" si="13">IMPRODUCT((RdampCom*CdampCom+RdampCom*CinjCom),C13)</f>
        <v>0.000125663706i</v>
      </c>
      <c r="AE13" s="30" t="str">
        <f>IMSUM(1,AD13)</f>
        <v>1+0.000125663706i</v>
      </c>
      <c r="AF13" s="30" t="e">
        <f t="shared" ref="AF13:AF44" si="14">IMPRODUCT(G13,L_infilterStd*RdampSel*CinjSel*CdampSel,E13)</f>
        <v>#VALUE!</v>
      </c>
      <c r="AG13" t="e">
        <f t="shared" ref="AG13:AG44" si="15">IMPRODUCT(G13,LAEFCom*CinjCom,D13)</f>
        <v>#VALUE!</v>
      </c>
      <c r="AH13" t="str">
        <f>AE13</f>
        <v>1+0.000125663706i</v>
      </c>
      <c r="AI13" s="766" t="e">
        <f>IMSUM(AF13:AH13)</f>
        <v>#VALUE!</v>
      </c>
      <c r="AK13" t="e">
        <f>IMDIV(AE13,AI13)</f>
        <v>#VALUE!</v>
      </c>
      <c r="AM13" t="e">
        <f>20*LOG10(IMABS(AK13))</f>
        <v>#VALUE!</v>
      </c>
      <c r="AN13" t="e">
        <f t="shared" ref="AN13:AN44" si="16">IMARGUMENT(AK13)*180/Pi</f>
        <v>#VALUE!</v>
      </c>
    </row>
    <row r="14" spans="1:40" x14ac:dyDescent="0.2">
      <c r="A14" s="335">
        <v>2</v>
      </c>
      <c r="B14" s="352">
        <f t="shared" ref="B14:B96" si="17">A14/1000</f>
        <v>2E-3</v>
      </c>
      <c r="C14" t="str">
        <f t="shared" si="0"/>
        <v>12.5663706i</v>
      </c>
      <c r="D14" s="30" t="str">
        <f t="shared" si="1"/>
        <v>-157.913670056544</v>
      </c>
      <c r="E14" s="30" t="str">
        <f t="shared" si="2"/>
        <v>-1984.40170073666i</v>
      </c>
      <c r="G14" s="30" t="e">
        <f t="shared" si="3"/>
        <v>#VALUE!</v>
      </c>
      <c r="I14" s="30" t="e">
        <f t="shared" si="4"/>
        <v>#REF!</v>
      </c>
      <c r="J14" t="e">
        <f t="shared" ref="J14:J96" si="18">IMSUM(1,I14)</f>
        <v>#REF!</v>
      </c>
      <c r="L14" s="30" t="e">
        <f t="shared" si="5"/>
        <v>#VALUE!</v>
      </c>
      <c r="M14" t="e">
        <f t="shared" si="6"/>
        <v>#VALUE!</v>
      </c>
      <c r="N14" t="e">
        <f t="shared" ref="N14:N96" si="19">J14</f>
        <v>#REF!</v>
      </c>
      <c r="O14" s="299" t="e">
        <f t="shared" ref="O14:O96" si="20">IMSUM(L14:N14)</f>
        <v>#VALUE!</v>
      </c>
      <c r="P14" s="651">
        <v>0</v>
      </c>
      <c r="Q14" s="397" t="str">
        <f t="shared" si="7"/>
        <v>1+0.00000439822971i</v>
      </c>
      <c r="R14" s="397" t="str">
        <f t="shared" si="8"/>
        <v>-2.21975174244403E-16i</v>
      </c>
      <c r="S14" s="397" t="str">
        <f t="shared" si="9"/>
        <v>-1.57850504588521E-10</v>
      </c>
      <c r="T14" s="397" t="str">
        <f t="shared" ref="T14:T96" si="21">IMSUM(S14,R14,Q14)</f>
        <v>0.999999999842149+4.39822970977802E-06i</v>
      </c>
      <c r="U14" s="652">
        <v>1</v>
      </c>
      <c r="V14">
        <f t="shared" ref="V14:V44" si="22">CHOOSE(INFILTER_TYPE,U14,IMDIV(J14,O14),IMDIV(Q14,T14))</f>
        <v>1</v>
      </c>
      <c r="W14">
        <f t="shared" ref="W14:W96" si="23">20*LOG10(IMABS(V14))</f>
        <v>0</v>
      </c>
      <c r="X14">
        <f t="shared" si="10"/>
        <v>0</v>
      </c>
      <c r="Z14" t="str">
        <f t="shared" si="11"/>
        <v>1.00000000015785-4.72284395630731E-16i</v>
      </c>
      <c r="AA14">
        <f t="shared" ref="AA14:AA77" si="24">20*LOG10(IMABS(Z14))</f>
        <v>1.3710672912527204E-9</v>
      </c>
      <c r="AB14">
        <f t="shared" si="12"/>
        <v>-2.7059902626176745E-14</v>
      </c>
      <c r="AD14" s="30" t="str">
        <f t="shared" si="13"/>
        <v>0.000251327412i</v>
      </c>
      <c r="AE14" s="30" t="str">
        <f t="shared" ref="AE14:AE77" si="25">IMSUM(1,AD14)</f>
        <v>1+0.000251327412i</v>
      </c>
      <c r="AF14" s="30" t="e">
        <f t="shared" si="14"/>
        <v>#VALUE!</v>
      </c>
      <c r="AG14" t="e">
        <f t="shared" si="15"/>
        <v>#VALUE!</v>
      </c>
      <c r="AH14" t="str">
        <f t="shared" ref="AH14:AH77" si="26">AE14</f>
        <v>1+0.000251327412i</v>
      </c>
      <c r="AI14" s="299" t="e">
        <f t="shared" ref="AI14:AI77" si="27">IMSUM(AF14:AH14)</f>
        <v>#VALUE!</v>
      </c>
      <c r="AK14" t="e">
        <f t="shared" ref="AK14:AK77" si="28">IMDIV(AE14,AI14)</f>
        <v>#VALUE!</v>
      </c>
      <c r="AM14" t="e">
        <f t="shared" ref="AM14:AM77" si="29">20*LOG10(IMABS(AK14))</f>
        <v>#VALUE!</v>
      </c>
      <c r="AN14" t="e">
        <f t="shared" si="16"/>
        <v>#VALUE!</v>
      </c>
    </row>
    <row r="15" spans="1:40" x14ac:dyDescent="0.2">
      <c r="A15" s="335">
        <v>3</v>
      </c>
      <c r="B15" s="352">
        <f t="shared" si="17"/>
        <v>3.0000000000000001E-3</v>
      </c>
      <c r="C15" t="str">
        <f t="shared" si="0"/>
        <v>18.8495559i</v>
      </c>
      <c r="D15" s="30" t="str">
        <f t="shared" si="1"/>
        <v>-355.305757627225</v>
      </c>
      <c r="E15" s="30" t="str">
        <f t="shared" si="2"/>
        <v>-6697.35573998623i</v>
      </c>
      <c r="G15" s="30" t="e">
        <f t="shared" si="3"/>
        <v>#VALUE!</v>
      </c>
      <c r="I15" s="30" t="e">
        <f t="shared" si="4"/>
        <v>#REF!</v>
      </c>
      <c r="J15" t="e">
        <f t="shared" si="18"/>
        <v>#REF!</v>
      </c>
      <c r="L15" s="30" t="e">
        <f t="shared" si="5"/>
        <v>#VALUE!</v>
      </c>
      <c r="M15" t="e">
        <f t="shared" si="6"/>
        <v>#VALUE!</v>
      </c>
      <c r="N15" t="e">
        <f t="shared" si="19"/>
        <v>#REF!</v>
      </c>
      <c r="O15" s="299" t="e">
        <f t="shared" si="20"/>
        <v>#VALUE!</v>
      </c>
      <c r="P15" s="651">
        <v>0</v>
      </c>
      <c r="Q15" s="397" t="str">
        <f t="shared" si="7"/>
        <v>1+0.000006597344565i</v>
      </c>
      <c r="R15" s="397" t="str">
        <f t="shared" si="8"/>
        <v>-7.4916621307486E-16i</v>
      </c>
      <c r="S15" s="397" t="str">
        <f t="shared" si="9"/>
        <v>-3.55163635324174E-10</v>
      </c>
      <c r="T15" s="397" t="str">
        <f t="shared" si="21"/>
        <v>0.999999999644836+6.59734456425083E-06i</v>
      </c>
      <c r="U15" s="652">
        <v>1</v>
      </c>
      <c r="V15">
        <f t="shared" si="22"/>
        <v>1</v>
      </c>
      <c r="W15">
        <f t="shared" si="23"/>
        <v>0</v>
      </c>
      <c r="X15">
        <f t="shared" si="10"/>
        <v>0</v>
      </c>
      <c r="Z15" t="str">
        <f t="shared" si="11"/>
        <v>1.00000000035516-1.59396947052946E-15i</v>
      </c>
      <c r="AA15">
        <f t="shared" si="24"/>
        <v>3.0848797076462865E-9</v>
      </c>
      <c r="AB15">
        <f t="shared" si="12"/>
        <v>-9.1327723405961694E-14</v>
      </c>
      <c r="AD15" s="30" t="str">
        <f t="shared" si="13"/>
        <v>0.000376991118i</v>
      </c>
      <c r="AE15" s="30" t="str">
        <f t="shared" si="25"/>
        <v>1+0.000376991118i</v>
      </c>
      <c r="AF15" s="30" t="e">
        <f t="shared" si="14"/>
        <v>#VALUE!</v>
      </c>
      <c r="AG15" t="e">
        <f t="shared" si="15"/>
        <v>#VALUE!</v>
      </c>
      <c r="AH15" t="str">
        <f t="shared" si="26"/>
        <v>1+0.000376991118i</v>
      </c>
      <c r="AI15" s="299" t="e">
        <f t="shared" si="27"/>
        <v>#VALUE!</v>
      </c>
      <c r="AK15" t="e">
        <f t="shared" si="28"/>
        <v>#VALUE!</v>
      </c>
      <c r="AM15" t="e">
        <f t="shared" si="29"/>
        <v>#VALUE!</v>
      </c>
      <c r="AN15" t="e">
        <f t="shared" si="16"/>
        <v>#VALUE!</v>
      </c>
    </row>
    <row r="16" spans="1:40" x14ac:dyDescent="0.2">
      <c r="A16" s="324">
        <v>4</v>
      </c>
      <c r="B16" s="352">
        <f t="shared" si="17"/>
        <v>4.0000000000000001E-3</v>
      </c>
      <c r="C16" t="str">
        <f t="shared" si="0"/>
        <v>25.1327412i</v>
      </c>
      <c r="D16" s="30" t="str">
        <f t="shared" si="1"/>
        <v>-631.654680226178</v>
      </c>
      <c r="E16" s="30" t="str">
        <f t="shared" si="2"/>
        <v>-15875.2136058933i</v>
      </c>
      <c r="G16" s="30" t="e">
        <f t="shared" si="3"/>
        <v>#VALUE!</v>
      </c>
      <c r="I16" s="30" t="e">
        <f t="shared" si="4"/>
        <v>#REF!</v>
      </c>
      <c r="J16" t="e">
        <f t="shared" si="18"/>
        <v>#REF!</v>
      </c>
      <c r="L16" s="30" t="e">
        <f t="shared" si="5"/>
        <v>#VALUE!</v>
      </c>
      <c r="M16" t="e">
        <f t="shared" si="6"/>
        <v>#VALUE!</v>
      </c>
      <c r="N16" t="e">
        <f t="shared" si="19"/>
        <v>#REF!</v>
      </c>
      <c r="O16" s="299" t="e">
        <f t="shared" si="20"/>
        <v>#VALUE!</v>
      </c>
      <c r="P16" s="651">
        <v>0</v>
      </c>
      <c r="Q16" s="397" t="str">
        <f t="shared" si="7"/>
        <v>1+0.00000879645942i</v>
      </c>
      <c r="R16" s="397" t="str">
        <f t="shared" si="8"/>
        <v>-1.77580139395522E-15i</v>
      </c>
      <c r="S16" s="397" t="str">
        <f t="shared" si="9"/>
        <v>-6.31402018354088E-10</v>
      </c>
      <c r="T16" s="397" t="str">
        <f t="shared" si="21"/>
        <v>0.999999999368598+0.0000087964594182242i</v>
      </c>
      <c r="U16" s="652">
        <v>1</v>
      </c>
      <c r="V16">
        <f t="shared" si="22"/>
        <v>1</v>
      </c>
      <c r="W16">
        <f t="shared" si="23"/>
        <v>0</v>
      </c>
      <c r="X16">
        <f t="shared" si="10"/>
        <v>0</v>
      </c>
      <c r="Z16" t="str">
        <f t="shared" si="11"/>
        <v>1.0000000006314-3.77830227167012E-15i</v>
      </c>
      <c r="AA16">
        <f t="shared" si="24"/>
        <v>5.484271092367277E-9</v>
      </c>
      <c r="AB16">
        <f t="shared" si="12"/>
        <v>-2.1648077400206861E-13</v>
      </c>
      <c r="AD16" s="30" t="str">
        <f t="shared" si="13"/>
        <v>0.000502654824i</v>
      </c>
      <c r="AE16" s="30" t="str">
        <f t="shared" si="25"/>
        <v>1+0.000502654824i</v>
      </c>
      <c r="AF16" s="30" t="e">
        <f t="shared" si="14"/>
        <v>#VALUE!</v>
      </c>
      <c r="AG16" t="e">
        <f t="shared" si="15"/>
        <v>#VALUE!</v>
      </c>
      <c r="AH16" t="str">
        <f t="shared" si="26"/>
        <v>1+0.000502654824i</v>
      </c>
      <c r="AI16" s="299" t="e">
        <f t="shared" si="27"/>
        <v>#VALUE!</v>
      </c>
      <c r="AK16" t="e">
        <f t="shared" si="28"/>
        <v>#VALUE!</v>
      </c>
      <c r="AM16" t="e">
        <f t="shared" si="29"/>
        <v>#VALUE!</v>
      </c>
      <c r="AN16" t="e">
        <f t="shared" si="16"/>
        <v>#VALUE!</v>
      </c>
    </row>
    <row r="17" spans="1:40" x14ac:dyDescent="0.2">
      <c r="A17" s="335">
        <v>5</v>
      </c>
      <c r="B17" s="352">
        <f t="shared" si="17"/>
        <v>5.0000000000000001E-3</v>
      </c>
      <c r="C17" t="str">
        <f t="shared" si="0"/>
        <v>31.4159265i</v>
      </c>
      <c r="D17" s="30" t="str">
        <f t="shared" si="1"/>
        <v>-986.960437853402</v>
      </c>
      <c r="E17" s="30" t="str">
        <f t="shared" si="2"/>
        <v>-31006.2765740103i</v>
      </c>
      <c r="G17" s="30" t="e">
        <f t="shared" si="3"/>
        <v>#VALUE!</v>
      </c>
      <c r="I17" s="30" t="e">
        <f t="shared" si="4"/>
        <v>#REF!</v>
      </c>
      <c r="J17" t="e">
        <f t="shared" si="18"/>
        <v>#REF!</v>
      </c>
      <c r="L17" s="30" t="e">
        <f t="shared" si="5"/>
        <v>#VALUE!</v>
      </c>
      <c r="M17" t="e">
        <f t="shared" si="6"/>
        <v>#VALUE!</v>
      </c>
      <c r="N17" t="e">
        <f t="shared" si="19"/>
        <v>#REF!</v>
      </c>
      <c r="O17" s="299" t="e">
        <f t="shared" si="20"/>
        <v>#VALUE!</v>
      </c>
      <c r="P17" s="651">
        <v>0</v>
      </c>
      <c r="Q17" s="397" t="str">
        <f t="shared" si="7"/>
        <v>1+0.000010995574275i</v>
      </c>
      <c r="R17" s="397" t="str">
        <f t="shared" si="8"/>
        <v>-3.46836209756879E-15i</v>
      </c>
      <c r="S17" s="397" t="str">
        <f t="shared" si="9"/>
        <v>-9.86565653678261E-10</v>
      </c>
      <c r="T17" s="397" t="str">
        <f t="shared" si="21"/>
        <v>0.999999999013434+0.0000109955742715316i</v>
      </c>
      <c r="U17" s="652">
        <v>1</v>
      </c>
      <c r="V17">
        <f t="shared" si="22"/>
        <v>1</v>
      </c>
      <c r="W17">
        <f t="shared" si="23"/>
        <v>0</v>
      </c>
      <c r="X17">
        <f t="shared" si="10"/>
        <v>0</v>
      </c>
      <c r="Z17" t="str">
        <f t="shared" si="11"/>
        <v>1.00000000098657-7.37945946308484E-15i</v>
      </c>
      <c r="AA17">
        <f t="shared" si="24"/>
        <v>8.5692375875376739E-9</v>
      </c>
      <c r="AB17">
        <f t="shared" si="12"/>
        <v>-4.2281188238863731E-13</v>
      </c>
      <c r="AD17" s="30" t="str">
        <f t="shared" si="13"/>
        <v>0.00062831853i</v>
      </c>
      <c r="AE17" s="30" t="str">
        <f t="shared" si="25"/>
        <v>1+0.00062831853i</v>
      </c>
      <c r="AF17" s="30" t="e">
        <f t="shared" si="14"/>
        <v>#VALUE!</v>
      </c>
      <c r="AG17" t="e">
        <f t="shared" si="15"/>
        <v>#VALUE!</v>
      </c>
      <c r="AH17" t="str">
        <f t="shared" si="26"/>
        <v>1+0.00062831853i</v>
      </c>
      <c r="AI17" s="299" t="e">
        <f t="shared" si="27"/>
        <v>#VALUE!</v>
      </c>
      <c r="AK17" t="e">
        <f t="shared" si="28"/>
        <v>#VALUE!</v>
      </c>
      <c r="AM17" t="e">
        <f t="shared" si="29"/>
        <v>#VALUE!</v>
      </c>
      <c r="AN17" t="e">
        <f t="shared" si="16"/>
        <v>#VALUE!</v>
      </c>
    </row>
    <row r="18" spans="1:40" x14ac:dyDescent="0.2">
      <c r="A18" s="335">
        <v>6</v>
      </c>
      <c r="B18" s="352">
        <f t="shared" si="17"/>
        <v>6.0000000000000001E-3</v>
      </c>
      <c r="C18" t="str">
        <f t="shared" si="0"/>
        <v>37.6991118i</v>
      </c>
      <c r="D18" s="30" t="str">
        <f t="shared" si="1"/>
        <v>-1421.2230305089</v>
      </c>
      <c r="E18" s="30" t="str">
        <f t="shared" si="2"/>
        <v>-53578.8459198898i</v>
      </c>
      <c r="G18" s="30" t="e">
        <f t="shared" si="3"/>
        <v>#VALUE!</v>
      </c>
      <c r="I18" s="30" t="e">
        <f t="shared" si="4"/>
        <v>#REF!</v>
      </c>
      <c r="J18" t="e">
        <f t="shared" si="18"/>
        <v>#REF!</v>
      </c>
      <c r="L18" s="30" t="e">
        <f t="shared" si="5"/>
        <v>#VALUE!</v>
      </c>
      <c r="M18" t="e">
        <f t="shared" si="6"/>
        <v>#VALUE!</v>
      </c>
      <c r="N18" t="e">
        <f t="shared" si="19"/>
        <v>#REF!</v>
      </c>
      <c r="O18" s="299" t="e">
        <f t="shared" si="20"/>
        <v>#VALUE!</v>
      </c>
      <c r="P18" s="651">
        <v>0</v>
      </c>
      <c r="Q18" s="397" t="str">
        <f t="shared" si="7"/>
        <v>1+0.00001319468913i</v>
      </c>
      <c r="R18" s="397" t="str">
        <f t="shared" si="8"/>
        <v>-5.99332970459887E-15i</v>
      </c>
      <c r="S18" s="397" t="str">
        <f t="shared" si="9"/>
        <v>-1.4206545412967E-09</v>
      </c>
      <c r="T18" s="397" t="str">
        <f t="shared" si="21"/>
        <v>0.999999998579345+0.0000131946891240067i</v>
      </c>
      <c r="U18" s="652">
        <v>1</v>
      </c>
      <c r="V18">
        <f t="shared" si="22"/>
        <v>1</v>
      </c>
      <c r="W18">
        <f t="shared" si="23"/>
        <v>0</v>
      </c>
      <c r="X18">
        <f t="shared" si="10"/>
        <v>0</v>
      </c>
      <c r="Z18" t="str">
        <f t="shared" si="11"/>
        <v>1.00000000142066-1.27518015159367E-14i</v>
      </c>
      <c r="AA18">
        <f t="shared" si="24"/>
        <v>1.2339696260264985E-8</v>
      </c>
      <c r="AB18">
        <f t="shared" si="12"/>
        <v>-7.3062440784858933E-13</v>
      </c>
      <c r="AD18" s="30" t="str">
        <f t="shared" si="13"/>
        <v>0.000753982236i</v>
      </c>
      <c r="AE18" s="30" t="str">
        <f t="shared" si="25"/>
        <v>1+0.000753982236i</v>
      </c>
      <c r="AF18" s="30" t="e">
        <f t="shared" si="14"/>
        <v>#VALUE!</v>
      </c>
      <c r="AG18" t="e">
        <f t="shared" si="15"/>
        <v>#VALUE!</v>
      </c>
      <c r="AH18" t="str">
        <f t="shared" si="26"/>
        <v>1+0.000753982236i</v>
      </c>
      <c r="AI18" s="299" t="e">
        <f t="shared" si="27"/>
        <v>#VALUE!</v>
      </c>
      <c r="AK18" t="e">
        <f t="shared" si="28"/>
        <v>#VALUE!</v>
      </c>
      <c r="AM18" t="e">
        <f t="shared" si="29"/>
        <v>#VALUE!</v>
      </c>
      <c r="AN18" t="e">
        <f t="shared" si="16"/>
        <v>#VALUE!</v>
      </c>
    </row>
    <row r="19" spans="1:40" x14ac:dyDescent="0.2">
      <c r="A19" s="324">
        <v>7</v>
      </c>
      <c r="B19" s="352">
        <f t="shared" si="17"/>
        <v>7.0000000000000001E-3</v>
      </c>
      <c r="C19" t="str">
        <f t="shared" si="0"/>
        <v>43.9822971i</v>
      </c>
      <c r="D19" s="30" t="str">
        <f t="shared" si="1"/>
        <v>-1934.44245819267</v>
      </c>
      <c r="E19" s="30" t="str">
        <f t="shared" si="2"/>
        <v>-85081.2229190843i</v>
      </c>
      <c r="G19" s="30" t="e">
        <f t="shared" si="3"/>
        <v>#VALUE!</v>
      </c>
      <c r="I19" s="30" t="e">
        <f t="shared" si="4"/>
        <v>#REF!</v>
      </c>
      <c r="J19" t="e">
        <f t="shared" si="18"/>
        <v>#REF!</v>
      </c>
      <c r="L19" s="30" t="e">
        <f t="shared" si="5"/>
        <v>#VALUE!</v>
      </c>
      <c r="M19" t="e">
        <f t="shared" si="6"/>
        <v>#VALUE!</v>
      </c>
      <c r="N19" t="e">
        <f t="shared" si="19"/>
        <v>#REF!</v>
      </c>
      <c r="O19" s="299" t="e">
        <f t="shared" si="20"/>
        <v>#VALUE!</v>
      </c>
      <c r="P19" s="651">
        <v>0</v>
      </c>
      <c r="Q19" s="397" t="str">
        <f t="shared" si="7"/>
        <v>1+0.000015393803985i</v>
      </c>
      <c r="R19" s="397" t="str">
        <f t="shared" si="8"/>
        <v>-9.51718559572877E-15i</v>
      </c>
      <c r="S19" s="397" t="str">
        <f t="shared" si="9"/>
        <v>-1.93366868120939E-09</v>
      </c>
      <c r="T19" s="397" t="str">
        <f t="shared" si="21"/>
        <v>0.999999998066331+0.0000153938039754828i</v>
      </c>
      <c r="U19" s="652">
        <v>1</v>
      </c>
      <c r="V19">
        <f t="shared" si="22"/>
        <v>1</v>
      </c>
      <c r="W19">
        <f t="shared" si="23"/>
        <v>0</v>
      </c>
      <c r="X19">
        <f t="shared" si="10"/>
        <v>0</v>
      </c>
      <c r="Z19" t="str">
        <f t="shared" si="11"/>
        <v>1.00000000193367-2.02493221373488E-14i</v>
      </c>
      <c r="AA19">
        <f t="shared" si="24"/>
        <v>1.6795643252346658E-8</v>
      </c>
      <c r="AB19">
        <f t="shared" si="12"/>
        <v>-1.1602006955531912E-12</v>
      </c>
      <c r="AD19" s="30" t="str">
        <f t="shared" si="13"/>
        <v>0.000879645942i</v>
      </c>
      <c r="AE19" s="30" t="str">
        <f t="shared" si="25"/>
        <v>1+0.000879645942i</v>
      </c>
      <c r="AF19" s="30" t="e">
        <f t="shared" si="14"/>
        <v>#VALUE!</v>
      </c>
      <c r="AG19" t="e">
        <f t="shared" si="15"/>
        <v>#VALUE!</v>
      </c>
      <c r="AH19" t="str">
        <f t="shared" si="26"/>
        <v>1+0.000879645942i</v>
      </c>
      <c r="AI19" s="299" t="e">
        <f t="shared" si="27"/>
        <v>#VALUE!</v>
      </c>
      <c r="AK19" t="e">
        <f t="shared" si="28"/>
        <v>#VALUE!</v>
      </c>
      <c r="AM19" t="e">
        <f t="shared" si="29"/>
        <v>#VALUE!</v>
      </c>
      <c r="AN19" t="e">
        <f t="shared" si="16"/>
        <v>#VALUE!</v>
      </c>
    </row>
    <row r="20" spans="1:40" x14ac:dyDescent="0.2">
      <c r="A20" s="335">
        <v>8</v>
      </c>
      <c r="B20" s="352">
        <f t="shared" si="17"/>
        <v>8.0000000000000002E-3</v>
      </c>
      <c r="C20" t="str">
        <f t="shared" si="0"/>
        <v>50.2654824i</v>
      </c>
      <c r="D20" s="30" t="str">
        <f t="shared" si="1"/>
        <v>-2526.61872090471</v>
      </c>
      <c r="E20" s="30" t="str">
        <f t="shared" si="2"/>
        <v>-127001.708847146i</v>
      </c>
      <c r="G20" s="30" t="e">
        <f t="shared" si="3"/>
        <v>#VALUE!</v>
      </c>
      <c r="I20" s="30" t="e">
        <f t="shared" si="4"/>
        <v>#REF!</v>
      </c>
      <c r="J20" t="e">
        <f t="shared" si="18"/>
        <v>#REF!</v>
      </c>
      <c r="L20" s="30" t="e">
        <f t="shared" si="5"/>
        <v>#VALUE!</v>
      </c>
      <c r="M20" t="e">
        <f t="shared" si="6"/>
        <v>#VALUE!</v>
      </c>
      <c r="N20" t="e">
        <f t="shared" si="19"/>
        <v>#REF!</v>
      </c>
      <c r="O20" s="299" t="e">
        <f t="shared" si="20"/>
        <v>#VALUE!</v>
      </c>
      <c r="P20" s="651">
        <v>0</v>
      </c>
      <c r="Q20" s="397" t="str">
        <f t="shared" si="7"/>
        <v>1+0.00001759291884i</v>
      </c>
      <c r="R20" s="397" t="str">
        <f t="shared" si="8"/>
        <v>-1.42064111516417E-14i</v>
      </c>
      <c r="S20" s="397" t="str">
        <f t="shared" si="9"/>
        <v>-2.52560807341635E-09</v>
      </c>
      <c r="T20" s="397" t="str">
        <f t="shared" si="21"/>
        <v>0.999999997474392+0.0000175929188257936i</v>
      </c>
      <c r="U20" s="652">
        <v>1</v>
      </c>
      <c r="V20">
        <f t="shared" si="22"/>
        <v>1</v>
      </c>
      <c r="W20">
        <f t="shared" si="23"/>
        <v>0</v>
      </c>
      <c r="X20">
        <f t="shared" si="10"/>
        <v>0</v>
      </c>
      <c r="Z20" t="str">
        <f t="shared" si="11"/>
        <v>1.00000000252561-3.02264148354676E-14i</v>
      </c>
      <c r="AA20">
        <f t="shared" si="24"/>
        <v>2.1937169209509332E-8</v>
      </c>
      <c r="AB20">
        <f t="shared" si="12"/>
        <v>-1.7318459974888673E-12</v>
      </c>
      <c r="AD20" s="30" t="str">
        <f t="shared" si="13"/>
        <v>0.001005309648i</v>
      </c>
      <c r="AE20" s="30" t="str">
        <f t="shared" si="25"/>
        <v>1+0.001005309648i</v>
      </c>
      <c r="AF20" s="30" t="e">
        <f t="shared" si="14"/>
        <v>#VALUE!</v>
      </c>
      <c r="AG20" t="e">
        <f t="shared" si="15"/>
        <v>#VALUE!</v>
      </c>
      <c r="AH20" t="str">
        <f t="shared" si="26"/>
        <v>1+0.001005309648i</v>
      </c>
      <c r="AI20" s="299" t="e">
        <f t="shared" si="27"/>
        <v>#VALUE!</v>
      </c>
      <c r="AK20" t="e">
        <f t="shared" si="28"/>
        <v>#VALUE!</v>
      </c>
      <c r="AM20" t="e">
        <f t="shared" si="29"/>
        <v>#VALUE!</v>
      </c>
      <c r="AN20" t="e">
        <f t="shared" si="16"/>
        <v>#VALUE!</v>
      </c>
    </row>
    <row r="21" spans="1:40" x14ac:dyDescent="0.2">
      <c r="A21" s="335">
        <v>9</v>
      </c>
      <c r="B21" s="352">
        <f t="shared" si="17"/>
        <v>8.9999999999999993E-3</v>
      </c>
      <c r="C21" t="str">
        <f t="shared" si="0"/>
        <v>56.5486677i</v>
      </c>
      <c r="D21" s="30" t="str">
        <f t="shared" si="1"/>
        <v>-3197.75181864502</v>
      </c>
      <c r="E21" s="30" t="str">
        <f t="shared" si="2"/>
        <v>-180828.604979628i</v>
      </c>
      <c r="G21" s="30" t="e">
        <f t="shared" si="3"/>
        <v>#VALUE!</v>
      </c>
      <c r="I21" s="30" t="e">
        <f t="shared" si="4"/>
        <v>#REF!</v>
      </c>
      <c r="J21" t="e">
        <f t="shared" si="18"/>
        <v>#REF!</v>
      </c>
      <c r="L21" s="30" t="e">
        <f t="shared" si="5"/>
        <v>#VALUE!</v>
      </c>
      <c r="M21" t="e">
        <f t="shared" si="6"/>
        <v>#VALUE!</v>
      </c>
      <c r="N21" t="e">
        <f t="shared" si="19"/>
        <v>#REF!</v>
      </c>
      <c r="O21" s="299" t="e">
        <f t="shared" si="20"/>
        <v>#VALUE!</v>
      </c>
      <c r="P21" s="651">
        <v>0</v>
      </c>
      <c r="Q21" s="397" t="str">
        <f t="shared" si="7"/>
        <v>1+0.000019792033695i</v>
      </c>
      <c r="R21" s="397" t="str">
        <f t="shared" si="8"/>
        <v>-2.02274877530212E-14i</v>
      </c>
      <c r="S21" s="397" t="str">
        <f t="shared" si="9"/>
        <v>-3.19647271791756E-09</v>
      </c>
      <c r="T21" s="397" t="str">
        <f t="shared" si="21"/>
        <v>0.999999996803527+0.0000197920336747725i</v>
      </c>
      <c r="U21" s="652">
        <v>1</v>
      </c>
      <c r="V21">
        <f t="shared" si="22"/>
        <v>1</v>
      </c>
      <c r="W21">
        <f t="shared" si="23"/>
        <v>0</v>
      </c>
      <c r="X21">
        <f t="shared" si="10"/>
        <v>0</v>
      </c>
      <c r="Z21" t="str">
        <f t="shared" si="11"/>
        <v>1.00000000319647-4.30372020696133E-14i</v>
      </c>
      <c r="AA21">
        <f t="shared" si="24"/>
        <v>2.7764185412408903E-8</v>
      </c>
      <c r="AB21">
        <f t="shared" si="12"/>
        <v>-2.4658500355761629E-12</v>
      </c>
      <c r="AD21" s="30" t="str">
        <f t="shared" si="13"/>
        <v>0.001130973354i</v>
      </c>
      <c r="AE21" s="30" t="str">
        <f t="shared" si="25"/>
        <v>1+0.001130973354i</v>
      </c>
      <c r="AF21" s="30" t="e">
        <f t="shared" si="14"/>
        <v>#VALUE!</v>
      </c>
      <c r="AG21" t="e">
        <f t="shared" si="15"/>
        <v>#VALUE!</v>
      </c>
      <c r="AH21" t="str">
        <f t="shared" si="26"/>
        <v>1+0.001130973354i</v>
      </c>
      <c r="AI21" s="299" t="e">
        <f t="shared" si="27"/>
        <v>#VALUE!</v>
      </c>
      <c r="AK21" t="e">
        <f t="shared" si="28"/>
        <v>#VALUE!</v>
      </c>
      <c r="AM21" t="e">
        <f t="shared" si="29"/>
        <v>#VALUE!</v>
      </c>
      <c r="AN21" t="e">
        <f t="shared" si="16"/>
        <v>#VALUE!</v>
      </c>
    </row>
    <row r="22" spans="1:40" x14ac:dyDescent="0.2">
      <c r="A22" s="324">
        <v>10</v>
      </c>
      <c r="B22" s="352">
        <f t="shared" si="17"/>
        <v>0.01</v>
      </c>
      <c r="C22" t="str">
        <f t="shared" si="0"/>
        <v>62.831853i</v>
      </c>
      <c r="D22" s="30" t="str">
        <f t="shared" si="1"/>
        <v>-3947.84175141361</v>
      </c>
      <c r="E22" s="30" t="str">
        <f t="shared" si="2"/>
        <v>-248050.212592082i</v>
      </c>
      <c r="G22" s="30" t="e">
        <f t="shared" si="3"/>
        <v>#VALUE!</v>
      </c>
      <c r="I22" s="30" t="e">
        <f t="shared" si="4"/>
        <v>#REF!</v>
      </c>
      <c r="J22" t="e">
        <f t="shared" si="18"/>
        <v>#REF!</v>
      </c>
      <c r="L22" s="30" t="e">
        <f t="shared" si="5"/>
        <v>#VALUE!</v>
      </c>
      <c r="M22" t="e">
        <f t="shared" si="6"/>
        <v>#VALUE!</v>
      </c>
      <c r="N22" t="e">
        <f t="shared" si="19"/>
        <v>#REF!</v>
      </c>
      <c r="O22" s="299" t="e">
        <f t="shared" si="20"/>
        <v>#VALUE!</v>
      </c>
      <c r="P22" s="651">
        <v>0</v>
      </c>
      <c r="Q22" s="397" t="str">
        <f t="shared" si="7"/>
        <v>1+0.00002199114855i</v>
      </c>
      <c r="R22" s="397" t="str">
        <f t="shared" si="8"/>
        <v>-2.77468967805503E-14i</v>
      </c>
      <c r="S22" s="397" t="str">
        <f t="shared" si="9"/>
        <v>-3.94626261471304E-09</v>
      </c>
      <c r="T22" s="397" t="str">
        <f t="shared" si="21"/>
        <v>0.999999996053737+0.0000219911485222531i</v>
      </c>
      <c r="U22" s="652">
        <v>1</v>
      </c>
      <c r="V22">
        <f t="shared" si="22"/>
        <v>1</v>
      </c>
      <c r="W22">
        <f t="shared" si="23"/>
        <v>0</v>
      </c>
      <c r="X22">
        <f t="shared" si="10"/>
        <v>0</v>
      </c>
      <c r="Z22" t="str">
        <f t="shared" si="11"/>
        <v>1.00000000394626-5.90359570729332E-14i</v>
      </c>
      <c r="AA22">
        <f t="shared" si="24"/>
        <v>3.4276778649137416E-8</v>
      </c>
      <c r="AB22">
        <f t="shared" si="12"/>
        <v>-3.3825111703113878E-12</v>
      </c>
      <c r="AD22" s="30" t="str">
        <f t="shared" si="13"/>
        <v>0.00125663706i</v>
      </c>
      <c r="AE22" s="30" t="str">
        <f t="shared" si="25"/>
        <v>1+0.00125663706i</v>
      </c>
      <c r="AF22" s="30" t="e">
        <f t="shared" si="14"/>
        <v>#VALUE!</v>
      </c>
      <c r="AG22" t="e">
        <f t="shared" si="15"/>
        <v>#VALUE!</v>
      </c>
      <c r="AH22" t="str">
        <f t="shared" si="26"/>
        <v>1+0.00125663706i</v>
      </c>
      <c r="AI22" s="299" t="e">
        <f t="shared" si="27"/>
        <v>#VALUE!</v>
      </c>
      <c r="AK22" t="e">
        <f t="shared" si="28"/>
        <v>#VALUE!</v>
      </c>
      <c r="AM22" t="e">
        <f t="shared" si="29"/>
        <v>#VALUE!</v>
      </c>
      <c r="AN22" t="e">
        <f t="shared" si="16"/>
        <v>#VALUE!</v>
      </c>
    </row>
    <row r="23" spans="1:40" x14ac:dyDescent="0.2">
      <c r="A23" s="335">
        <v>20</v>
      </c>
      <c r="B23" s="352">
        <f t="shared" si="17"/>
        <v>0.02</v>
      </c>
      <c r="C23" t="str">
        <f t="shared" si="0"/>
        <v>125.663706i</v>
      </c>
      <c r="D23" s="30" t="str">
        <f t="shared" si="1"/>
        <v>-15791.3670056544</v>
      </c>
      <c r="E23" s="30" t="str">
        <f t="shared" si="2"/>
        <v>-1984401.70073666i</v>
      </c>
      <c r="G23" s="30" t="e">
        <f t="shared" si="3"/>
        <v>#VALUE!</v>
      </c>
      <c r="I23" s="30" t="e">
        <f t="shared" si="4"/>
        <v>#REF!</v>
      </c>
      <c r="J23" t="e">
        <f t="shared" si="18"/>
        <v>#REF!</v>
      </c>
      <c r="L23" s="30" t="e">
        <f t="shared" si="5"/>
        <v>#VALUE!</v>
      </c>
      <c r="M23" t="e">
        <f t="shared" si="6"/>
        <v>#VALUE!</v>
      </c>
      <c r="N23" t="e">
        <f t="shared" si="19"/>
        <v>#REF!</v>
      </c>
      <c r="O23" s="299" t="e">
        <f t="shared" si="20"/>
        <v>#VALUE!</v>
      </c>
      <c r="P23" s="651">
        <v>0</v>
      </c>
      <c r="Q23" s="397" t="str">
        <f t="shared" si="7"/>
        <v>1+0.0000439822971i</v>
      </c>
      <c r="R23" s="397" t="str">
        <f t="shared" si="8"/>
        <v>-2.21975174244403E-13i</v>
      </c>
      <c r="S23" s="397" t="str">
        <f t="shared" si="9"/>
        <v>-1.57850504588521E-08</v>
      </c>
      <c r="T23" s="397" t="str">
        <f t="shared" si="21"/>
        <v>0.99999998421495+0.0000439822968780248i</v>
      </c>
      <c r="U23" s="652">
        <v>1</v>
      </c>
      <c r="V23">
        <f t="shared" si="22"/>
        <v>1</v>
      </c>
      <c r="W23">
        <f t="shared" si="23"/>
        <v>0</v>
      </c>
      <c r="X23">
        <f t="shared" si="10"/>
        <v>0</v>
      </c>
      <c r="Z23" t="str">
        <f t="shared" si="11"/>
        <v>1.00000001578505-4.72287580174405E-13i</v>
      </c>
      <c r="AA23">
        <f t="shared" si="24"/>
        <v>1.3710720057442979E-7</v>
      </c>
      <c r="AB23">
        <f t="shared" si="12"/>
        <v>-2.7060084664215768E-11</v>
      </c>
      <c r="AD23" s="30" t="str">
        <f t="shared" si="13"/>
        <v>0.00251327412i</v>
      </c>
      <c r="AE23" s="30" t="str">
        <f t="shared" si="25"/>
        <v>1+0.00251327412i</v>
      </c>
      <c r="AF23" s="30" t="e">
        <f t="shared" si="14"/>
        <v>#VALUE!</v>
      </c>
      <c r="AG23" t="e">
        <f t="shared" si="15"/>
        <v>#VALUE!</v>
      </c>
      <c r="AH23" t="str">
        <f t="shared" si="26"/>
        <v>1+0.00251327412i</v>
      </c>
      <c r="AI23" s="299" t="e">
        <f t="shared" si="27"/>
        <v>#VALUE!</v>
      </c>
      <c r="AK23" t="e">
        <f t="shared" si="28"/>
        <v>#VALUE!</v>
      </c>
      <c r="AM23" t="e">
        <f t="shared" si="29"/>
        <v>#VALUE!</v>
      </c>
      <c r="AN23" t="e">
        <f t="shared" si="16"/>
        <v>#VALUE!</v>
      </c>
    </row>
    <row r="24" spans="1:40" x14ac:dyDescent="0.2">
      <c r="A24" s="324">
        <v>30</v>
      </c>
      <c r="B24" s="352">
        <f t="shared" si="17"/>
        <v>0.03</v>
      </c>
      <c r="C24" t="str">
        <f t="shared" si="0"/>
        <v>188.495559i</v>
      </c>
      <c r="D24" s="30" t="str">
        <f t="shared" si="1"/>
        <v>-35530.5757627225</v>
      </c>
      <c r="E24" s="30" t="str">
        <f t="shared" si="2"/>
        <v>-6697355.73998623i</v>
      </c>
      <c r="G24" s="30" t="e">
        <f t="shared" si="3"/>
        <v>#VALUE!</v>
      </c>
      <c r="I24" s="30" t="e">
        <f t="shared" si="4"/>
        <v>#REF!</v>
      </c>
      <c r="J24" t="e">
        <f t="shared" si="18"/>
        <v>#REF!</v>
      </c>
      <c r="L24" s="30" t="e">
        <f t="shared" si="5"/>
        <v>#VALUE!</v>
      </c>
      <c r="M24" t="e">
        <f t="shared" si="6"/>
        <v>#VALUE!</v>
      </c>
      <c r="N24" t="e">
        <f t="shared" si="19"/>
        <v>#REF!</v>
      </c>
      <c r="O24" s="299" t="e">
        <f t="shared" si="20"/>
        <v>#VALUE!</v>
      </c>
      <c r="P24" s="651">
        <v>0</v>
      </c>
      <c r="Q24" s="397" t="str">
        <f t="shared" si="7"/>
        <v>1+0.00006597344565i</v>
      </c>
      <c r="R24" s="397" t="str">
        <f t="shared" si="8"/>
        <v>-7.4916621307486E-13i</v>
      </c>
      <c r="S24" s="397" t="str">
        <f t="shared" si="9"/>
        <v>-3.55163635324174E-08</v>
      </c>
      <c r="T24" s="397" t="str">
        <f t="shared" si="21"/>
        <v>0.999999964483636+0.0000659734449008338i</v>
      </c>
      <c r="U24" s="652">
        <v>1</v>
      </c>
      <c r="V24">
        <f t="shared" si="22"/>
        <v>1</v>
      </c>
      <c r="W24">
        <f t="shared" si="23"/>
        <v>0</v>
      </c>
      <c r="X24">
        <f t="shared" si="10"/>
        <v>0</v>
      </c>
      <c r="Z24" t="str">
        <f t="shared" si="11"/>
        <v>1.00000003551637-1.59397081397336E-12i</v>
      </c>
      <c r="AA24">
        <f t="shared" si="24"/>
        <v>3.0849126526975555E-7</v>
      </c>
      <c r="AB24">
        <f t="shared" si="12"/>
        <v>-9.1327797168431367E-11</v>
      </c>
      <c r="AD24" s="30" t="str">
        <f t="shared" si="13"/>
        <v>0.00376991118i</v>
      </c>
      <c r="AE24" s="30" t="str">
        <f t="shared" si="25"/>
        <v>1+0.00376991118i</v>
      </c>
      <c r="AF24" s="30" t="e">
        <f t="shared" si="14"/>
        <v>#VALUE!</v>
      </c>
      <c r="AG24" t="e">
        <f t="shared" si="15"/>
        <v>#VALUE!</v>
      </c>
      <c r="AH24" t="str">
        <f t="shared" si="26"/>
        <v>1+0.00376991118i</v>
      </c>
      <c r="AI24" s="299" t="e">
        <f t="shared" si="27"/>
        <v>#VALUE!</v>
      </c>
      <c r="AK24" t="e">
        <f t="shared" si="28"/>
        <v>#VALUE!</v>
      </c>
      <c r="AM24" t="e">
        <f t="shared" si="29"/>
        <v>#VALUE!</v>
      </c>
      <c r="AN24" t="e">
        <f t="shared" si="16"/>
        <v>#VALUE!</v>
      </c>
    </row>
    <row r="25" spans="1:40" x14ac:dyDescent="0.2">
      <c r="A25" s="335">
        <v>40</v>
      </c>
      <c r="B25" s="352">
        <f t="shared" si="17"/>
        <v>0.04</v>
      </c>
      <c r="C25" t="str">
        <f t="shared" si="0"/>
        <v>251.327412i</v>
      </c>
      <c r="D25" s="30" t="str">
        <f t="shared" si="1"/>
        <v>-63165.4680226178</v>
      </c>
      <c r="E25" s="30" t="str">
        <f t="shared" si="2"/>
        <v>-15875213.6058933i</v>
      </c>
      <c r="G25" s="30" t="e">
        <f t="shared" si="3"/>
        <v>#VALUE!</v>
      </c>
      <c r="I25" s="30" t="e">
        <f t="shared" si="4"/>
        <v>#REF!</v>
      </c>
      <c r="J25" t="e">
        <f t="shared" si="18"/>
        <v>#REF!</v>
      </c>
      <c r="L25" s="30" t="e">
        <f t="shared" si="5"/>
        <v>#VALUE!</v>
      </c>
      <c r="M25" t="e">
        <f t="shared" si="6"/>
        <v>#VALUE!</v>
      </c>
      <c r="N25" t="e">
        <f t="shared" si="19"/>
        <v>#REF!</v>
      </c>
      <c r="O25" s="299" t="e">
        <f t="shared" si="20"/>
        <v>#VALUE!</v>
      </c>
      <c r="P25" s="651">
        <v>0</v>
      </c>
      <c r="Q25" s="397" t="str">
        <f t="shared" si="7"/>
        <v>1+0.0000879645942i</v>
      </c>
      <c r="R25" s="397" t="str">
        <f t="shared" si="8"/>
        <v>-1.77580139395522E-12i</v>
      </c>
      <c r="S25" s="397" t="str">
        <f t="shared" si="9"/>
        <v>-6.31402018354088E-08</v>
      </c>
      <c r="T25" s="397" t="str">
        <f t="shared" si="21"/>
        <v>0.999999936859798+0.0000879645924241986i</v>
      </c>
      <c r="U25" s="652">
        <v>1</v>
      </c>
      <c r="V25">
        <f t="shared" si="22"/>
        <v>1</v>
      </c>
      <c r="W25">
        <f t="shared" si="23"/>
        <v>0</v>
      </c>
      <c r="X25">
        <f t="shared" si="10"/>
        <v>0</v>
      </c>
      <c r="Z25" t="str">
        <f t="shared" si="11"/>
        <v>1.00000006314021-3.77830129983406E-12i</v>
      </c>
      <c r="AA25">
        <f t="shared" si="24"/>
        <v>5.4842887803037698E-7</v>
      </c>
      <c r="AB25">
        <f t="shared" si="12"/>
        <v>-2.1648070478801279E-10</v>
      </c>
      <c r="AD25" s="30" t="str">
        <f t="shared" si="13"/>
        <v>0.00502654824i</v>
      </c>
      <c r="AE25" s="30" t="str">
        <f t="shared" si="25"/>
        <v>1+0.00502654824i</v>
      </c>
      <c r="AF25" s="30" t="e">
        <f t="shared" si="14"/>
        <v>#VALUE!</v>
      </c>
      <c r="AG25" t="e">
        <f t="shared" si="15"/>
        <v>#VALUE!</v>
      </c>
      <c r="AH25" t="str">
        <f t="shared" si="26"/>
        <v>1+0.00502654824i</v>
      </c>
      <c r="AI25" s="299" t="e">
        <f t="shared" si="27"/>
        <v>#VALUE!</v>
      </c>
      <c r="AK25" t="e">
        <f t="shared" si="28"/>
        <v>#VALUE!</v>
      </c>
      <c r="AM25" t="e">
        <f t="shared" si="29"/>
        <v>#VALUE!</v>
      </c>
      <c r="AN25" t="e">
        <f t="shared" si="16"/>
        <v>#VALUE!</v>
      </c>
    </row>
    <row r="26" spans="1:40" x14ac:dyDescent="0.2">
      <c r="A26" s="324">
        <v>50</v>
      </c>
      <c r="B26" s="352">
        <f t="shared" si="17"/>
        <v>0.05</v>
      </c>
      <c r="C26" t="str">
        <f t="shared" si="0"/>
        <v>314.159265i</v>
      </c>
      <c r="D26" s="30" t="str">
        <f t="shared" si="1"/>
        <v>-98696.0437853402</v>
      </c>
      <c r="E26" s="30" t="str">
        <f t="shared" si="2"/>
        <v>-31006276.5740103i</v>
      </c>
      <c r="G26" s="30" t="e">
        <f t="shared" si="3"/>
        <v>#VALUE!</v>
      </c>
      <c r="I26" s="30" t="e">
        <f t="shared" si="4"/>
        <v>#REF!</v>
      </c>
      <c r="J26" t="e">
        <f t="shared" si="18"/>
        <v>#REF!</v>
      </c>
      <c r="L26" s="30" t="e">
        <f t="shared" si="5"/>
        <v>#VALUE!</v>
      </c>
      <c r="M26" t="e">
        <f t="shared" si="6"/>
        <v>#VALUE!</v>
      </c>
      <c r="N26" t="e">
        <f t="shared" si="19"/>
        <v>#REF!</v>
      </c>
      <c r="O26" s="299" t="e">
        <f t="shared" si="20"/>
        <v>#VALUE!</v>
      </c>
      <c r="P26" s="651">
        <v>0</v>
      </c>
      <c r="Q26" s="397" t="str">
        <f t="shared" si="7"/>
        <v>1+0.00010995574275i</v>
      </c>
      <c r="R26" s="397" t="str">
        <f t="shared" si="8"/>
        <v>-3.46836209756879E-12i</v>
      </c>
      <c r="S26" s="397" t="str">
        <f t="shared" si="9"/>
        <v>-9.86565653678261E-08</v>
      </c>
      <c r="T26" s="397" t="str">
        <f t="shared" si="21"/>
        <v>0.999999901343435+0.000109955739281638i</v>
      </c>
      <c r="U26" s="652">
        <v>1</v>
      </c>
      <c r="V26">
        <f t="shared" si="22"/>
        <v>1</v>
      </c>
      <c r="W26">
        <f t="shared" si="23"/>
        <v>0</v>
      </c>
      <c r="X26">
        <f t="shared" si="10"/>
        <v>0</v>
      </c>
      <c r="Z26" t="str">
        <f t="shared" si="11"/>
        <v>1.00000009865657-7.37949525076775E-12i</v>
      </c>
      <c r="AA26">
        <f t="shared" si="24"/>
        <v>8.5692003703246746E-7</v>
      </c>
      <c r="AB26">
        <f t="shared" si="12"/>
        <v>-4.2281389157559421E-10</v>
      </c>
      <c r="AD26" s="30" t="str">
        <f t="shared" si="13"/>
        <v>0.0062831853i</v>
      </c>
      <c r="AE26" s="30" t="str">
        <f t="shared" si="25"/>
        <v>1+0.0062831853i</v>
      </c>
      <c r="AF26" s="30" t="e">
        <f t="shared" si="14"/>
        <v>#VALUE!</v>
      </c>
      <c r="AG26" t="e">
        <f t="shared" si="15"/>
        <v>#VALUE!</v>
      </c>
      <c r="AH26" t="str">
        <f t="shared" si="26"/>
        <v>1+0.0062831853i</v>
      </c>
      <c r="AI26" s="299" t="e">
        <f t="shared" si="27"/>
        <v>#VALUE!</v>
      </c>
      <c r="AK26" t="e">
        <f t="shared" si="28"/>
        <v>#VALUE!</v>
      </c>
      <c r="AM26" t="e">
        <f t="shared" si="29"/>
        <v>#VALUE!</v>
      </c>
      <c r="AN26" t="e">
        <f t="shared" si="16"/>
        <v>#VALUE!</v>
      </c>
    </row>
    <row r="27" spans="1:40" x14ac:dyDescent="0.2">
      <c r="A27" s="335">
        <v>60</v>
      </c>
      <c r="B27" s="352">
        <f t="shared" si="17"/>
        <v>0.06</v>
      </c>
      <c r="C27" t="str">
        <f t="shared" si="0"/>
        <v>376.991118i</v>
      </c>
      <c r="D27" s="30" t="str">
        <f t="shared" si="1"/>
        <v>-142122.30305089</v>
      </c>
      <c r="E27" s="30" t="str">
        <f t="shared" si="2"/>
        <v>-53578845.9198898i</v>
      </c>
      <c r="G27" s="30" t="e">
        <f t="shared" si="3"/>
        <v>#VALUE!</v>
      </c>
      <c r="I27" s="30" t="e">
        <f t="shared" si="4"/>
        <v>#REF!</v>
      </c>
      <c r="J27" t="e">
        <f t="shared" si="18"/>
        <v>#REF!</v>
      </c>
      <c r="L27" s="30" t="e">
        <f t="shared" si="5"/>
        <v>#VALUE!</v>
      </c>
      <c r="M27" t="e">
        <f t="shared" si="6"/>
        <v>#VALUE!</v>
      </c>
      <c r="N27" t="e">
        <f t="shared" si="19"/>
        <v>#REF!</v>
      </c>
      <c r="O27" s="299" t="e">
        <f t="shared" si="20"/>
        <v>#VALUE!</v>
      </c>
      <c r="P27" s="651">
        <v>0</v>
      </c>
      <c r="Q27" s="397" t="str">
        <f t="shared" si="7"/>
        <v>1+0.0001319468913i</v>
      </c>
      <c r="R27" s="397" t="str">
        <f t="shared" si="8"/>
        <v>-5.99332970459887E-12i</v>
      </c>
      <c r="S27" s="397" t="str">
        <f t="shared" si="9"/>
        <v>-1.4206545412967E-07</v>
      </c>
      <c r="T27" s="397" t="str">
        <f t="shared" si="21"/>
        <v>0.999999857934546+0.00013194688530667i</v>
      </c>
      <c r="U27" s="652">
        <v>1</v>
      </c>
      <c r="V27">
        <f t="shared" si="22"/>
        <v>1</v>
      </c>
      <c r="W27">
        <f t="shared" si="23"/>
        <v>0</v>
      </c>
      <c r="X27">
        <f t="shared" si="10"/>
        <v>0</v>
      </c>
      <c r="Z27" t="str">
        <f t="shared" si="11"/>
        <v>1.00000014206547-1.27517683815965E-11i</v>
      </c>
      <c r="AA27">
        <f t="shared" si="24"/>
        <v>1.2339649066219747E-6</v>
      </c>
      <c r="AB27">
        <f t="shared" si="12"/>
        <v>-7.3062240663248992E-10</v>
      </c>
      <c r="AD27" s="30" t="str">
        <f t="shared" si="13"/>
        <v>0.00753982236i</v>
      </c>
      <c r="AE27" s="30" t="str">
        <f t="shared" si="25"/>
        <v>1+0.00753982236i</v>
      </c>
      <c r="AF27" s="30" t="e">
        <f t="shared" si="14"/>
        <v>#VALUE!</v>
      </c>
      <c r="AG27" t="e">
        <f t="shared" si="15"/>
        <v>#VALUE!</v>
      </c>
      <c r="AH27" t="str">
        <f t="shared" si="26"/>
        <v>1+0.00753982236i</v>
      </c>
      <c r="AI27" s="299" t="e">
        <f t="shared" si="27"/>
        <v>#VALUE!</v>
      </c>
      <c r="AK27" t="e">
        <f t="shared" si="28"/>
        <v>#VALUE!</v>
      </c>
      <c r="AM27" t="e">
        <f t="shared" si="29"/>
        <v>#VALUE!</v>
      </c>
      <c r="AN27" t="e">
        <f t="shared" si="16"/>
        <v>#VALUE!</v>
      </c>
    </row>
    <row r="28" spans="1:40" x14ac:dyDescent="0.2">
      <c r="A28" s="324">
        <v>70</v>
      </c>
      <c r="B28" s="352">
        <f t="shared" si="17"/>
        <v>7.0000000000000007E-2</v>
      </c>
      <c r="C28" t="str">
        <f t="shared" si="0"/>
        <v>439.822971i</v>
      </c>
      <c r="D28" s="30" t="str">
        <f t="shared" si="1"/>
        <v>-193444.245819267</v>
      </c>
      <c r="E28" s="30" t="str">
        <f t="shared" si="2"/>
        <v>-85081222.9190843i</v>
      </c>
      <c r="G28" s="30" t="e">
        <f t="shared" si="3"/>
        <v>#VALUE!</v>
      </c>
      <c r="I28" s="30" t="e">
        <f t="shared" si="4"/>
        <v>#REF!</v>
      </c>
      <c r="J28" t="e">
        <f t="shared" si="18"/>
        <v>#REF!</v>
      </c>
      <c r="L28" s="30" t="e">
        <f t="shared" si="5"/>
        <v>#VALUE!</v>
      </c>
      <c r="M28" t="e">
        <f t="shared" si="6"/>
        <v>#VALUE!</v>
      </c>
      <c r="N28" t="e">
        <f t="shared" si="19"/>
        <v>#REF!</v>
      </c>
      <c r="O28" s="299" t="e">
        <f t="shared" si="20"/>
        <v>#VALUE!</v>
      </c>
      <c r="P28" s="651">
        <v>0</v>
      </c>
      <c r="Q28" s="397" t="str">
        <f t="shared" si="7"/>
        <v>1+0.00015393803985i</v>
      </c>
      <c r="R28" s="397" t="str">
        <f t="shared" si="8"/>
        <v>-9.51718559572877E-12i</v>
      </c>
      <c r="S28" s="397" t="str">
        <f t="shared" si="9"/>
        <v>-1.93366868120939E-07</v>
      </c>
      <c r="T28" s="397" t="str">
        <f t="shared" si="21"/>
        <v>0.999999806633132+0.000153938030332814i</v>
      </c>
      <c r="U28" s="652">
        <v>1</v>
      </c>
      <c r="V28">
        <f t="shared" si="22"/>
        <v>1</v>
      </c>
      <c r="W28">
        <f t="shared" si="23"/>
        <v>0</v>
      </c>
      <c r="X28">
        <f t="shared" si="10"/>
        <v>0</v>
      </c>
      <c r="Z28" t="str">
        <f t="shared" si="11"/>
        <v>1.0000001933669-2.02493379799158E-11i</v>
      </c>
      <c r="AA28">
        <f t="shared" si="24"/>
        <v>1.6795633910819215E-6</v>
      </c>
      <c r="AB28">
        <f t="shared" si="12"/>
        <v>-1.1602013811643187E-9</v>
      </c>
      <c r="AD28" s="30" t="str">
        <f t="shared" si="13"/>
        <v>0.00879645942i</v>
      </c>
      <c r="AE28" s="30" t="str">
        <f t="shared" si="25"/>
        <v>1+0.00879645942i</v>
      </c>
      <c r="AF28" s="30" t="e">
        <f t="shared" si="14"/>
        <v>#VALUE!</v>
      </c>
      <c r="AG28" t="e">
        <f t="shared" si="15"/>
        <v>#VALUE!</v>
      </c>
      <c r="AH28" t="str">
        <f t="shared" si="26"/>
        <v>1+0.00879645942i</v>
      </c>
      <c r="AI28" s="299" t="e">
        <f t="shared" si="27"/>
        <v>#VALUE!</v>
      </c>
      <c r="AK28" t="e">
        <f t="shared" si="28"/>
        <v>#VALUE!</v>
      </c>
      <c r="AM28" t="e">
        <f t="shared" si="29"/>
        <v>#VALUE!</v>
      </c>
      <c r="AN28" t="e">
        <f t="shared" si="16"/>
        <v>#VALUE!</v>
      </c>
    </row>
    <row r="29" spans="1:40" x14ac:dyDescent="0.2">
      <c r="A29" s="335">
        <v>80</v>
      </c>
      <c r="B29" s="352">
        <f t="shared" si="17"/>
        <v>0.08</v>
      </c>
      <c r="C29" t="str">
        <f t="shared" si="0"/>
        <v>502.654824i</v>
      </c>
      <c r="D29" s="30" t="str">
        <f t="shared" si="1"/>
        <v>-252661.872090471</v>
      </c>
      <c r="E29" s="30" t="str">
        <f t="shared" si="2"/>
        <v>-127001708.847146i</v>
      </c>
      <c r="G29" s="30" t="e">
        <f t="shared" si="3"/>
        <v>#VALUE!</v>
      </c>
      <c r="I29" s="30" t="e">
        <f t="shared" si="4"/>
        <v>#REF!</v>
      </c>
      <c r="J29" t="e">
        <f t="shared" si="18"/>
        <v>#REF!</v>
      </c>
      <c r="L29" s="30" t="e">
        <f t="shared" si="5"/>
        <v>#VALUE!</v>
      </c>
      <c r="M29" t="e">
        <f t="shared" si="6"/>
        <v>#VALUE!</v>
      </c>
      <c r="N29" t="e">
        <f t="shared" si="19"/>
        <v>#REF!</v>
      </c>
      <c r="O29" s="299" t="e">
        <f t="shared" si="20"/>
        <v>#VALUE!</v>
      </c>
      <c r="P29" s="651">
        <v>0</v>
      </c>
      <c r="Q29" s="397" t="str">
        <f t="shared" si="7"/>
        <v>1+0.0001759291884i</v>
      </c>
      <c r="R29" s="397" t="str">
        <f t="shared" si="8"/>
        <v>-1.42064111516417E-11i</v>
      </c>
      <c r="S29" s="397" t="str">
        <f t="shared" si="9"/>
        <v>-2.52560807341635E-07</v>
      </c>
      <c r="T29" s="397" t="str">
        <f t="shared" si="21"/>
        <v>0.999999747439193+0.000175929174193589i</v>
      </c>
      <c r="U29" s="652">
        <v>1</v>
      </c>
      <c r="V29">
        <f t="shared" si="22"/>
        <v>1</v>
      </c>
      <c r="W29">
        <f t="shared" si="23"/>
        <v>0</v>
      </c>
      <c r="X29">
        <f t="shared" si="10"/>
        <v>0</v>
      </c>
      <c r="Z29" t="str">
        <f t="shared" si="11"/>
        <v>1.00000025256087-3.02264211687963E-11i</v>
      </c>
      <c r="AA29">
        <f t="shared" si="24"/>
        <v>2.1937155666510632E-6</v>
      </c>
      <c r="AB29">
        <f t="shared" si="12"/>
        <v>-1.731845927339326E-9</v>
      </c>
      <c r="AD29" s="30" t="str">
        <f t="shared" si="13"/>
        <v>0.01005309648i</v>
      </c>
      <c r="AE29" s="30" t="str">
        <f t="shared" si="25"/>
        <v>1+0.01005309648i</v>
      </c>
      <c r="AF29" s="30" t="e">
        <f t="shared" si="14"/>
        <v>#VALUE!</v>
      </c>
      <c r="AG29" t="e">
        <f t="shared" si="15"/>
        <v>#VALUE!</v>
      </c>
      <c r="AH29" t="str">
        <f t="shared" si="26"/>
        <v>1+0.01005309648i</v>
      </c>
      <c r="AI29" s="299" t="e">
        <f t="shared" si="27"/>
        <v>#VALUE!</v>
      </c>
      <c r="AK29" t="e">
        <f t="shared" si="28"/>
        <v>#VALUE!</v>
      </c>
      <c r="AM29" t="e">
        <f t="shared" si="29"/>
        <v>#VALUE!</v>
      </c>
      <c r="AN29" t="e">
        <f t="shared" si="16"/>
        <v>#VALUE!</v>
      </c>
    </row>
    <row r="30" spans="1:40" x14ac:dyDescent="0.2">
      <c r="A30" s="324">
        <v>90</v>
      </c>
      <c r="B30" s="352">
        <f t="shared" si="17"/>
        <v>0.09</v>
      </c>
      <c r="C30" t="str">
        <f t="shared" si="0"/>
        <v>565.486677i</v>
      </c>
      <c r="D30" s="30" t="str">
        <f t="shared" si="1"/>
        <v>-319775.181864502</v>
      </c>
      <c r="E30" s="30" t="str">
        <f t="shared" si="2"/>
        <v>-180828604.979628i</v>
      </c>
      <c r="G30" s="30" t="e">
        <f t="shared" si="3"/>
        <v>#VALUE!</v>
      </c>
      <c r="I30" s="30" t="e">
        <f t="shared" si="4"/>
        <v>#REF!</v>
      </c>
      <c r="J30" t="e">
        <f t="shared" si="18"/>
        <v>#REF!</v>
      </c>
      <c r="L30" s="30" t="e">
        <f t="shared" si="5"/>
        <v>#VALUE!</v>
      </c>
      <c r="M30" t="e">
        <f t="shared" si="6"/>
        <v>#VALUE!</v>
      </c>
      <c r="N30" t="e">
        <f t="shared" si="19"/>
        <v>#REF!</v>
      </c>
      <c r="O30" s="299" t="e">
        <f t="shared" si="20"/>
        <v>#VALUE!</v>
      </c>
      <c r="P30" s="651">
        <v>0</v>
      </c>
      <c r="Q30" s="397" t="str">
        <f t="shared" si="7"/>
        <v>1+0.00019792033695i</v>
      </c>
      <c r="R30" s="397" t="str">
        <f t="shared" si="8"/>
        <v>-2.02274877530212E-11i</v>
      </c>
      <c r="S30" s="397" t="str">
        <f t="shared" si="9"/>
        <v>-3.19647271791756E-07</v>
      </c>
      <c r="T30" s="397" t="str">
        <f t="shared" si="21"/>
        <v>0.999999680352728+0.000197920316722512i</v>
      </c>
      <c r="U30" s="652">
        <v>1</v>
      </c>
      <c r="V30">
        <f t="shared" si="22"/>
        <v>1</v>
      </c>
      <c r="W30">
        <f t="shared" si="23"/>
        <v>0</v>
      </c>
      <c r="X30">
        <f t="shared" si="10"/>
        <v>0</v>
      </c>
      <c r="Z30" t="str">
        <f t="shared" si="11"/>
        <v>1.00000031964737-4.30372335896138E-11i</v>
      </c>
      <c r="AA30">
        <f t="shared" si="24"/>
        <v>2.7764213343660625E-6</v>
      </c>
      <c r="AB30">
        <f t="shared" si="12"/>
        <v>-2.4658510612183728E-9</v>
      </c>
      <c r="AD30" s="30" t="str">
        <f t="shared" si="13"/>
        <v>0.01130973354i</v>
      </c>
      <c r="AE30" s="30" t="str">
        <f t="shared" si="25"/>
        <v>1+0.01130973354i</v>
      </c>
      <c r="AF30" s="30" t="e">
        <f t="shared" si="14"/>
        <v>#VALUE!</v>
      </c>
      <c r="AG30" t="e">
        <f t="shared" si="15"/>
        <v>#VALUE!</v>
      </c>
      <c r="AH30" t="str">
        <f t="shared" si="26"/>
        <v>1+0.01130973354i</v>
      </c>
      <c r="AI30" s="299" t="e">
        <f t="shared" si="27"/>
        <v>#VALUE!</v>
      </c>
      <c r="AK30" t="e">
        <f t="shared" si="28"/>
        <v>#VALUE!</v>
      </c>
      <c r="AM30" t="e">
        <f t="shared" si="29"/>
        <v>#VALUE!</v>
      </c>
      <c r="AN30" t="e">
        <f t="shared" si="16"/>
        <v>#VALUE!</v>
      </c>
    </row>
    <row r="31" spans="1:40" x14ac:dyDescent="0.2">
      <c r="A31" s="335">
        <v>100</v>
      </c>
      <c r="B31" s="352">
        <f t="shared" si="17"/>
        <v>0.1</v>
      </c>
      <c r="C31" t="str">
        <f t="shared" si="0"/>
        <v>628.31853i</v>
      </c>
      <c r="D31" s="30" t="str">
        <f t="shared" si="1"/>
        <v>-394784.175141361</v>
      </c>
      <c r="E31" s="30" t="str">
        <f t="shared" si="2"/>
        <v>-248050212.592082i</v>
      </c>
      <c r="G31" s="30" t="e">
        <f t="shared" si="3"/>
        <v>#VALUE!</v>
      </c>
      <c r="I31" s="30" t="e">
        <f t="shared" si="4"/>
        <v>#REF!</v>
      </c>
      <c r="J31" t="e">
        <f t="shared" si="18"/>
        <v>#REF!</v>
      </c>
      <c r="L31" s="30" t="e">
        <f t="shared" si="5"/>
        <v>#VALUE!</v>
      </c>
      <c r="M31" t="e">
        <f t="shared" si="6"/>
        <v>#VALUE!</v>
      </c>
      <c r="N31" t="e">
        <f t="shared" si="19"/>
        <v>#REF!</v>
      </c>
      <c r="O31" s="299" t="e">
        <f t="shared" si="20"/>
        <v>#VALUE!</v>
      </c>
      <c r="P31" s="651">
        <v>0</v>
      </c>
      <c r="Q31" s="397" t="str">
        <f t="shared" si="7"/>
        <v>1+0.0002199114855i</v>
      </c>
      <c r="R31" s="397" t="str">
        <f t="shared" si="8"/>
        <v>-2.77468967805503E-11i</v>
      </c>
      <c r="S31" s="397" t="str">
        <f t="shared" si="9"/>
        <v>-3.94626261471305E-07</v>
      </c>
      <c r="T31" s="397" t="str">
        <f t="shared" si="21"/>
        <v>0.999999605373739+0.000219911457753103i</v>
      </c>
      <c r="U31" s="652">
        <v>1</v>
      </c>
      <c r="V31">
        <f t="shared" si="22"/>
        <v>1</v>
      </c>
      <c r="W31">
        <f t="shared" si="23"/>
        <v>0</v>
      </c>
      <c r="X31">
        <f t="shared" si="10"/>
        <v>0</v>
      </c>
      <c r="Z31" t="str">
        <f t="shared" si="11"/>
        <v>1.0000003946264-5.90359940073355E-11i</v>
      </c>
      <c r="AA31">
        <f t="shared" si="24"/>
        <v>3.4276806823585146E-6</v>
      </c>
      <c r="AB31">
        <f t="shared" si="12"/>
        <v>-3.382511965016509E-9</v>
      </c>
      <c r="AD31" s="30" t="str">
        <f t="shared" si="13"/>
        <v>0.0125663706i</v>
      </c>
      <c r="AE31" s="30" t="str">
        <f t="shared" si="25"/>
        <v>1+0.0125663706i</v>
      </c>
      <c r="AF31" s="30" t="e">
        <f t="shared" si="14"/>
        <v>#VALUE!</v>
      </c>
      <c r="AG31" t="e">
        <f t="shared" si="15"/>
        <v>#VALUE!</v>
      </c>
      <c r="AH31" t="str">
        <f t="shared" si="26"/>
        <v>1+0.0125663706i</v>
      </c>
      <c r="AI31" s="299" t="e">
        <f t="shared" si="27"/>
        <v>#VALUE!</v>
      </c>
      <c r="AK31" t="e">
        <f t="shared" si="28"/>
        <v>#VALUE!</v>
      </c>
      <c r="AM31" t="e">
        <f t="shared" si="29"/>
        <v>#VALUE!</v>
      </c>
      <c r="AN31" t="e">
        <f t="shared" si="16"/>
        <v>#VALUE!</v>
      </c>
    </row>
    <row r="32" spans="1:40" x14ac:dyDescent="0.2">
      <c r="A32" s="335">
        <v>200</v>
      </c>
      <c r="B32" s="352">
        <f t="shared" si="17"/>
        <v>0.2</v>
      </c>
      <c r="C32" t="str">
        <f t="shared" si="0"/>
        <v>1256.63706i</v>
      </c>
      <c r="D32" s="30" t="str">
        <f t="shared" si="1"/>
        <v>-1579136.70056544</v>
      </c>
      <c r="E32" s="30" t="str">
        <f t="shared" si="2"/>
        <v>-1984401700.73666i</v>
      </c>
      <c r="G32" s="30" t="e">
        <f t="shared" si="3"/>
        <v>#VALUE!</v>
      </c>
      <c r="I32" s="30" t="e">
        <f t="shared" si="4"/>
        <v>#REF!</v>
      </c>
      <c r="J32" t="e">
        <f t="shared" si="18"/>
        <v>#REF!</v>
      </c>
      <c r="L32" s="30" t="e">
        <f t="shared" si="5"/>
        <v>#VALUE!</v>
      </c>
      <c r="M32" t="e">
        <f t="shared" si="6"/>
        <v>#VALUE!</v>
      </c>
      <c r="N32" t="e">
        <f t="shared" si="19"/>
        <v>#REF!</v>
      </c>
      <c r="O32" s="299" t="e">
        <f t="shared" si="20"/>
        <v>#VALUE!</v>
      </c>
      <c r="P32" s="651">
        <v>0</v>
      </c>
      <c r="Q32" s="397" t="str">
        <f t="shared" si="7"/>
        <v>1+0.000439822971i</v>
      </c>
      <c r="R32" s="397" t="str">
        <f t="shared" si="8"/>
        <v>-2.21975174244403E-10i</v>
      </c>
      <c r="S32" s="397" t="str">
        <f t="shared" si="9"/>
        <v>-1.57850504588521E-06</v>
      </c>
      <c r="T32" s="397" t="str">
        <f t="shared" si="21"/>
        <v>0.999998421494954+0.000439822749024826i</v>
      </c>
      <c r="U32" s="652">
        <v>1</v>
      </c>
      <c r="V32">
        <f t="shared" si="22"/>
        <v>1</v>
      </c>
      <c r="W32">
        <f t="shared" si="23"/>
        <v>0</v>
      </c>
      <c r="X32">
        <f t="shared" si="10"/>
        <v>0</v>
      </c>
      <c r="Z32" t="str">
        <f t="shared" si="11"/>
        <v>1.00000157850733-4.72289004721146E-10i</v>
      </c>
      <c r="AA32">
        <f t="shared" si="24"/>
        <v>1.3710729639650269E-5</v>
      </c>
      <c r="AB32">
        <f t="shared" si="12"/>
        <v>-2.7060123997272546E-8</v>
      </c>
      <c r="AD32" s="30" t="str">
        <f t="shared" si="13"/>
        <v>0.0251327412i</v>
      </c>
      <c r="AE32" s="30" t="str">
        <f t="shared" si="25"/>
        <v>1+0.0251327412i</v>
      </c>
      <c r="AF32" s="30" t="e">
        <f t="shared" si="14"/>
        <v>#VALUE!</v>
      </c>
      <c r="AG32" t="e">
        <f t="shared" si="15"/>
        <v>#VALUE!</v>
      </c>
      <c r="AH32" t="str">
        <f t="shared" si="26"/>
        <v>1+0.0251327412i</v>
      </c>
      <c r="AI32" s="299" t="e">
        <f t="shared" si="27"/>
        <v>#VALUE!</v>
      </c>
      <c r="AK32" t="e">
        <f t="shared" si="28"/>
        <v>#VALUE!</v>
      </c>
      <c r="AM32" t="e">
        <f t="shared" si="29"/>
        <v>#VALUE!</v>
      </c>
      <c r="AN32" t="e">
        <f t="shared" si="16"/>
        <v>#VALUE!</v>
      </c>
    </row>
    <row r="33" spans="1:40" x14ac:dyDescent="0.2">
      <c r="A33" s="335">
        <v>300</v>
      </c>
      <c r="B33" s="352">
        <f t="shared" si="17"/>
        <v>0.3</v>
      </c>
      <c r="C33" t="str">
        <f t="shared" si="0"/>
        <v>1884.95559i</v>
      </c>
      <c r="D33" s="30" t="str">
        <f t="shared" si="1"/>
        <v>-3553057.57627225</v>
      </c>
      <c r="E33" s="30" t="str">
        <f t="shared" si="2"/>
        <v>-6697355739.98623i</v>
      </c>
      <c r="G33" s="30" t="e">
        <f t="shared" si="3"/>
        <v>#VALUE!</v>
      </c>
      <c r="I33" s="30" t="e">
        <f t="shared" si="4"/>
        <v>#REF!</v>
      </c>
      <c r="J33" t="e">
        <f t="shared" si="18"/>
        <v>#REF!</v>
      </c>
      <c r="L33" s="30" t="e">
        <f t="shared" si="5"/>
        <v>#VALUE!</v>
      </c>
      <c r="M33" t="e">
        <f t="shared" si="6"/>
        <v>#VALUE!</v>
      </c>
      <c r="N33" t="e">
        <f t="shared" si="19"/>
        <v>#REF!</v>
      </c>
      <c r="O33" s="299" t="e">
        <f t="shared" si="20"/>
        <v>#VALUE!</v>
      </c>
      <c r="P33" s="651">
        <v>0</v>
      </c>
      <c r="Q33" s="397" t="str">
        <f t="shared" si="7"/>
        <v>1+0.0006597344565i</v>
      </c>
      <c r="R33" s="397" t="str">
        <f t="shared" si="8"/>
        <v>-7.4916621307486E-10i</v>
      </c>
      <c r="S33" s="397" t="str">
        <f t="shared" si="9"/>
        <v>-3.55163635324174E-06</v>
      </c>
      <c r="T33" s="397" t="str">
        <f t="shared" si="21"/>
        <v>0.999996448363647+0.000659733707333787i</v>
      </c>
      <c r="U33" s="652">
        <v>1</v>
      </c>
      <c r="V33">
        <f t="shared" si="22"/>
        <v>1</v>
      </c>
      <c r="W33">
        <f t="shared" si="23"/>
        <v>0</v>
      </c>
      <c r="X33">
        <f t="shared" si="10"/>
        <v>0</v>
      </c>
      <c r="Z33" t="str">
        <f t="shared" si="11"/>
        <v>1.00000355164792-1.59398129480179E-09i</v>
      </c>
      <c r="AA33">
        <f t="shared" si="24"/>
        <v>3.084916708360373E-5</v>
      </c>
      <c r="AB33">
        <f t="shared" si="12"/>
        <v>-9.1328076554125626E-8</v>
      </c>
      <c r="AD33" s="30" t="str">
        <f t="shared" si="13"/>
        <v>0.0376991118i</v>
      </c>
      <c r="AE33" s="30" t="str">
        <f t="shared" si="25"/>
        <v>1+0.0376991118i</v>
      </c>
      <c r="AF33" s="30" t="e">
        <f t="shared" si="14"/>
        <v>#VALUE!</v>
      </c>
      <c r="AG33" t="e">
        <f t="shared" si="15"/>
        <v>#VALUE!</v>
      </c>
      <c r="AH33" t="str">
        <f t="shared" si="26"/>
        <v>1+0.0376991118i</v>
      </c>
      <c r="AI33" s="299" t="e">
        <f t="shared" si="27"/>
        <v>#VALUE!</v>
      </c>
      <c r="AK33" t="e">
        <f t="shared" si="28"/>
        <v>#VALUE!</v>
      </c>
      <c r="AM33" t="e">
        <f t="shared" si="29"/>
        <v>#VALUE!</v>
      </c>
      <c r="AN33" t="e">
        <f t="shared" si="16"/>
        <v>#VALUE!</v>
      </c>
    </row>
    <row r="34" spans="1:40" x14ac:dyDescent="0.2">
      <c r="A34" s="335">
        <v>400</v>
      </c>
      <c r="B34" s="352">
        <f t="shared" si="17"/>
        <v>0.4</v>
      </c>
      <c r="C34" t="str">
        <f t="shared" si="0"/>
        <v>2513.27412i</v>
      </c>
      <c r="D34" s="30" t="str">
        <f t="shared" si="1"/>
        <v>-6316546.80226177</v>
      </c>
      <c r="E34" s="30" t="str">
        <f t="shared" si="2"/>
        <v>-15875213605.8933i</v>
      </c>
      <c r="G34" s="30" t="e">
        <f t="shared" si="3"/>
        <v>#VALUE!</v>
      </c>
      <c r="I34" s="30" t="e">
        <f t="shared" si="4"/>
        <v>#REF!</v>
      </c>
      <c r="J34" t="e">
        <f t="shared" si="18"/>
        <v>#REF!</v>
      </c>
      <c r="L34" s="30" t="e">
        <f t="shared" si="5"/>
        <v>#VALUE!</v>
      </c>
      <c r="M34" t="e">
        <f t="shared" si="6"/>
        <v>#VALUE!</v>
      </c>
      <c r="N34" t="e">
        <f t="shared" si="19"/>
        <v>#REF!</v>
      </c>
      <c r="O34" s="299" t="e">
        <f t="shared" si="20"/>
        <v>#VALUE!</v>
      </c>
      <c r="P34" s="651">
        <v>0</v>
      </c>
      <c r="Q34" s="397" t="str">
        <f t="shared" si="7"/>
        <v>1+0.000879645942i</v>
      </c>
      <c r="R34" s="397" t="str">
        <f t="shared" si="8"/>
        <v>-1.77580139395522E-09i</v>
      </c>
      <c r="S34" s="397" t="str">
        <f t="shared" si="9"/>
        <v>-6.31402018354087E-06</v>
      </c>
      <c r="T34" s="397" t="str">
        <f t="shared" si="21"/>
        <v>0.999993685979816+0.000879644166198606i</v>
      </c>
      <c r="U34" s="652">
        <v>1</v>
      </c>
      <c r="V34">
        <f t="shared" si="22"/>
        <v>1</v>
      </c>
      <c r="W34">
        <f t="shared" si="23"/>
        <v>0</v>
      </c>
      <c r="X34">
        <f t="shared" si="10"/>
        <v>0</v>
      </c>
      <c r="Z34" t="str">
        <f t="shared" si="11"/>
        <v>1.00000631405673-3.77834562794476E-09i</v>
      </c>
      <c r="AA34">
        <f t="shared" si="24"/>
        <v>5.4843026783634755E-5</v>
      </c>
      <c r="AB34">
        <f t="shared" si="12"/>
        <v>-2.1648189139136651E-7</v>
      </c>
      <c r="AD34" s="30" t="str">
        <f t="shared" si="13"/>
        <v>0.0502654824i</v>
      </c>
      <c r="AE34" s="30" t="str">
        <f t="shared" si="25"/>
        <v>1+0.0502654824i</v>
      </c>
      <c r="AF34" s="30" t="e">
        <f t="shared" si="14"/>
        <v>#VALUE!</v>
      </c>
      <c r="AG34" t="e">
        <f t="shared" si="15"/>
        <v>#VALUE!</v>
      </c>
      <c r="AH34" t="str">
        <f t="shared" si="26"/>
        <v>1+0.0502654824i</v>
      </c>
      <c r="AI34" s="299" t="e">
        <f t="shared" si="27"/>
        <v>#VALUE!</v>
      </c>
      <c r="AK34" t="e">
        <f t="shared" si="28"/>
        <v>#VALUE!</v>
      </c>
      <c r="AM34" t="e">
        <f t="shared" si="29"/>
        <v>#VALUE!</v>
      </c>
      <c r="AN34" t="e">
        <f t="shared" si="16"/>
        <v>#VALUE!</v>
      </c>
    </row>
    <row r="35" spans="1:40" x14ac:dyDescent="0.2">
      <c r="A35" s="335">
        <v>500</v>
      </c>
      <c r="B35" s="352">
        <f t="shared" si="17"/>
        <v>0.5</v>
      </c>
      <c r="C35" t="str">
        <f t="shared" si="0"/>
        <v>3141.59265i</v>
      </c>
      <c r="D35" s="30" t="str">
        <f t="shared" si="1"/>
        <v>-9869604.37853402</v>
      </c>
      <c r="E35" s="30" t="str">
        <f t="shared" si="2"/>
        <v>-31006276574.0103i</v>
      </c>
      <c r="G35" s="30" t="e">
        <f t="shared" si="3"/>
        <v>#VALUE!</v>
      </c>
      <c r="I35" s="30" t="e">
        <f t="shared" si="4"/>
        <v>#REF!</v>
      </c>
      <c r="J35" t="e">
        <f t="shared" si="18"/>
        <v>#REF!</v>
      </c>
      <c r="L35" s="30" t="e">
        <f t="shared" si="5"/>
        <v>#VALUE!</v>
      </c>
      <c r="M35" t="e">
        <f t="shared" si="6"/>
        <v>#VALUE!</v>
      </c>
      <c r="N35" t="e">
        <f t="shared" si="19"/>
        <v>#REF!</v>
      </c>
      <c r="O35" s="299" t="e">
        <f t="shared" si="20"/>
        <v>#VALUE!</v>
      </c>
      <c r="P35" s="651">
        <v>0</v>
      </c>
      <c r="Q35" s="397" t="str">
        <f t="shared" si="7"/>
        <v>1+0.0010995574275i</v>
      </c>
      <c r="R35" s="397" t="str">
        <f t="shared" si="8"/>
        <v>-3.46836209756879E-09i</v>
      </c>
      <c r="S35" s="397" t="str">
        <f t="shared" si="9"/>
        <v>-9.86565653678261E-06</v>
      </c>
      <c r="T35" s="397" t="str">
        <f t="shared" si="21"/>
        <v>0.999990134343463+0.0010995539591379i</v>
      </c>
      <c r="U35" s="652">
        <v>1</v>
      </c>
      <c r="V35">
        <f t="shared" si="22"/>
        <v>1</v>
      </c>
      <c r="W35">
        <f t="shared" si="23"/>
        <v>0</v>
      </c>
      <c r="X35">
        <f t="shared" si="10"/>
        <v>0</v>
      </c>
      <c r="Z35" t="str">
        <f t="shared" si="11"/>
        <v>1.00000986574575-7.37963050952798E-09i</v>
      </c>
      <c r="AA35">
        <f t="shared" si="24"/>
        <v>8.5692356072072088E-5</v>
      </c>
      <c r="AB35">
        <f t="shared" si="12"/>
        <v>-4.228175116350063E-7</v>
      </c>
      <c r="AD35" s="30" t="str">
        <f t="shared" si="13"/>
        <v>0.062831853i</v>
      </c>
      <c r="AE35" s="30" t="str">
        <f t="shared" si="25"/>
        <v>1+0.062831853i</v>
      </c>
      <c r="AF35" s="30" t="e">
        <f t="shared" si="14"/>
        <v>#VALUE!</v>
      </c>
      <c r="AG35" t="e">
        <f t="shared" si="15"/>
        <v>#VALUE!</v>
      </c>
      <c r="AH35" t="str">
        <f t="shared" si="26"/>
        <v>1+0.062831853i</v>
      </c>
      <c r="AI35" s="299" t="e">
        <f t="shared" si="27"/>
        <v>#VALUE!</v>
      </c>
      <c r="AK35" t="e">
        <f t="shared" si="28"/>
        <v>#VALUE!</v>
      </c>
      <c r="AM35" t="e">
        <f t="shared" si="29"/>
        <v>#VALUE!</v>
      </c>
      <c r="AN35" t="e">
        <f t="shared" si="16"/>
        <v>#VALUE!</v>
      </c>
    </row>
    <row r="36" spans="1:40" x14ac:dyDescent="0.2">
      <c r="A36" s="335">
        <v>600</v>
      </c>
      <c r="B36" s="352">
        <f t="shared" si="17"/>
        <v>0.6</v>
      </c>
      <c r="C36" t="str">
        <f t="shared" si="0"/>
        <v>3769.91118i</v>
      </c>
      <c r="D36" s="30" t="str">
        <f t="shared" si="1"/>
        <v>-14212230.305089</v>
      </c>
      <c r="E36" s="30" t="str">
        <f t="shared" si="2"/>
        <v>-53578845919.8898i</v>
      </c>
      <c r="G36" s="30" t="e">
        <f t="shared" si="3"/>
        <v>#VALUE!</v>
      </c>
      <c r="I36" s="30" t="e">
        <f t="shared" si="4"/>
        <v>#REF!</v>
      </c>
      <c r="J36" t="e">
        <f t="shared" si="18"/>
        <v>#REF!</v>
      </c>
      <c r="L36" s="30" t="e">
        <f t="shared" si="5"/>
        <v>#VALUE!</v>
      </c>
      <c r="M36" t="e">
        <f t="shared" si="6"/>
        <v>#VALUE!</v>
      </c>
      <c r="N36" t="e">
        <f t="shared" si="19"/>
        <v>#REF!</v>
      </c>
      <c r="O36" s="299" t="e">
        <f t="shared" si="20"/>
        <v>#VALUE!</v>
      </c>
      <c r="P36" s="651">
        <v>0</v>
      </c>
      <c r="Q36" s="397" t="str">
        <f t="shared" si="7"/>
        <v>1+0.001319468913i</v>
      </c>
      <c r="R36" s="397" t="str">
        <f t="shared" si="8"/>
        <v>-5.99332970459887E-09i</v>
      </c>
      <c r="S36" s="397" t="str">
        <f t="shared" si="9"/>
        <v>-0.000014206545412967</v>
      </c>
      <c r="T36" s="397" t="str">
        <f t="shared" si="21"/>
        <v>0.999985793454587+0.0013194629196703i</v>
      </c>
      <c r="U36" s="652">
        <v>1</v>
      </c>
      <c r="V36">
        <f t="shared" si="22"/>
        <v>1</v>
      </c>
      <c r="W36">
        <f t="shared" si="23"/>
        <v>0</v>
      </c>
      <c r="X36">
        <f t="shared" si="10"/>
        <v>0</v>
      </c>
      <c r="Z36" t="str">
        <f t="shared" si="11"/>
        <v>1.00001420673042-1.27521054564846E-08i</v>
      </c>
      <c r="AA36">
        <f t="shared" si="24"/>
        <v>1.2339721601309145E-4</v>
      </c>
      <c r="AB36">
        <f t="shared" si="12"/>
        <v>-7.3063144351324126E-7</v>
      </c>
      <c r="AD36" s="30" t="str">
        <f t="shared" si="13"/>
        <v>0.0753982236i</v>
      </c>
      <c r="AE36" s="30" t="str">
        <f t="shared" si="25"/>
        <v>1+0.0753982236i</v>
      </c>
      <c r="AF36" s="30" t="e">
        <f t="shared" si="14"/>
        <v>#VALUE!</v>
      </c>
      <c r="AG36" t="e">
        <f t="shared" si="15"/>
        <v>#VALUE!</v>
      </c>
      <c r="AH36" t="str">
        <f t="shared" si="26"/>
        <v>1+0.0753982236i</v>
      </c>
      <c r="AI36" s="299" t="e">
        <f t="shared" si="27"/>
        <v>#VALUE!</v>
      </c>
      <c r="AK36" t="e">
        <f t="shared" si="28"/>
        <v>#VALUE!</v>
      </c>
      <c r="AM36" t="e">
        <f t="shared" si="29"/>
        <v>#VALUE!</v>
      </c>
      <c r="AN36" t="e">
        <f t="shared" si="16"/>
        <v>#VALUE!</v>
      </c>
    </row>
    <row r="37" spans="1:40" x14ac:dyDescent="0.2">
      <c r="A37" s="335">
        <v>700</v>
      </c>
      <c r="B37" s="352">
        <f t="shared" si="17"/>
        <v>0.7</v>
      </c>
      <c r="C37" t="str">
        <f t="shared" si="0"/>
        <v>4398.22971i</v>
      </c>
      <c r="D37" s="30" t="str">
        <f t="shared" si="1"/>
        <v>-19344424.5819267</v>
      </c>
      <c r="E37" s="30" t="str">
        <f t="shared" si="2"/>
        <v>-85081222919.0843i</v>
      </c>
      <c r="G37" s="30" t="e">
        <f t="shared" si="3"/>
        <v>#VALUE!</v>
      </c>
      <c r="I37" s="30" t="e">
        <f t="shared" si="4"/>
        <v>#REF!</v>
      </c>
      <c r="J37" t="e">
        <f t="shared" si="18"/>
        <v>#REF!</v>
      </c>
      <c r="L37" s="30" t="e">
        <f t="shared" si="5"/>
        <v>#VALUE!</v>
      </c>
      <c r="M37" t="e">
        <f t="shared" si="6"/>
        <v>#VALUE!</v>
      </c>
      <c r="N37" t="e">
        <f t="shared" si="19"/>
        <v>#REF!</v>
      </c>
      <c r="O37" s="299" t="e">
        <f t="shared" si="20"/>
        <v>#VALUE!</v>
      </c>
      <c r="P37" s="651">
        <v>0</v>
      </c>
      <c r="Q37" s="397" t="str">
        <f t="shared" si="7"/>
        <v>1+0.0015393803985i</v>
      </c>
      <c r="R37" s="397" t="str">
        <f t="shared" si="8"/>
        <v>-9.51718559572877E-09i</v>
      </c>
      <c r="S37" s="397" t="str">
        <f t="shared" si="9"/>
        <v>-0.0000193366868120939</v>
      </c>
      <c r="T37" s="397" t="str">
        <f t="shared" si="21"/>
        <v>0.999980663313188+0.0015393708813144i</v>
      </c>
      <c r="U37" s="652">
        <v>1</v>
      </c>
      <c r="V37">
        <f t="shared" si="22"/>
        <v>1</v>
      </c>
      <c r="W37">
        <f t="shared" si="23"/>
        <v>0</v>
      </c>
      <c r="X37">
        <f t="shared" si="10"/>
        <v>0</v>
      </c>
      <c r="Z37" t="str">
        <f t="shared" si="11"/>
        <v>1.00001933702955-2.02500661951286E-08i</v>
      </c>
      <c r="AA37">
        <f t="shared" si="24"/>
        <v>1.6795768070547058E-4</v>
      </c>
      <c r="AB37">
        <f t="shared" si="12"/>
        <v>-1.1602208939414706E-6</v>
      </c>
      <c r="AD37" s="30" t="str">
        <f t="shared" si="13"/>
        <v>0.0879645942i</v>
      </c>
      <c r="AE37" s="30" t="str">
        <f t="shared" si="25"/>
        <v>1+0.0879645942i</v>
      </c>
      <c r="AF37" s="30" t="e">
        <f t="shared" si="14"/>
        <v>#VALUE!</v>
      </c>
      <c r="AG37" t="e">
        <f t="shared" si="15"/>
        <v>#VALUE!</v>
      </c>
      <c r="AH37" t="str">
        <f t="shared" si="26"/>
        <v>1+0.0879645942i</v>
      </c>
      <c r="AI37" s="299" t="e">
        <f t="shared" si="27"/>
        <v>#VALUE!</v>
      </c>
      <c r="AK37" t="e">
        <f t="shared" si="28"/>
        <v>#VALUE!</v>
      </c>
      <c r="AM37" t="e">
        <f t="shared" si="29"/>
        <v>#VALUE!</v>
      </c>
      <c r="AN37" t="e">
        <f t="shared" si="16"/>
        <v>#VALUE!</v>
      </c>
    </row>
    <row r="38" spans="1:40" x14ac:dyDescent="0.2">
      <c r="A38" s="335">
        <v>800</v>
      </c>
      <c r="B38" s="352">
        <f t="shared" si="17"/>
        <v>0.8</v>
      </c>
      <c r="C38" t="str">
        <f t="shared" si="0"/>
        <v>5026.54824i</v>
      </c>
      <c r="D38" s="30" t="str">
        <f t="shared" si="1"/>
        <v>-25266187.2090471</v>
      </c>
      <c r="E38" s="30" t="str">
        <f t="shared" si="2"/>
        <v>-127001708847.146i</v>
      </c>
      <c r="G38" s="30" t="e">
        <f t="shared" si="3"/>
        <v>#VALUE!</v>
      </c>
      <c r="I38" s="30" t="e">
        <f t="shared" si="4"/>
        <v>#REF!</v>
      </c>
      <c r="J38" t="e">
        <f t="shared" si="18"/>
        <v>#REF!</v>
      </c>
      <c r="L38" s="30" t="e">
        <f t="shared" si="5"/>
        <v>#VALUE!</v>
      </c>
      <c r="M38" t="e">
        <f t="shared" si="6"/>
        <v>#VALUE!</v>
      </c>
      <c r="N38" t="e">
        <f t="shared" si="19"/>
        <v>#REF!</v>
      </c>
      <c r="O38" s="299" t="e">
        <f t="shared" si="20"/>
        <v>#VALUE!</v>
      </c>
      <c r="P38" s="651">
        <v>0</v>
      </c>
      <c r="Q38" s="397" t="str">
        <f t="shared" si="7"/>
        <v>1+0.001759291884i</v>
      </c>
      <c r="R38" s="397" t="str">
        <f t="shared" si="8"/>
        <v>-1.42064111516417E-08i</v>
      </c>
      <c r="S38" s="397" t="str">
        <f t="shared" si="9"/>
        <v>-0.0000252560807341635</v>
      </c>
      <c r="T38" s="397" t="str">
        <f t="shared" si="21"/>
        <v>0.999974743919266+0.00175927767758885i</v>
      </c>
      <c r="U38" s="652">
        <v>1</v>
      </c>
      <c r="V38">
        <f t="shared" si="22"/>
        <v>1</v>
      </c>
      <c r="W38">
        <f t="shared" si="23"/>
        <v>0</v>
      </c>
      <c r="X38">
        <f t="shared" si="10"/>
        <v>0</v>
      </c>
      <c r="Z38" t="str">
        <f t="shared" si="11"/>
        <v>1.00002525666544-3.02278400042037E-08i</v>
      </c>
      <c r="AA38">
        <f t="shared" si="24"/>
        <v>2.1937383832667357E-4</v>
      </c>
      <c r="AB38">
        <f t="shared" si="12"/>
        <v>-1.7318839164039424E-6</v>
      </c>
      <c r="AD38" s="30" t="str">
        <f t="shared" si="13"/>
        <v>0.1005309648i</v>
      </c>
      <c r="AE38" s="30" t="str">
        <f t="shared" si="25"/>
        <v>1+0.1005309648i</v>
      </c>
      <c r="AF38" s="30" t="e">
        <f t="shared" si="14"/>
        <v>#VALUE!</v>
      </c>
      <c r="AG38" t="e">
        <f t="shared" si="15"/>
        <v>#VALUE!</v>
      </c>
      <c r="AH38" t="str">
        <f t="shared" si="26"/>
        <v>1+0.1005309648i</v>
      </c>
      <c r="AI38" s="299" t="e">
        <f t="shared" si="27"/>
        <v>#VALUE!</v>
      </c>
      <c r="AK38" t="e">
        <f t="shared" si="28"/>
        <v>#VALUE!</v>
      </c>
      <c r="AM38" t="e">
        <f t="shared" si="29"/>
        <v>#VALUE!</v>
      </c>
      <c r="AN38" t="e">
        <f t="shared" si="16"/>
        <v>#VALUE!</v>
      </c>
    </row>
    <row r="39" spans="1:40" x14ac:dyDescent="0.2">
      <c r="A39" s="335">
        <v>900</v>
      </c>
      <c r="B39" s="352">
        <f t="shared" si="17"/>
        <v>0.9</v>
      </c>
      <c r="C39" t="str">
        <f t="shared" si="0"/>
        <v>5654.86677i</v>
      </c>
      <c r="D39" s="30" t="str">
        <f t="shared" si="1"/>
        <v>-31977518.1864502</v>
      </c>
      <c r="E39" s="30" t="str">
        <f t="shared" si="2"/>
        <v>-180828604979.628i</v>
      </c>
      <c r="G39" s="30" t="e">
        <f t="shared" si="3"/>
        <v>#VALUE!</v>
      </c>
      <c r="I39" s="30" t="e">
        <f t="shared" si="4"/>
        <v>#REF!</v>
      </c>
      <c r="J39" t="e">
        <f t="shared" si="18"/>
        <v>#REF!</v>
      </c>
      <c r="L39" s="30" t="e">
        <f t="shared" si="5"/>
        <v>#VALUE!</v>
      </c>
      <c r="M39" t="e">
        <f t="shared" si="6"/>
        <v>#VALUE!</v>
      </c>
      <c r="N39" t="e">
        <f t="shared" si="19"/>
        <v>#REF!</v>
      </c>
      <c r="O39" s="299" t="e">
        <f t="shared" si="20"/>
        <v>#VALUE!</v>
      </c>
      <c r="P39" s="651">
        <v>0</v>
      </c>
      <c r="Q39" s="397" t="str">
        <f t="shared" si="7"/>
        <v>1+0.0019792033695i</v>
      </c>
      <c r="R39" s="397" t="str">
        <f t="shared" si="8"/>
        <v>-2.02274877530212E-08i</v>
      </c>
      <c r="S39" s="397" t="str">
        <f t="shared" si="9"/>
        <v>-0.0000319647271791756</v>
      </c>
      <c r="T39" s="397" t="str">
        <f t="shared" si="21"/>
        <v>0.999968035272821+0.00197918314201225i</v>
      </c>
      <c r="U39" s="652">
        <v>1</v>
      </c>
      <c r="V39">
        <f t="shared" si="22"/>
        <v>1</v>
      </c>
      <c r="W39">
        <f t="shared" si="23"/>
        <v>0</v>
      </c>
      <c r="X39">
        <f t="shared" si="10"/>
        <v>0</v>
      </c>
      <c r="Z39" t="str">
        <f t="shared" si="11"/>
        <v>1.00003196566377-4.30397908600739E-08i</v>
      </c>
      <c r="AA39">
        <f t="shared" si="24"/>
        <v>2.7764579017865241E-4</v>
      </c>
      <c r="AB39">
        <f t="shared" si="12"/>
        <v>-2.4659195454707077E-6</v>
      </c>
      <c r="AD39" s="30" t="str">
        <f t="shared" si="13"/>
        <v>0.1130973354i</v>
      </c>
      <c r="AE39" s="30" t="str">
        <f t="shared" si="25"/>
        <v>1+0.1130973354i</v>
      </c>
      <c r="AF39" s="30" t="e">
        <f t="shared" si="14"/>
        <v>#VALUE!</v>
      </c>
      <c r="AG39" t="e">
        <f t="shared" si="15"/>
        <v>#VALUE!</v>
      </c>
      <c r="AH39" t="str">
        <f t="shared" si="26"/>
        <v>1+0.1130973354i</v>
      </c>
      <c r="AI39" s="299" t="e">
        <f t="shared" si="27"/>
        <v>#VALUE!</v>
      </c>
      <c r="AK39" t="e">
        <f t="shared" si="28"/>
        <v>#VALUE!</v>
      </c>
      <c r="AM39" t="e">
        <f t="shared" si="29"/>
        <v>#VALUE!</v>
      </c>
      <c r="AN39" t="e">
        <f t="shared" si="16"/>
        <v>#VALUE!</v>
      </c>
    </row>
    <row r="40" spans="1:40" x14ac:dyDescent="0.2">
      <c r="A40" s="335">
        <v>1000</v>
      </c>
      <c r="B40" s="352">
        <f t="shared" si="17"/>
        <v>1</v>
      </c>
      <c r="C40" t="str">
        <f t="shared" si="0"/>
        <v>6283.1853i</v>
      </c>
      <c r="D40" s="30" t="str">
        <f t="shared" si="1"/>
        <v>-39478417.5141361</v>
      </c>
      <c r="E40" s="30" t="str">
        <f t="shared" si="2"/>
        <v>-248050212592.082i</v>
      </c>
      <c r="G40" s="30" t="e">
        <f t="shared" si="3"/>
        <v>#VALUE!</v>
      </c>
      <c r="I40" s="30" t="e">
        <f t="shared" si="4"/>
        <v>#REF!</v>
      </c>
      <c r="J40" t="e">
        <f t="shared" si="18"/>
        <v>#REF!</v>
      </c>
      <c r="L40" s="30" t="e">
        <f t="shared" si="5"/>
        <v>#VALUE!</v>
      </c>
      <c r="M40" t="e">
        <f t="shared" si="6"/>
        <v>#VALUE!</v>
      </c>
      <c r="N40" t="e">
        <f t="shared" si="19"/>
        <v>#REF!</v>
      </c>
      <c r="O40" s="299" t="e">
        <f t="shared" si="20"/>
        <v>#VALUE!</v>
      </c>
      <c r="P40" s="651">
        <v>0</v>
      </c>
      <c r="Q40" s="397" t="str">
        <f t="shared" si="7"/>
        <v>1+0.002199114855i</v>
      </c>
      <c r="R40" s="397" t="str">
        <f t="shared" si="8"/>
        <v>-2.77468967805503E-08i</v>
      </c>
      <c r="S40" s="397" t="str">
        <f t="shared" si="9"/>
        <v>-0.0000394626261471304</v>
      </c>
      <c r="T40" s="397" t="str">
        <f t="shared" si="21"/>
        <v>0.999960537373853+0.00219908710810322i</v>
      </c>
      <c r="U40" s="652">
        <v>1</v>
      </c>
      <c r="V40">
        <f t="shared" si="22"/>
        <v>1</v>
      </c>
      <c r="W40">
        <f t="shared" si="23"/>
        <v>0</v>
      </c>
      <c r="X40">
        <f t="shared" si="10"/>
        <v>0</v>
      </c>
      <c r="Z40" t="str">
        <f t="shared" si="11"/>
        <v>1.00003946405367-5.90403247598128E-08i</v>
      </c>
      <c r="AA40">
        <f t="shared" si="24"/>
        <v>3.4277365128982361E-4</v>
      </c>
      <c r="AB40">
        <f t="shared" si="12"/>
        <v>-3.3826279414737456E-6</v>
      </c>
      <c r="AD40" s="30" t="str">
        <f t="shared" si="13"/>
        <v>0.125663706i</v>
      </c>
      <c r="AE40" s="30" t="str">
        <f t="shared" si="25"/>
        <v>1+0.125663706i</v>
      </c>
      <c r="AF40" s="30" t="e">
        <f t="shared" si="14"/>
        <v>#VALUE!</v>
      </c>
      <c r="AG40" t="e">
        <f t="shared" si="15"/>
        <v>#VALUE!</v>
      </c>
      <c r="AH40" t="str">
        <f t="shared" si="26"/>
        <v>1+0.125663706i</v>
      </c>
      <c r="AI40" s="299" t="e">
        <f t="shared" si="27"/>
        <v>#VALUE!</v>
      </c>
      <c r="AK40" t="e">
        <f t="shared" si="28"/>
        <v>#VALUE!</v>
      </c>
      <c r="AM40" t="e">
        <f t="shared" si="29"/>
        <v>#VALUE!</v>
      </c>
      <c r="AN40" t="e">
        <f t="shared" si="16"/>
        <v>#VALUE!</v>
      </c>
    </row>
    <row r="41" spans="1:40" x14ac:dyDescent="0.2">
      <c r="A41" s="335">
        <v>2000</v>
      </c>
      <c r="B41" s="352">
        <f t="shared" si="17"/>
        <v>2</v>
      </c>
      <c r="C41" t="str">
        <f t="shared" si="0"/>
        <v>12566.3706i</v>
      </c>
      <c r="D41" s="30" t="str">
        <f t="shared" si="1"/>
        <v>-157913670.056544</v>
      </c>
      <c r="E41" s="30" t="str">
        <f t="shared" si="2"/>
        <v>-1984401700736.66i</v>
      </c>
      <c r="G41" s="30" t="e">
        <f t="shared" si="3"/>
        <v>#VALUE!</v>
      </c>
      <c r="I41" s="30" t="e">
        <f t="shared" si="4"/>
        <v>#REF!</v>
      </c>
      <c r="J41" t="e">
        <f t="shared" si="18"/>
        <v>#REF!</v>
      </c>
      <c r="L41" s="30" t="e">
        <f t="shared" si="5"/>
        <v>#VALUE!</v>
      </c>
      <c r="M41" t="e">
        <f t="shared" si="6"/>
        <v>#VALUE!</v>
      </c>
      <c r="N41" t="e">
        <f t="shared" si="19"/>
        <v>#REF!</v>
      </c>
      <c r="O41" s="299" t="e">
        <f t="shared" si="20"/>
        <v>#VALUE!</v>
      </c>
      <c r="P41" s="651">
        <v>0</v>
      </c>
      <c r="Q41" s="397" t="str">
        <f t="shared" si="7"/>
        <v>1+0.00439822971i</v>
      </c>
      <c r="R41" s="397" t="str">
        <f t="shared" si="8"/>
        <v>-2.21975174244403E-07i</v>
      </c>
      <c r="S41" s="397" t="str">
        <f t="shared" si="9"/>
        <v>-0.000157850504588521</v>
      </c>
      <c r="T41" s="397" t="str">
        <f t="shared" si="21"/>
        <v>0.999842149495412+0.00439800773482576i</v>
      </c>
      <c r="U41" s="652">
        <v>1</v>
      </c>
      <c r="V41">
        <f t="shared" si="22"/>
        <v>1</v>
      </c>
      <c r="W41">
        <f t="shared" si="23"/>
        <v>0</v>
      </c>
      <c r="X41">
        <f t="shared" si="10"/>
        <v>0</v>
      </c>
      <c r="Z41" t="str">
        <f t="shared" si="11"/>
        <v>1.00015787334724-4.72427600959129E-07i</v>
      </c>
      <c r="AA41">
        <f t="shared" si="24"/>
        <v>1.3711622397485389E-3</v>
      </c>
      <c r="AB41">
        <f t="shared" si="12"/>
        <v>-2.7063835033150666E-5</v>
      </c>
      <c r="AD41" s="30" t="str">
        <f t="shared" si="13"/>
        <v>0.251327412i</v>
      </c>
      <c r="AE41" s="30" t="str">
        <f t="shared" si="25"/>
        <v>1+0.251327412i</v>
      </c>
      <c r="AF41" s="30" t="e">
        <f t="shared" si="14"/>
        <v>#VALUE!</v>
      </c>
      <c r="AG41" t="e">
        <f t="shared" si="15"/>
        <v>#VALUE!</v>
      </c>
      <c r="AH41" t="str">
        <f t="shared" si="26"/>
        <v>1+0.251327412i</v>
      </c>
      <c r="AI41" s="299" t="e">
        <f t="shared" si="27"/>
        <v>#VALUE!</v>
      </c>
      <c r="AK41" t="e">
        <f t="shared" si="28"/>
        <v>#VALUE!</v>
      </c>
      <c r="AM41" t="e">
        <f t="shared" si="29"/>
        <v>#VALUE!</v>
      </c>
      <c r="AN41" t="e">
        <f t="shared" si="16"/>
        <v>#VALUE!</v>
      </c>
    </row>
    <row r="42" spans="1:40" x14ac:dyDescent="0.2">
      <c r="A42" s="335">
        <v>3000</v>
      </c>
      <c r="B42" s="352">
        <f t="shared" si="17"/>
        <v>3</v>
      </c>
      <c r="C42" t="str">
        <f t="shared" si="0"/>
        <v>18849.5559i</v>
      </c>
      <c r="D42" s="30" t="str">
        <f t="shared" si="1"/>
        <v>-355305757.627225</v>
      </c>
      <c r="E42" s="30" t="str">
        <f t="shared" si="2"/>
        <v>-6697355739986.23i</v>
      </c>
      <c r="G42" s="30" t="e">
        <f t="shared" si="3"/>
        <v>#VALUE!</v>
      </c>
      <c r="I42" s="30" t="e">
        <f t="shared" si="4"/>
        <v>#REF!</v>
      </c>
      <c r="J42" t="e">
        <f t="shared" si="18"/>
        <v>#REF!</v>
      </c>
      <c r="L42" s="30" t="e">
        <f t="shared" si="5"/>
        <v>#VALUE!</v>
      </c>
      <c r="M42" t="e">
        <f t="shared" si="6"/>
        <v>#VALUE!</v>
      </c>
      <c r="N42" t="e">
        <f t="shared" si="19"/>
        <v>#REF!</v>
      </c>
      <c r="O42" s="299" t="e">
        <f t="shared" si="20"/>
        <v>#VALUE!</v>
      </c>
      <c r="P42" s="651">
        <v>0</v>
      </c>
      <c r="Q42" s="397" t="str">
        <f t="shared" si="7"/>
        <v>1+0.006597344565i</v>
      </c>
      <c r="R42" s="397" t="str">
        <f t="shared" si="8"/>
        <v>-7.4916621307486E-07i</v>
      </c>
      <c r="S42" s="397" t="str">
        <f t="shared" si="9"/>
        <v>-0.000355163635324174</v>
      </c>
      <c r="T42" s="397" t="str">
        <f t="shared" si="21"/>
        <v>0.999644836364676+0.00659659539878692i</v>
      </c>
      <c r="U42" s="652">
        <v>1</v>
      </c>
      <c r="V42">
        <f t="shared" si="22"/>
        <v>1</v>
      </c>
      <c r="W42">
        <f t="shared" si="23"/>
        <v>0</v>
      </c>
      <c r="X42">
        <f t="shared" si="10"/>
        <v>0</v>
      </c>
      <c r="Z42" t="str">
        <f t="shared" si="11"/>
        <v>1.00035527929582-1.59503405307709E-06i</v>
      </c>
      <c r="AA42">
        <f t="shared" si="24"/>
        <v>3.0853687138606856E-3</v>
      </c>
      <c r="AB42">
        <f t="shared" si="12"/>
        <v>-9.135626253668961E-5</v>
      </c>
      <c r="AD42" s="30" t="str">
        <f t="shared" si="13"/>
        <v>0.376991118i</v>
      </c>
      <c r="AE42" s="30" t="str">
        <f t="shared" si="25"/>
        <v>1+0.376991118i</v>
      </c>
      <c r="AF42" s="30" t="e">
        <f t="shared" si="14"/>
        <v>#VALUE!</v>
      </c>
      <c r="AG42" t="e">
        <f t="shared" si="15"/>
        <v>#VALUE!</v>
      </c>
      <c r="AH42" t="str">
        <f t="shared" si="26"/>
        <v>1+0.376991118i</v>
      </c>
      <c r="AI42" s="299" t="e">
        <f t="shared" si="27"/>
        <v>#VALUE!</v>
      </c>
      <c r="AK42" t="e">
        <f t="shared" si="28"/>
        <v>#VALUE!</v>
      </c>
      <c r="AM42" t="e">
        <f t="shared" si="29"/>
        <v>#VALUE!</v>
      </c>
      <c r="AN42" t="e">
        <f t="shared" si="16"/>
        <v>#VALUE!</v>
      </c>
    </row>
    <row r="43" spans="1:40" x14ac:dyDescent="0.2">
      <c r="A43" s="335">
        <v>4000</v>
      </c>
      <c r="B43" s="352">
        <f t="shared" si="17"/>
        <v>4</v>
      </c>
      <c r="C43" t="str">
        <f t="shared" si="0"/>
        <v>25132.7412i</v>
      </c>
      <c r="D43" s="30" t="str">
        <f t="shared" si="1"/>
        <v>-631654680.226177</v>
      </c>
      <c r="E43" s="30" t="str">
        <f t="shared" si="2"/>
        <v>-15875213605893.3i</v>
      </c>
      <c r="G43" s="30" t="e">
        <f t="shared" si="3"/>
        <v>#VALUE!</v>
      </c>
      <c r="I43" s="30" t="e">
        <f t="shared" si="4"/>
        <v>#REF!</v>
      </c>
      <c r="J43" t="e">
        <f t="shared" si="18"/>
        <v>#REF!</v>
      </c>
      <c r="L43" s="30" t="e">
        <f t="shared" si="5"/>
        <v>#VALUE!</v>
      </c>
      <c r="M43" t="e">
        <f t="shared" si="6"/>
        <v>#VALUE!</v>
      </c>
      <c r="N43" t="e">
        <f t="shared" si="19"/>
        <v>#REF!</v>
      </c>
      <c r="O43" s="299" t="e">
        <f t="shared" si="20"/>
        <v>#VALUE!</v>
      </c>
      <c r="P43" s="651">
        <v>0</v>
      </c>
      <c r="Q43" s="397" t="str">
        <f t="shared" si="7"/>
        <v>1+0.00879645942i</v>
      </c>
      <c r="R43" s="397" t="str">
        <f t="shared" si="8"/>
        <v>-1.77580139395522E-06i</v>
      </c>
      <c r="S43" s="397" t="str">
        <f t="shared" si="9"/>
        <v>-0.000631402018354087</v>
      </c>
      <c r="T43" s="397" t="str">
        <f t="shared" si="21"/>
        <v>0.999368597981646+0.00879468361860604i</v>
      </c>
      <c r="U43" s="652">
        <v>1</v>
      </c>
      <c r="V43">
        <f t="shared" si="22"/>
        <v>1</v>
      </c>
      <c r="W43">
        <f t="shared" si="23"/>
        <v>0</v>
      </c>
      <c r="X43">
        <f t="shared" si="10"/>
        <v>0</v>
      </c>
      <c r="Z43" t="str">
        <f t="shared" si="11"/>
        <v>1.00063176764934-3.78278365967147E-06i</v>
      </c>
      <c r="AA43">
        <f t="shared" si="24"/>
        <v>5.4857314697180446E-3</v>
      </c>
      <c r="AB43">
        <f t="shared" si="12"/>
        <v>-2.1660069744338419E-4</v>
      </c>
      <c r="AD43" s="30" t="str">
        <f t="shared" si="13"/>
        <v>0.502654824i</v>
      </c>
      <c r="AE43" s="30" t="str">
        <f t="shared" si="25"/>
        <v>1+0.502654824i</v>
      </c>
      <c r="AF43" s="30" t="e">
        <f t="shared" si="14"/>
        <v>#VALUE!</v>
      </c>
      <c r="AG43" t="e">
        <f t="shared" si="15"/>
        <v>#VALUE!</v>
      </c>
      <c r="AH43" t="str">
        <f t="shared" si="26"/>
        <v>1+0.502654824i</v>
      </c>
      <c r="AI43" s="299" t="e">
        <f t="shared" si="27"/>
        <v>#VALUE!</v>
      </c>
      <c r="AK43" t="e">
        <f t="shared" si="28"/>
        <v>#VALUE!</v>
      </c>
      <c r="AM43" t="e">
        <f t="shared" si="29"/>
        <v>#VALUE!</v>
      </c>
      <c r="AN43" t="e">
        <f t="shared" si="16"/>
        <v>#VALUE!</v>
      </c>
    </row>
    <row r="44" spans="1:40" x14ac:dyDescent="0.2">
      <c r="A44" s="335">
        <v>5000</v>
      </c>
      <c r="B44" s="352">
        <f t="shared" si="17"/>
        <v>5</v>
      </c>
      <c r="C44" t="str">
        <f t="shared" si="0"/>
        <v>31415.9265i</v>
      </c>
      <c r="D44" s="30" t="str">
        <f t="shared" si="1"/>
        <v>-986960437.853402</v>
      </c>
      <c r="E44" s="30" t="str">
        <f t="shared" si="2"/>
        <v>-31006276574010.3i</v>
      </c>
      <c r="G44" s="30" t="e">
        <f t="shared" si="3"/>
        <v>#VALUE!</v>
      </c>
      <c r="I44" s="30" t="e">
        <f t="shared" si="4"/>
        <v>#REF!</v>
      </c>
      <c r="J44" t="e">
        <f t="shared" si="18"/>
        <v>#REF!</v>
      </c>
      <c r="L44" s="30" t="e">
        <f t="shared" si="5"/>
        <v>#VALUE!</v>
      </c>
      <c r="M44" t="e">
        <f t="shared" si="6"/>
        <v>#VALUE!</v>
      </c>
      <c r="N44" t="e">
        <f t="shared" si="19"/>
        <v>#REF!</v>
      </c>
      <c r="O44" s="299" t="e">
        <f t="shared" si="20"/>
        <v>#VALUE!</v>
      </c>
      <c r="P44" s="651">
        <v>0</v>
      </c>
      <c r="Q44" s="397" t="str">
        <f t="shared" si="7"/>
        <v>1+0.010995574275i</v>
      </c>
      <c r="R44" s="397" t="str">
        <f t="shared" si="8"/>
        <v>-3.46836209756879E-06i</v>
      </c>
      <c r="S44" s="397" t="str">
        <f t="shared" si="9"/>
        <v>-0.000986565653678261</v>
      </c>
      <c r="T44" s="397" t="str">
        <f t="shared" si="21"/>
        <v>0.999013434346322+0.0109921059129024i</v>
      </c>
      <c r="U44" s="652">
        <v>1</v>
      </c>
      <c r="V44">
        <f t="shared" si="22"/>
        <v>1</v>
      </c>
      <c r="W44">
        <f t="shared" si="23"/>
        <v>0</v>
      </c>
      <c r="X44">
        <f t="shared" si="10"/>
        <v>0</v>
      </c>
      <c r="Z44" t="str">
        <f t="shared" si="11"/>
        <v>1.00098745857977-7.39318105431537E-06i</v>
      </c>
      <c r="AA44">
        <f t="shared" si="24"/>
        <v>8.5727245740982051E-3</v>
      </c>
      <c r="AB44">
        <f t="shared" si="12"/>
        <v>-4.2318019914624398E-4</v>
      </c>
      <c r="AD44" s="30" t="str">
        <f t="shared" si="13"/>
        <v>0.62831853i</v>
      </c>
      <c r="AE44" s="30" t="str">
        <f t="shared" si="25"/>
        <v>1+0.62831853i</v>
      </c>
      <c r="AF44" s="30" t="e">
        <f t="shared" si="14"/>
        <v>#VALUE!</v>
      </c>
      <c r="AG44" t="e">
        <f t="shared" si="15"/>
        <v>#VALUE!</v>
      </c>
      <c r="AH44" t="str">
        <f t="shared" si="26"/>
        <v>1+0.62831853i</v>
      </c>
      <c r="AI44" s="299" t="e">
        <f t="shared" si="27"/>
        <v>#VALUE!</v>
      </c>
      <c r="AK44" t="e">
        <f t="shared" si="28"/>
        <v>#VALUE!</v>
      </c>
      <c r="AM44" t="e">
        <f t="shared" si="29"/>
        <v>#VALUE!</v>
      </c>
      <c r="AN44" t="e">
        <f t="shared" si="16"/>
        <v>#VALUE!</v>
      </c>
    </row>
    <row r="45" spans="1:40" x14ac:dyDescent="0.2">
      <c r="A45" s="335">
        <v>6000</v>
      </c>
      <c r="B45" s="352">
        <f t="shared" si="17"/>
        <v>6</v>
      </c>
      <c r="C45" t="str">
        <f t="shared" ref="C45:C76" si="30">COMPLEX(0,2*Pi*A45)</f>
        <v>37699.1118i</v>
      </c>
      <c r="D45" s="30" t="str">
        <f t="shared" ref="D45:D76" si="31">COMPLEX(-POWER(2*Pi*A45,2),0)</f>
        <v>-1421223030.5089</v>
      </c>
      <c r="E45" s="30" t="str">
        <f t="shared" ref="E45:E76" si="32">COMPLEX(0,-POWER(2*Pi*A45,3))</f>
        <v>-53578845919889.8i</v>
      </c>
      <c r="G45" s="30" t="e">
        <f t="shared" ref="G45:G82" si="33">IMSUM(IMPRODUCT(C45,Rcomp_AEF*Csen_AEF),Csen_AEF/Ccomp_AEF)</f>
        <v>#VALUE!</v>
      </c>
      <c r="I45" s="30" t="e">
        <f t="shared" ref="I45:I76" si="34">IMPRODUCT((RdampSel*CdampSel+RdampSel*CinjSel),C45)</f>
        <v>#REF!</v>
      </c>
      <c r="J45" t="e">
        <f t="shared" si="18"/>
        <v>#REF!</v>
      </c>
      <c r="L45" s="30" t="e">
        <f t="shared" ref="L45:L76" si="35">IMPRODUCT(G45,L_infilterStd*RdampSel*CinjSel*CdampSel,E45)</f>
        <v>#VALUE!</v>
      </c>
      <c r="M45" t="e">
        <f t="shared" ref="M45:M76" si="36">IMPRODUCT(G45,L_infilterStd*CinjSel,D45)</f>
        <v>#VALUE!</v>
      </c>
      <c r="N45" t="e">
        <f t="shared" si="19"/>
        <v>#REF!</v>
      </c>
      <c r="O45" s="299" t="e">
        <f t="shared" si="20"/>
        <v>#VALUE!</v>
      </c>
      <c r="P45" s="651">
        <v>0</v>
      </c>
      <c r="Q45" s="397" t="str">
        <f t="shared" ref="Q45:Q76" si="37">IMSUM(IMPRODUCT(C45,RdampPssv*CdampPssv),1)</f>
        <v>1+0.01319468913i</v>
      </c>
      <c r="R45" s="397" t="str">
        <f t="shared" ref="R45:R76" si="38">IMPRODUCT(RdampPssv*CdampPssv*CfilterPssv*LinfilterPssv,E45)</f>
        <v>-5.99332970459887E-06i</v>
      </c>
      <c r="S45" s="397" t="str">
        <f t="shared" ref="S45:S76" si="39">IMPRODUCT(D45,LinfilterPssv*(CfilterPssv+CdampPssv))</f>
        <v>-0.0014206545412967</v>
      </c>
      <c r="T45" s="397" t="str">
        <f t="shared" si="21"/>
        <v>0.998579345458703+0.0131886958002954i</v>
      </c>
      <c r="U45" s="652">
        <v>1</v>
      </c>
      <c r="V45">
        <f t="shared" ref="V45:V82" si="40">CHOOSE(INFILTER_TYPE,U45,IMDIV(J45,O45),IMDIV(Q45,T45))</f>
        <v>1</v>
      </c>
      <c r="W45">
        <f t="shared" si="23"/>
        <v>0</v>
      </c>
      <c r="X45">
        <f t="shared" ref="X45:X82" si="41">IMARGUMENT(V45)*180/Pi</f>
        <v>0</v>
      </c>
      <c r="Z45" t="str">
        <f t="shared" ref="Z45:Z76" si="42">IMDIV(Q45,T45)</f>
        <v>1.00142250680344-0.000012785844067251i</v>
      </c>
      <c r="AA45">
        <f t="shared" si="24"/>
        <v>1.2346958077157324E-2</v>
      </c>
      <c r="AB45">
        <f t="shared" ref="AB45:AB76" si="43">IMARGUMENT(Z45)*180/Pi</f>
        <v>-7.3153429085745297E-4</v>
      </c>
      <c r="AD45" s="30" t="str">
        <f t="shared" ref="AD45:AD76" si="44">IMPRODUCT((RdampCom*CdampCom+RdampCom*CinjCom),C45)</f>
        <v>0.753982236i</v>
      </c>
      <c r="AE45" s="30" t="str">
        <f t="shared" si="25"/>
        <v>1+0.753982236i</v>
      </c>
      <c r="AF45" s="30" t="e">
        <f t="shared" ref="AF45:AF76" si="45">IMPRODUCT(G45,L_infilterStd*RdampSel*CinjSel*CdampSel,E45)</f>
        <v>#VALUE!</v>
      </c>
      <c r="AG45" t="e">
        <f t="shared" ref="AG45:AG76" si="46">IMPRODUCT(G45,LAEFCom*CinjCom,D45)</f>
        <v>#VALUE!</v>
      </c>
      <c r="AH45" t="str">
        <f t="shared" si="26"/>
        <v>1+0.753982236i</v>
      </c>
      <c r="AI45" s="299" t="e">
        <f t="shared" si="27"/>
        <v>#VALUE!</v>
      </c>
      <c r="AK45" t="e">
        <f t="shared" si="28"/>
        <v>#VALUE!</v>
      </c>
      <c r="AM45" t="e">
        <f t="shared" si="29"/>
        <v>#VALUE!</v>
      </c>
      <c r="AN45" t="e">
        <f t="shared" ref="AN45:AN76" si="47">IMARGUMENT(AK45)*180/Pi</f>
        <v>#VALUE!</v>
      </c>
    </row>
    <row r="46" spans="1:40" x14ac:dyDescent="0.2">
      <c r="A46" s="335">
        <v>7000</v>
      </c>
      <c r="B46" s="352">
        <f t="shared" si="17"/>
        <v>7</v>
      </c>
      <c r="C46" t="str">
        <f t="shared" si="30"/>
        <v>43982.2971i</v>
      </c>
      <c r="D46" s="30" t="str">
        <f t="shared" si="31"/>
        <v>-1934442458.19267</v>
      </c>
      <c r="E46" s="30" t="str">
        <f t="shared" si="32"/>
        <v>-85081222919084.3i</v>
      </c>
      <c r="G46" s="30" t="e">
        <f t="shared" si="33"/>
        <v>#VALUE!</v>
      </c>
      <c r="I46" s="30" t="e">
        <f t="shared" si="34"/>
        <v>#REF!</v>
      </c>
      <c r="J46" t="e">
        <f t="shared" si="18"/>
        <v>#REF!</v>
      </c>
      <c r="L46" s="30" t="e">
        <f t="shared" si="35"/>
        <v>#VALUE!</v>
      </c>
      <c r="M46" t="e">
        <f t="shared" si="36"/>
        <v>#VALUE!</v>
      </c>
      <c r="N46" t="e">
        <f t="shared" si="19"/>
        <v>#REF!</v>
      </c>
      <c r="O46" s="299" t="e">
        <f t="shared" si="20"/>
        <v>#VALUE!</v>
      </c>
      <c r="P46" s="651">
        <v>0</v>
      </c>
      <c r="Q46" s="397" t="str">
        <f t="shared" si="37"/>
        <v>1+0.015393803985i</v>
      </c>
      <c r="R46" s="397" t="str">
        <f t="shared" si="38"/>
        <v>-9.51718559572877E-06i</v>
      </c>
      <c r="S46" s="397" t="str">
        <f t="shared" si="39"/>
        <v>-0.00193366868120939</v>
      </c>
      <c r="T46" s="397" t="str">
        <f t="shared" si="21"/>
        <v>0.998066331318791+0.0153842867994043i</v>
      </c>
      <c r="U46" s="652">
        <v>1</v>
      </c>
      <c r="V46">
        <f t="shared" si="40"/>
        <v>1</v>
      </c>
      <c r="W46">
        <f t="shared" si="23"/>
        <v>0</v>
      </c>
      <c r="X46">
        <f t="shared" si="41"/>
        <v>0</v>
      </c>
      <c r="Z46" t="str">
        <f t="shared" si="42"/>
        <v>1.00193710173868-0.0000203230411399365i</v>
      </c>
      <c r="AA46">
        <f t="shared" si="24"/>
        <v>1.680917841515581E-2</v>
      </c>
      <c r="AB46">
        <f t="shared" si="43"/>
        <v>-1.1621732375608322E-3</v>
      </c>
      <c r="AD46" s="30" t="str">
        <f t="shared" si="44"/>
        <v>0.879645942i</v>
      </c>
      <c r="AE46" s="30" t="str">
        <f t="shared" si="25"/>
        <v>1+0.879645942i</v>
      </c>
      <c r="AF46" s="30" t="e">
        <f t="shared" si="45"/>
        <v>#VALUE!</v>
      </c>
      <c r="AG46" t="e">
        <f t="shared" si="46"/>
        <v>#VALUE!</v>
      </c>
      <c r="AH46" t="str">
        <f t="shared" si="26"/>
        <v>1+0.879645942i</v>
      </c>
      <c r="AI46" s="299" t="e">
        <f t="shared" si="27"/>
        <v>#VALUE!</v>
      </c>
      <c r="AK46" t="e">
        <f t="shared" si="28"/>
        <v>#VALUE!</v>
      </c>
      <c r="AM46" t="e">
        <f t="shared" si="29"/>
        <v>#VALUE!</v>
      </c>
      <c r="AN46" t="e">
        <f t="shared" si="47"/>
        <v>#VALUE!</v>
      </c>
    </row>
    <row r="47" spans="1:40" x14ac:dyDescent="0.2">
      <c r="A47" s="335">
        <v>8000</v>
      </c>
      <c r="B47" s="352">
        <f t="shared" si="17"/>
        <v>8</v>
      </c>
      <c r="C47" t="str">
        <f t="shared" si="30"/>
        <v>50265.4824i</v>
      </c>
      <c r="D47" s="30" t="str">
        <f t="shared" si="31"/>
        <v>-2526618720.90471</v>
      </c>
      <c r="E47" s="30" t="str">
        <f t="shared" si="32"/>
        <v>-127001708847146i</v>
      </c>
      <c r="G47" s="30" t="e">
        <f t="shared" si="33"/>
        <v>#VALUE!</v>
      </c>
      <c r="I47" s="30" t="e">
        <f t="shared" si="34"/>
        <v>#REF!</v>
      </c>
      <c r="J47" t="e">
        <f t="shared" si="18"/>
        <v>#REF!</v>
      </c>
      <c r="L47" s="30" t="e">
        <f t="shared" si="35"/>
        <v>#VALUE!</v>
      </c>
      <c r="M47" t="e">
        <f t="shared" si="36"/>
        <v>#VALUE!</v>
      </c>
      <c r="N47" t="e">
        <f t="shared" si="19"/>
        <v>#REF!</v>
      </c>
      <c r="O47" s="299" t="e">
        <f t="shared" si="20"/>
        <v>#VALUE!</v>
      </c>
      <c r="P47" s="651">
        <v>0</v>
      </c>
      <c r="Q47" s="397" t="str">
        <f t="shared" si="37"/>
        <v>1+0.01759291884i</v>
      </c>
      <c r="R47" s="397" t="str">
        <f t="shared" si="38"/>
        <v>-0.0000142064111516418i</v>
      </c>
      <c r="S47" s="397" t="str">
        <f t="shared" si="39"/>
        <v>-0.00252560807341635</v>
      </c>
      <c r="T47" s="397" t="str">
        <f t="shared" si="21"/>
        <v>0.997474391926584+0.0175787124288484i</v>
      </c>
      <c r="U47" s="652">
        <v>1</v>
      </c>
      <c r="V47">
        <f t="shared" si="40"/>
        <v>1</v>
      </c>
      <c r="W47">
        <f t="shared" si="23"/>
        <v>0</v>
      </c>
      <c r="X47">
        <f t="shared" si="41"/>
        <v>0</v>
      </c>
      <c r="Z47" t="str">
        <f t="shared" si="42"/>
        <v>1.00253146769905-0.0000303702348632679i</v>
      </c>
      <c r="AA47">
        <f t="shared" si="24"/>
        <v>2.1960268903701091E-2</v>
      </c>
      <c r="AB47">
        <f t="shared" si="43"/>
        <v>-1.7356924326137229E-3</v>
      </c>
      <c r="AD47" s="30" t="str">
        <f t="shared" si="44"/>
        <v>1.005309648i</v>
      </c>
      <c r="AE47" s="30" t="str">
        <f t="shared" si="25"/>
        <v>1+1.005309648i</v>
      </c>
      <c r="AF47" s="30" t="e">
        <f t="shared" si="45"/>
        <v>#VALUE!</v>
      </c>
      <c r="AG47" t="e">
        <f t="shared" si="46"/>
        <v>#VALUE!</v>
      </c>
      <c r="AH47" t="str">
        <f t="shared" si="26"/>
        <v>1+1.005309648i</v>
      </c>
      <c r="AI47" s="299" t="e">
        <f t="shared" si="27"/>
        <v>#VALUE!</v>
      </c>
      <c r="AK47" t="e">
        <f t="shared" si="28"/>
        <v>#VALUE!</v>
      </c>
      <c r="AM47" t="e">
        <f t="shared" si="29"/>
        <v>#VALUE!</v>
      </c>
      <c r="AN47" t="e">
        <f t="shared" si="47"/>
        <v>#VALUE!</v>
      </c>
    </row>
    <row r="48" spans="1:40" x14ac:dyDescent="0.2">
      <c r="A48" s="335">
        <v>9000</v>
      </c>
      <c r="B48" s="352">
        <f t="shared" si="17"/>
        <v>9</v>
      </c>
      <c r="C48" t="str">
        <f t="shared" si="30"/>
        <v>56548.6677i</v>
      </c>
      <c r="D48" s="30" t="str">
        <f t="shared" si="31"/>
        <v>-3197751818.64502</v>
      </c>
      <c r="E48" s="30" t="str">
        <f t="shared" si="32"/>
        <v>-180828604979628i</v>
      </c>
      <c r="G48" s="30" t="e">
        <f t="shared" si="33"/>
        <v>#VALUE!</v>
      </c>
      <c r="I48" s="30" t="e">
        <f t="shared" si="34"/>
        <v>#REF!</v>
      </c>
      <c r="J48" t="e">
        <f t="shared" si="18"/>
        <v>#REF!</v>
      </c>
      <c r="L48" s="30" t="e">
        <f t="shared" si="35"/>
        <v>#VALUE!</v>
      </c>
      <c r="M48" t="e">
        <f t="shared" si="36"/>
        <v>#VALUE!</v>
      </c>
      <c r="N48" t="e">
        <f t="shared" si="19"/>
        <v>#REF!</v>
      </c>
      <c r="O48" s="299" t="e">
        <f t="shared" si="20"/>
        <v>#VALUE!</v>
      </c>
      <c r="P48" s="651">
        <v>0</v>
      </c>
      <c r="Q48" s="397" t="str">
        <f t="shared" si="37"/>
        <v>1+0.019792033695i</v>
      </c>
      <c r="R48" s="397" t="str">
        <f t="shared" si="38"/>
        <v>-0.0000202274877530212i</v>
      </c>
      <c r="S48" s="397" t="str">
        <f t="shared" si="39"/>
        <v>-0.00319647271791756</v>
      </c>
      <c r="T48" s="397" t="str">
        <f t="shared" si="21"/>
        <v>0.996803527282082+0.019771806207247i</v>
      </c>
      <c r="U48" s="652">
        <v>1</v>
      </c>
      <c r="V48">
        <f t="shared" si="40"/>
        <v>1</v>
      </c>
      <c r="W48">
        <f t="shared" si="23"/>
        <v>0</v>
      </c>
      <c r="X48">
        <f t="shared" si="41"/>
        <v>0</v>
      </c>
      <c r="Z48" t="str">
        <f t="shared" si="42"/>
        <v>1.00320586412249-0.0000432966329094656i</v>
      </c>
      <c r="AA48">
        <f t="shared" si="24"/>
        <v>2.7801250322054171E-2</v>
      </c>
      <c r="AB48">
        <f t="shared" si="43"/>
        <v>-2.4727869152797537E-3</v>
      </c>
      <c r="AD48" s="30" t="str">
        <f t="shared" si="44"/>
        <v>1.130973354i</v>
      </c>
      <c r="AE48" s="30" t="str">
        <f t="shared" si="25"/>
        <v>1+1.130973354i</v>
      </c>
      <c r="AF48" s="30" t="e">
        <f t="shared" si="45"/>
        <v>#VALUE!</v>
      </c>
      <c r="AG48" t="e">
        <f t="shared" si="46"/>
        <v>#VALUE!</v>
      </c>
      <c r="AH48" t="str">
        <f t="shared" si="26"/>
        <v>1+1.130973354i</v>
      </c>
      <c r="AI48" s="299" t="e">
        <f t="shared" si="27"/>
        <v>#VALUE!</v>
      </c>
      <c r="AK48" t="e">
        <f t="shared" si="28"/>
        <v>#VALUE!</v>
      </c>
      <c r="AM48" t="e">
        <f t="shared" si="29"/>
        <v>#VALUE!</v>
      </c>
      <c r="AN48" t="e">
        <f t="shared" si="47"/>
        <v>#VALUE!</v>
      </c>
    </row>
    <row r="49" spans="1:40" x14ac:dyDescent="0.2">
      <c r="A49" s="335">
        <v>10000</v>
      </c>
      <c r="B49" s="352">
        <f t="shared" si="17"/>
        <v>10</v>
      </c>
      <c r="C49" t="str">
        <f t="shared" si="30"/>
        <v>62831.853i</v>
      </c>
      <c r="D49" s="30" t="str">
        <f t="shared" si="31"/>
        <v>-3947841751.41361</v>
      </c>
      <c r="E49" s="30" t="str">
        <f t="shared" si="32"/>
        <v>-248050212592082i</v>
      </c>
      <c r="G49" s="30" t="e">
        <f t="shared" si="33"/>
        <v>#VALUE!</v>
      </c>
      <c r="I49" s="30" t="e">
        <f t="shared" si="34"/>
        <v>#REF!</v>
      </c>
      <c r="J49" t="e">
        <f t="shared" si="18"/>
        <v>#REF!</v>
      </c>
      <c r="L49" s="30" t="e">
        <f t="shared" si="35"/>
        <v>#VALUE!</v>
      </c>
      <c r="M49" t="e">
        <f t="shared" si="36"/>
        <v>#VALUE!</v>
      </c>
      <c r="N49" t="e">
        <f t="shared" si="19"/>
        <v>#REF!</v>
      </c>
      <c r="O49" s="299" t="e">
        <f t="shared" si="20"/>
        <v>#VALUE!</v>
      </c>
      <c r="P49" s="651">
        <v>0</v>
      </c>
      <c r="Q49" s="397" t="str">
        <f t="shared" si="37"/>
        <v>1+0.02199114855i</v>
      </c>
      <c r="R49" s="397" t="str">
        <f t="shared" si="38"/>
        <v>-0.0000277468967805503i</v>
      </c>
      <c r="S49" s="397" t="str">
        <f t="shared" si="39"/>
        <v>-0.00394626261471305</v>
      </c>
      <c r="T49" s="397" t="str">
        <f t="shared" si="21"/>
        <v>0.996053737385287+0.0219634016532194i</v>
      </c>
      <c r="U49" s="652">
        <v>1</v>
      </c>
      <c r="V49">
        <f t="shared" si="40"/>
        <v>1</v>
      </c>
      <c r="W49">
        <f t="shared" si="23"/>
        <v>0</v>
      </c>
      <c r="X49">
        <f t="shared" si="41"/>
        <v>0</v>
      </c>
      <c r="Z49" t="str">
        <f t="shared" si="42"/>
        <v>1.0039605858368-0.0000594757476545141i</v>
      </c>
      <c r="AA49">
        <f t="shared" si="24"/>
        <v>3.4333281589256678E-2</v>
      </c>
      <c r="AB49">
        <f t="shared" si="43"/>
        <v>-3.394266041884357E-3</v>
      </c>
      <c r="AD49" s="30" t="str">
        <f t="shared" si="44"/>
        <v>1.25663706i</v>
      </c>
      <c r="AE49" s="30" t="str">
        <f t="shared" si="25"/>
        <v>1+1.25663706i</v>
      </c>
      <c r="AF49" s="30" t="e">
        <f t="shared" si="45"/>
        <v>#VALUE!</v>
      </c>
      <c r="AG49" t="e">
        <f t="shared" si="46"/>
        <v>#VALUE!</v>
      </c>
      <c r="AH49" t="str">
        <f t="shared" si="26"/>
        <v>1+1.25663706i</v>
      </c>
      <c r="AI49" s="299" t="e">
        <f t="shared" si="27"/>
        <v>#VALUE!</v>
      </c>
      <c r="AK49" t="e">
        <f t="shared" si="28"/>
        <v>#VALUE!</v>
      </c>
      <c r="AM49" t="e">
        <f t="shared" si="29"/>
        <v>#VALUE!</v>
      </c>
      <c r="AN49" t="e">
        <f t="shared" si="47"/>
        <v>#VALUE!</v>
      </c>
    </row>
    <row r="50" spans="1:40" x14ac:dyDescent="0.2">
      <c r="A50" s="335">
        <v>11000</v>
      </c>
      <c r="B50" s="352">
        <f t="shared" si="17"/>
        <v>11</v>
      </c>
      <c r="C50" t="str">
        <f t="shared" si="30"/>
        <v>69115.0383i</v>
      </c>
      <c r="D50" s="30" t="str">
        <f t="shared" si="31"/>
        <v>-4776888519.21047</v>
      </c>
      <c r="E50" s="30" t="str">
        <f t="shared" si="32"/>
        <v>-330154832960062i</v>
      </c>
      <c r="G50" s="30" t="e">
        <f t="shared" si="33"/>
        <v>#VALUE!</v>
      </c>
      <c r="I50" s="30" t="e">
        <f t="shared" si="34"/>
        <v>#REF!</v>
      </c>
      <c r="J50" t="e">
        <f t="shared" si="18"/>
        <v>#REF!</v>
      </c>
      <c r="L50" s="30" t="e">
        <f t="shared" si="35"/>
        <v>#VALUE!</v>
      </c>
      <c r="M50" t="e">
        <f t="shared" si="36"/>
        <v>#VALUE!</v>
      </c>
      <c r="N50" t="e">
        <f>J50</f>
        <v>#REF!</v>
      </c>
      <c r="O50" s="299" t="e">
        <f>IMSUM(L50:N50)</f>
        <v>#VALUE!</v>
      </c>
      <c r="P50" s="651">
        <v>0</v>
      </c>
      <c r="Q50" s="397" t="str">
        <f t="shared" si="37"/>
        <v>1+0.024190263405i</v>
      </c>
      <c r="R50" s="397" t="str">
        <f t="shared" si="38"/>
        <v>-0.0000369311196149125i</v>
      </c>
      <c r="S50" s="397" t="str">
        <f t="shared" si="39"/>
        <v>-0.00477497776380279</v>
      </c>
      <c r="T50" s="397" t="str">
        <f>IMSUM(S50,R50,Q50)</f>
        <v>0.995225022236197+0.0241533322853851i</v>
      </c>
      <c r="U50" s="652">
        <v>1</v>
      </c>
      <c r="V50">
        <f t="shared" si="40"/>
        <v>1</v>
      </c>
      <c r="W50">
        <f t="shared" si="23"/>
        <v>0</v>
      </c>
      <c r="X50">
        <f t="shared" si="41"/>
        <v>0</v>
      </c>
      <c r="Z50" t="str">
        <f t="shared" si="42"/>
        <v>1.00479596336193-0.0000792859658181959i</v>
      </c>
      <c r="AA50">
        <f t="shared" si="24"/>
        <v>4.1557660533084087E-2</v>
      </c>
      <c r="AB50">
        <f t="shared" si="43"/>
        <v>-4.5210683336785549E-3</v>
      </c>
      <c r="AD50" s="30" t="str">
        <f t="shared" si="44"/>
        <v>1.382300766i</v>
      </c>
      <c r="AE50" s="30" t="str">
        <f t="shared" si="25"/>
        <v>1+1.382300766i</v>
      </c>
      <c r="AF50" s="30" t="e">
        <f t="shared" si="45"/>
        <v>#VALUE!</v>
      </c>
      <c r="AG50" t="e">
        <f t="shared" si="46"/>
        <v>#VALUE!</v>
      </c>
      <c r="AH50" t="str">
        <f t="shared" si="26"/>
        <v>1+1.382300766i</v>
      </c>
      <c r="AI50" s="299" t="e">
        <f t="shared" si="27"/>
        <v>#VALUE!</v>
      </c>
      <c r="AK50" t="e">
        <f t="shared" si="28"/>
        <v>#VALUE!</v>
      </c>
      <c r="AM50" t="e">
        <f t="shared" si="29"/>
        <v>#VALUE!</v>
      </c>
      <c r="AN50" t="e">
        <f t="shared" si="47"/>
        <v>#VALUE!</v>
      </c>
    </row>
    <row r="51" spans="1:40" x14ac:dyDescent="0.2">
      <c r="A51" s="335">
        <v>12000</v>
      </c>
      <c r="B51" s="352">
        <f t="shared" si="17"/>
        <v>12</v>
      </c>
      <c r="C51" t="str">
        <f t="shared" si="30"/>
        <v>75398.2236i</v>
      </c>
      <c r="D51" s="30" t="str">
        <f t="shared" si="31"/>
        <v>-5684892122.0356</v>
      </c>
      <c r="E51" s="30" t="str">
        <f t="shared" si="32"/>
        <v>-428630767359119i</v>
      </c>
      <c r="G51" s="30" t="e">
        <f t="shared" si="33"/>
        <v>#VALUE!</v>
      </c>
      <c r="I51" s="30" t="e">
        <f t="shared" si="34"/>
        <v>#REF!</v>
      </c>
      <c r="J51" t="e">
        <f t="shared" si="18"/>
        <v>#REF!</v>
      </c>
      <c r="L51" s="30" t="e">
        <f t="shared" si="35"/>
        <v>#VALUE!</v>
      </c>
      <c r="M51" t="e">
        <f t="shared" si="36"/>
        <v>#VALUE!</v>
      </c>
      <c r="N51" t="e">
        <f>J51</f>
        <v>#REF!</v>
      </c>
      <c r="O51" s="299" t="e">
        <f>IMSUM(L51:N51)</f>
        <v>#VALUE!</v>
      </c>
      <c r="P51" s="651">
        <v>0</v>
      </c>
      <c r="Q51" s="397" t="str">
        <f t="shared" si="37"/>
        <v>1+0.02638937826i</v>
      </c>
      <c r="R51" s="397" t="str">
        <f t="shared" si="38"/>
        <v>-0.000047946637636791i</v>
      </c>
      <c r="S51" s="397" t="str">
        <f t="shared" si="39"/>
        <v>-0.00568261816518679</v>
      </c>
      <c r="T51" s="397" t="str">
        <f>IMSUM(S51,R51,Q51)</f>
        <v>0.994317381834813+0.0263414316223632i</v>
      </c>
      <c r="U51" s="652">
        <v>1</v>
      </c>
      <c r="V51">
        <f t="shared" si="40"/>
        <v>1</v>
      </c>
      <c r="W51">
        <f t="shared" si="23"/>
        <v>0</v>
      </c>
      <c r="X51">
        <f t="shared" si="41"/>
        <v>0</v>
      </c>
      <c r="Z51" t="str">
        <f t="shared" si="42"/>
        <v>1.00571236324959-0.000103111129481765i</v>
      </c>
      <c r="AA51">
        <f t="shared" si="24"/>
        <v>4.9475824752593413E-2</v>
      </c>
      <c r="AB51">
        <f t="shared" si="43"/>
        <v>-5.8742765248443194E-3</v>
      </c>
      <c r="AD51" s="30" t="str">
        <f t="shared" si="44"/>
        <v>1.507964472i</v>
      </c>
      <c r="AE51" s="30" t="str">
        <f t="shared" si="25"/>
        <v>1+1.507964472i</v>
      </c>
      <c r="AF51" s="30" t="e">
        <f t="shared" si="45"/>
        <v>#VALUE!</v>
      </c>
      <c r="AG51" t="e">
        <f t="shared" si="46"/>
        <v>#VALUE!</v>
      </c>
      <c r="AH51" t="str">
        <f t="shared" si="26"/>
        <v>1+1.507964472i</v>
      </c>
      <c r="AI51" s="299" t="e">
        <f t="shared" si="27"/>
        <v>#VALUE!</v>
      </c>
      <c r="AK51" t="e">
        <f t="shared" si="28"/>
        <v>#VALUE!</v>
      </c>
      <c r="AM51" t="e">
        <f t="shared" si="29"/>
        <v>#VALUE!</v>
      </c>
      <c r="AN51" t="e">
        <f t="shared" si="47"/>
        <v>#VALUE!</v>
      </c>
    </row>
    <row r="52" spans="1:40" x14ac:dyDescent="0.2">
      <c r="A52" s="335">
        <v>13000</v>
      </c>
      <c r="B52" s="352">
        <f t="shared" si="17"/>
        <v>13</v>
      </c>
      <c r="C52" t="str">
        <f t="shared" si="30"/>
        <v>81681.4089i</v>
      </c>
      <c r="D52" s="30" t="str">
        <f t="shared" si="31"/>
        <v>-6671852559.889</v>
      </c>
      <c r="E52" s="30" t="str">
        <f t="shared" si="32"/>
        <v>-544966317064805i</v>
      </c>
      <c r="G52" s="30" t="e">
        <f t="shared" si="33"/>
        <v>#VALUE!</v>
      </c>
      <c r="I52" s="30" t="e">
        <f t="shared" si="34"/>
        <v>#REF!</v>
      </c>
      <c r="J52" t="e">
        <f t="shared" si="18"/>
        <v>#REF!</v>
      </c>
      <c r="L52" s="30" t="e">
        <f t="shared" si="35"/>
        <v>#VALUE!</v>
      </c>
      <c r="M52" t="e">
        <f t="shared" si="36"/>
        <v>#VALUE!</v>
      </c>
      <c r="N52" t="e">
        <f>J52</f>
        <v>#REF!</v>
      </c>
      <c r="O52" s="299" t="e">
        <f>IMSUM(L52:N52)</f>
        <v>#VALUE!</v>
      </c>
      <c r="P52" s="651">
        <v>0</v>
      </c>
      <c r="Q52" s="397" t="str">
        <f t="shared" si="37"/>
        <v>1+0.028588493115i</v>
      </c>
      <c r="R52" s="397" t="str">
        <f t="shared" si="38"/>
        <v>-0.0000609599322268691i</v>
      </c>
      <c r="S52" s="397" t="str">
        <f t="shared" si="39"/>
        <v>-0.00666918381886504</v>
      </c>
      <c r="T52" s="397" t="str">
        <f>IMSUM(S52,R52,Q52)</f>
        <v>0.993330816181135+0.0285275331827731i</v>
      </c>
      <c r="U52" s="652">
        <v>1</v>
      </c>
      <c r="V52">
        <f t="shared" si="40"/>
        <v>1</v>
      </c>
      <c r="W52">
        <f t="shared" si="23"/>
        <v>0</v>
      </c>
      <c r="X52">
        <f t="shared" si="41"/>
        <v>0</v>
      </c>
      <c r="Z52" t="str">
        <f t="shared" si="42"/>
        <v>1.00671018846073-0.00013134112988737i</v>
      </c>
      <c r="AA52">
        <f t="shared" si="24"/>
        <v>5.808935257490936E-2</v>
      </c>
      <c r="AB52">
        <f t="shared" si="43"/>
        <v>-7.4751328348372729E-3</v>
      </c>
      <c r="AD52" s="30" t="str">
        <f t="shared" si="44"/>
        <v>1.633628178i</v>
      </c>
      <c r="AE52" s="30" t="str">
        <f t="shared" si="25"/>
        <v>1+1.633628178i</v>
      </c>
      <c r="AF52" s="30" t="e">
        <f t="shared" si="45"/>
        <v>#VALUE!</v>
      </c>
      <c r="AG52" t="e">
        <f t="shared" si="46"/>
        <v>#VALUE!</v>
      </c>
      <c r="AH52" t="str">
        <f t="shared" si="26"/>
        <v>1+1.633628178i</v>
      </c>
      <c r="AI52" s="299" t="e">
        <f t="shared" si="27"/>
        <v>#VALUE!</v>
      </c>
      <c r="AK52" t="e">
        <f t="shared" si="28"/>
        <v>#VALUE!</v>
      </c>
      <c r="AM52" t="e">
        <f t="shared" si="29"/>
        <v>#VALUE!</v>
      </c>
      <c r="AN52" t="e">
        <f t="shared" si="47"/>
        <v>#VALUE!</v>
      </c>
    </row>
    <row r="53" spans="1:40" x14ac:dyDescent="0.2">
      <c r="A53" s="335">
        <v>15000</v>
      </c>
      <c r="B53" s="352">
        <f t="shared" si="17"/>
        <v>15</v>
      </c>
      <c r="C53" t="str">
        <f t="shared" si="30"/>
        <v>94247.7795i</v>
      </c>
      <c r="D53" s="30" t="str">
        <f t="shared" si="31"/>
        <v>-8882643940.68062</v>
      </c>
      <c r="E53" s="30" t="str">
        <f t="shared" si="32"/>
        <v>-837169467498278i</v>
      </c>
      <c r="G53" s="30" t="e">
        <f t="shared" si="33"/>
        <v>#VALUE!</v>
      </c>
      <c r="I53" s="30" t="e">
        <f t="shared" si="34"/>
        <v>#REF!</v>
      </c>
      <c r="J53" t="e">
        <f t="shared" si="18"/>
        <v>#REF!</v>
      </c>
      <c r="L53" s="30" t="e">
        <f t="shared" si="35"/>
        <v>#VALUE!</v>
      </c>
      <c r="M53" t="e">
        <f t="shared" si="36"/>
        <v>#VALUE!</v>
      </c>
      <c r="N53" t="e">
        <f>J53</f>
        <v>#REF!</v>
      </c>
      <c r="O53" s="299" t="e">
        <f>IMSUM(L53:N53)</f>
        <v>#VALUE!</v>
      </c>
      <c r="P53" s="651">
        <v>0</v>
      </c>
      <c r="Q53" s="397" t="str">
        <f t="shared" si="37"/>
        <v>1+0.032986722825i</v>
      </c>
      <c r="R53" s="397" t="str">
        <f t="shared" si="38"/>
        <v>-0.0000936457766343574i</v>
      </c>
      <c r="S53" s="397" t="str">
        <f t="shared" si="39"/>
        <v>-0.00887909088310435</v>
      </c>
      <c r="T53" s="397" t="str">
        <f>IMSUM(S53,R53,Q53)</f>
        <v>0.991120909116896+0.0328930770483656i</v>
      </c>
      <c r="U53" s="652">
        <v>1</v>
      </c>
      <c r="V53">
        <f t="shared" si="40"/>
        <v>1</v>
      </c>
      <c r="W53">
        <f t="shared" si="23"/>
        <v>0</v>
      </c>
      <c r="X53">
        <f t="shared" si="41"/>
        <v>0</v>
      </c>
      <c r="Z53" t="str">
        <f t="shared" si="42"/>
        <v>1.00895191127968-0.00020260911556929i</v>
      </c>
      <c r="AA53">
        <f t="shared" si="24"/>
        <v>7.7409522394356958E-2</v>
      </c>
      <c r="AB53">
        <f t="shared" si="43"/>
        <v>-1.1505649516535831E-2</v>
      </c>
      <c r="AD53" s="30" t="str">
        <f t="shared" si="44"/>
        <v>1.88495559i</v>
      </c>
      <c r="AE53" s="30" t="str">
        <f t="shared" si="25"/>
        <v>1+1.88495559i</v>
      </c>
      <c r="AF53" s="30" t="e">
        <f t="shared" si="45"/>
        <v>#VALUE!</v>
      </c>
      <c r="AG53" t="e">
        <f t="shared" si="46"/>
        <v>#VALUE!</v>
      </c>
      <c r="AH53" t="str">
        <f t="shared" si="26"/>
        <v>1+1.88495559i</v>
      </c>
      <c r="AI53" s="299" t="e">
        <f t="shared" si="27"/>
        <v>#VALUE!</v>
      </c>
      <c r="AK53" t="e">
        <f t="shared" si="28"/>
        <v>#VALUE!</v>
      </c>
      <c r="AM53" t="e">
        <f t="shared" si="29"/>
        <v>#VALUE!</v>
      </c>
      <c r="AN53" t="e">
        <f t="shared" si="47"/>
        <v>#VALUE!</v>
      </c>
    </row>
    <row r="54" spans="1:40" x14ac:dyDescent="0.2">
      <c r="A54" s="335">
        <v>16000</v>
      </c>
      <c r="B54" s="352">
        <f t="shared" si="17"/>
        <v>16</v>
      </c>
      <c r="C54" t="str">
        <f t="shared" si="30"/>
        <v>100530.9648i</v>
      </c>
      <c r="D54" s="30" t="str">
        <f t="shared" si="31"/>
        <v>-10106474883.6188</v>
      </c>
      <c r="E54" s="30" t="str">
        <f t="shared" si="32"/>
        <v>-1016013670777170i</v>
      </c>
      <c r="G54" s="30" t="e">
        <f t="shared" si="33"/>
        <v>#VALUE!</v>
      </c>
      <c r="I54" s="30" t="e">
        <f t="shared" si="34"/>
        <v>#REF!</v>
      </c>
      <c r="J54" t="e">
        <f t="shared" si="18"/>
        <v>#REF!</v>
      </c>
      <c r="L54" s="30" t="e">
        <f t="shared" si="35"/>
        <v>#VALUE!</v>
      </c>
      <c r="M54" t="e">
        <f t="shared" si="36"/>
        <v>#VALUE!</v>
      </c>
      <c r="N54" t="e">
        <f t="shared" ref="N54:N68" si="48">J54</f>
        <v>#REF!</v>
      </c>
      <c r="O54" s="299" t="e">
        <f t="shared" ref="O54:O68" si="49">IMSUM(L54:N54)</f>
        <v>#VALUE!</v>
      </c>
      <c r="P54" s="651">
        <v>0</v>
      </c>
      <c r="Q54" s="397" t="str">
        <f t="shared" si="37"/>
        <v>1+0.03518583768i</v>
      </c>
      <c r="R54" s="397" t="str">
        <f t="shared" si="38"/>
        <v>-0.000113651289213134i</v>
      </c>
      <c r="S54" s="397" t="str">
        <f t="shared" si="39"/>
        <v>-0.0101024322936654</v>
      </c>
      <c r="T54" s="397" t="str">
        <f t="shared" ref="T54:T68" si="50">IMSUM(S54,R54,Q54)</f>
        <v>0.989897567706335+0.0350721863907869i</v>
      </c>
      <c r="U54" s="652">
        <v>1</v>
      </c>
      <c r="V54">
        <f t="shared" si="40"/>
        <v>1</v>
      </c>
      <c r="W54">
        <f t="shared" si="23"/>
        <v>0</v>
      </c>
      <c r="X54">
        <f t="shared" si="41"/>
        <v>0</v>
      </c>
      <c r="Z54" t="str">
        <f t="shared" si="42"/>
        <v>1.01019680079824-0.000246462681525396i</v>
      </c>
      <c r="AA54">
        <f t="shared" si="24"/>
        <v>8.8120034652894183E-2</v>
      </c>
      <c r="AB54">
        <f t="shared" si="43"/>
        <v>-1.3978732840646416E-2</v>
      </c>
      <c r="AD54" s="30" t="str">
        <f t="shared" si="44"/>
        <v>2.010619296i</v>
      </c>
      <c r="AE54" s="30" t="str">
        <f t="shared" si="25"/>
        <v>1+2.010619296i</v>
      </c>
      <c r="AF54" s="30" t="e">
        <f t="shared" si="45"/>
        <v>#VALUE!</v>
      </c>
      <c r="AG54" t="e">
        <f t="shared" si="46"/>
        <v>#VALUE!</v>
      </c>
      <c r="AH54" t="str">
        <f t="shared" si="26"/>
        <v>1+2.010619296i</v>
      </c>
      <c r="AI54" s="299" t="e">
        <f t="shared" si="27"/>
        <v>#VALUE!</v>
      </c>
      <c r="AK54" t="e">
        <f t="shared" si="28"/>
        <v>#VALUE!</v>
      </c>
      <c r="AM54" t="e">
        <f t="shared" si="29"/>
        <v>#VALUE!</v>
      </c>
      <c r="AN54" t="e">
        <f t="shared" si="47"/>
        <v>#VALUE!</v>
      </c>
    </row>
    <row r="55" spans="1:40" x14ac:dyDescent="0.2">
      <c r="A55" s="335">
        <v>17500</v>
      </c>
      <c r="B55" s="352">
        <f t="shared" si="17"/>
        <v>17.5</v>
      </c>
      <c r="C55" t="str">
        <f t="shared" si="30"/>
        <v>109955.74275i</v>
      </c>
      <c r="D55" s="30" t="str">
        <f t="shared" si="31"/>
        <v>-12090265363.7042</v>
      </c>
      <c r="E55" s="30" t="str">
        <f t="shared" si="32"/>
        <v>-1329394108110690i</v>
      </c>
      <c r="G55" s="30" t="e">
        <f t="shared" si="33"/>
        <v>#VALUE!</v>
      </c>
      <c r="I55" s="30" t="e">
        <f t="shared" si="34"/>
        <v>#REF!</v>
      </c>
      <c r="J55" t="e">
        <f t="shared" si="18"/>
        <v>#REF!</v>
      </c>
      <c r="L55" s="30" t="e">
        <f t="shared" si="35"/>
        <v>#VALUE!</v>
      </c>
      <c r="M55" t="e">
        <f t="shared" si="36"/>
        <v>#VALUE!</v>
      </c>
      <c r="N55" t="e">
        <f t="shared" si="48"/>
        <v>#REF!</v>
      </c>
      <c r="O55" s="299" t="e">
        <f t="shared" si="49"/>
        <v>#VALUE!</v>
      </c>
      <c r="P55" s="651">
        <v>0</v>
      </c>
      <c r="Q55" s="397" t="str">
        <f t="shared" si="37"/>
        <v>1+0.0384845099625i</v>
      </c>
      <c r="R55" s="397" t="str">
        <f t="shared" si="38"/>
        <v>-0.000148706024933262i</v>
      </c>
      <c r="S55" s="397" t="str">
        <f t="shared" si="39"/>
        <v>-0.0120854292575587</v>
      </c>
      <c r="T55" s="397" t="str">
        <f t="shared" si="50"/>
        <v>0.987914570742441+0.0383358039375667i</v>
      </c>
      <c r="U55" s="652">
        <v>1</v>
      </c>
      <c r="V55">
        <f t="shared" si="40"/>
        <v>1</v>
      </c>
      <c r="W55">
        <f t="shared" si="23"/>
        <v>0</v>
      </c>
      <c r="X55">
        <f t="shared" si="41"/>
        <v>0</v>
      </c>
      <c r="Z55" t="str">
        <f t="shared" si="42"/>
        <v>1.01222071263725-0.000323696833892721i</v>
      </c>
      <c r="AA55">
        <f t="shared" si="24"/>
        <v>0.10550484102978921</v>
      </c>
      <c r="AB55">
        <f t="shared" si="43"/>
        <v>-1.8322547228315767E-2</v>
      </c>
      <c r="AD55" s="30" t="str">
        <f t="shared" si="44"/>
        <v>2.199114855i</v>
      </c>
      <c r="AE55" s="30" t="str">
        <f t="shared" si="25"/>
        <v>1+2.199114855i</v>
      </c>
      <c r="AF55" s="30" t="e">
        <f t="shared" si="45"/>
        <v>#VALUE!</v>
      </c>
      <c r="AG55" t="e">
        <f t="shared" si="46"/>
        <v>#VALUE!</v>
      </c>
      <c r="AH55" t="str">
        <f t="shared" si="26"/>
        <v>1+2.199114855i</v>
      </c>
      <c r="AI55" s="299" t="e">
        <f t="shared" si="27"/>
        <v>#VALUE!</v>
      </c>
      <c r="AK55" t="e">
        <f t="shared" si="28"/>
        <v>#VALUE!</v>
      </c>
      <c r="AM55" t="e">
        <f t="shared" si="29"/>
        <v>#VALUE!</v>
      </c>
      <c r="AN55" t="e">
        <f t="shared" si="47"/>
        <v>#VALUE!</v>
      </c>
    </row>
    <row r="56" spans="1:40" x14ac:dyDescent="0.2">
      <c r="A56" s="335">
        <v>19000</v>
      </c>
      <c r="B56" s="352">
        <f t="shared" si="17"/>
        <v>19</v>
      </c>
      <c r="C56" t="str">
        <f t="shared" si="30"/>
        <v>119380.5207i</v>
      </c>
      <c r="D56" s="30" t="str">
        <f t="shared" si="31"/>
        <v>-14251708722.6031</v>
      </c>
      <c r="E56" s="30" t="str">
        <f t="shared" si="32"/>
        <v>-1701376408169090i</v>
      </c>
      <c r="G56" s="30" t="e">
        <f t="shared" si="33"/>
        <v>#VALUE!</v>
      </c>
      <c r="I56" s="30" t="e">
        <f t="shared" si="34"/>
        <v>#REF!</v>
      </c>
      <c r="J56" t="e">
        <f t="shared" si="18"/>
        <v>#REF!</v>
      </c>
      <c r="L56" s="30" t="e">
        <f t="shared" si="35"/>
        <v>#VALUE!</v>
      </c>
      <c r="M56" t="e">
        <f t="shared" si="36"/>
        <v>#VALUE!</v>
      </c>
      <c r="N56" t="e">
        <f t="shared" si="48"/>
        <v>#REF!</v>
      </c>
      <c r="O56" s="299" t="e">
        <f t="shared" si="49"/>
        <v>#VALUE!</v>
      </c>
      <c r="P56" s="651">
        <v>0</v>
      </c>
      <c r="Q56" s="397" t="str">
        <f t="shared" si="37"/>
        <v>1+0.041783182245i</v>
      </c>
      <c r="R56" s="397" t="str">
        <f t="shared" si="38"/>
        <v>-0.000190315965017794i</v>
      </c>
      <c r="S56" s="397" t="str">
        <f t="shared" si="39"/>
        <v>-0.0142460080391141</v>
      </c>
      <c r="T56" s="397" t="str">
        <f t="shared" si="50"/>
        <v>0.985753991960886+0.0415928662799822i</v>
      </c>
      <c r="U56" s="652">
        <v>1</v>
      </c>
      <c r="V56">
        <f t="shared" si="40"/>
        <v>1</v>
      </c>
      <c r="W56">
        <f t="shared" si="23"/>
        <v>0</v>
      </c>
      <c r="X56">
        <f t="shared" si="41"/>
        <v>0</v>
      </c>
      <c r="Z56" t="str">
        <f t="shared" si="42"/>
        <v>1.01443433812182-0.000415975520938413i</v>
      </c>
      <c r="AA56">
        <f t="shared" si="24"/>
        <v>0.12447955922984369</v>
      </c>
      <c r="AB56">
        <f t="shared" si="43"/>
        <v>-2.3494512681856306E-2</v>
      </c>
      <c r="AD56" s="30" t="str">
        <f t="shared" si="44"/>
        <v>2.387610414i</v>
      </c>
      <c r="AE56" s="30" t="str">
        <f t="shared" si="25"/>
        <v>1+2.387610414i</v>
      </c>
      <c r="AF56" s="30" t="e">
        <f t="shared" si="45"/>
        <v>#VALUE!</v>
      </c>
      <c r="AG56" t="e">
        <f t="shared" si="46"/>
        <v>#VALUE!</v>
      </c>
      <c r="AH56" t="str">
        <f t="shared" si="26"/>
        <v>1+2.387610414i</v>
      </c>
      <c r="AI56" s="299" t="e">
        <f t="shared" si="27"/>
        <v>#VALUE!</v>
      </c>
      <c r="AK56" t="e">
        <f t="shared" si="28"/>
        <v>#VALUE!</v>
      </c>
      <c r="AM56" t="e">
        <f t="shared" si="29"/>
        <v>#VALUE!</v>
      </c>
      <c r="AN56" t="e">
        <f t="shared" si="47"/>
        <v>#VALUE!</v>
      </c>
    </row>
    <row r="57" spans="1:40" x14ac:dyDescent="0.2">
      <c r="A57" s="335">
        <v>20000</v>
      </c>
      <c r="B57" s="352">
        <f t="shared" si="17"/>
        <v>20</v>
      </c>
      <c r="C57" t="str">
        <f t="shared" si="30"/>
        <v>125663.706i</v>
      </c>
      <c r="D57" s="30" t="str">
        <f t="shared" si="31"/>
        <v>-15791367005.6544</v>
      </c>
      <c r="E57" s="30" t="str">
        <f t="shared" si="32"/>
        <v>-1984401700736660i</v>
      </c>
      <c r="G57" s="30" t="e">
        <f t="shared" si="33"/>
        <v>#VALUE!</v>
      </c>
      <c r="I57" s="30" t="e">
        <f t="shared" si="34"/>
        <v>#REF!</v>
      </c>
      <c r="J57" t="e">
        <f t="shared" si="18"/>
        <v>#REF!</v>
      </c>
      <c r="L57" s="30" t="e">
        <f t="shared" si="35"/>
        <v>#VALUE!</v>
      </c>
      <c r="M57" t="e">
        <f t="shared" si="36"/>
        <v>#VALUE!</v>
      </c>
      <c r="N57" t="e">
        <f t="shared" si="48"/>
        <v>#REF!</v>
      </c>
      <c r="O57" s="299" t="e">
        <f t="shared" si="49"/>
        <v>#VALUE!</v>
      </c>
      <c r="P57" s="651">
        <v>0</v>
      </c>
      <c r="Q57" s="397" t="str">
        <f t="shared" si="37"/>
        <v>1+0.0439822971i</v>
      </c>
      <c r="R57" s="397" t="str">
        <f t="shared" si="38"/>
        <v>-0.000221975174244403i</v>
      </c>
      <c r="S57" s="397" t="str">
        <f t="shared" si="39"/>
        <v>-0.0157850504588521</v>
      </c>
      <c r="T57" s="397" t="str">
        <f t="shared" si="50"/>
        <v>0.984214949541148+0.0437603219257556i</v>
      </c>
      <c r="U57" s="652">
        <v>1</v>
      </c>
      <c r="V57">
        <f t="shared" si="40"/>
        <v>1</v>
      </c>
      <c r="W57">
        <f t="shared" si="23"/>
        <v>0</v>
      </c>
      <c r="X57">
        <f t="shared" si="41"/>
        <v>0</v>
      </c>
      <c r="Z57" t="str">
        <f t="shared" si="42"/>
        <v>1.01601657935512-0.000486596443905099i</v>
      </c>
      <c r="AA57">
        <f t="shared" si="24"/>
        <v>0.13801689257265934</v>
      </c>
      <c r="AB57">
        <f t="shared" si="43"/>
        <v>-2.744041881657654E-2</v>
      </c>
      <c r="AD57" s="30" t="str">
        <f t="shared" si="44"/>
        <v>2.51327412i</v>
      </c>
      <c r="AE57" s="30" t="str">
        <f t="shared" si="25"/>
        <v>1+2.51327412i</v>
      </c>
      <c r="AF57" s="30" t="e">
        <f t="shared" si="45"/>
        <v>#VALUE!</v>
      </c>
      <c r="AG57" t="e">
        <f t="shared" si="46"/>
        <v>#VALUE!</v>
      </c>
      <c r="AH57" t="str">
        <f t="shared" si="26"/>
        <v>1+2.51327412i</v>
      </c>
      <c r="AI57" s="299" t="e">
        <f t="shared" si="27"/>
        <v>#VALUE!</v>
      </c>
      <c r="AK57" t="e">
        <f t="shared" si="28"/>
        <v>#VALUE!</v>
      </c>
      <c r="AM57" t="e">
        <f t="shared" si="29"/>
        <v>#VALUE!</v>
      </c>
      <c r="AN57" t="e">
        <f t="shared" si="47"/>
        <v>#VALUE!</v>
      </c>
    </row>
    <row r="58" spans="1:40" x14ac:dyDescent="0.2">
      <c r="A58" s="335">
        <v>25000</v>
      </c>
      <c r="B58" s="352">
        <f t="shared" si="17"/>
        <v>25</v>
      </c>
      <c r="C58" t="str">
        <f t="shared" si="30"/>
        <v>157079.6325i</v>
      </c>
      <c r="D58" s="30" t="str">
        <f t="shared" si="31"/>
        <v>-24674010946.3351</v>
      </c>
      <c r="E58" s="30" t="str">
        <f t="shared" si="32"/>
        <v>-3875784571751290i</v>
      </c>
      <c r="G58" s="30" t="e">
        <f t="shared" si="33"/>
        <v>#VALUE!</v>
      </c>
      <c r="I58" s="30" t="e">
        <f t="shared" si="34"/>
        <v>#REF!</v>
      </c>
      <c r="J58" t="e">
        <f t="shared" si="18"/>
        <v>#REF!</v>
      </c>
      <c r="L58" s="30" t="e">
        <f t="shared" si="35"/>
        <v>#VALUE!</v>
      </c>
      <c r="M58" t="e">
        <f t="shared" si="36"/>
        <v>#VALUE!</v>
      </c>
      <c r="N58" t="e">
        <f t="shared" si="48"/>
        <v>#REF!</v>
      </c>
      <c r="O58" s="299" t="e">
        <f t="shared" si="49"/>
        <v>#VALUE!</v>
      </c>
      <c r="P58" s="651">
        <v>0</v>
      </c>
      <c r="Q58" s="397" t="str">
        <f t="shared" si="37"/>
        <v>1+0.054977871375i</v>
      </c>
      <c r="R58" s="397" t="str">
        <f t="shared" si="38"/>
        <v>-0.000433545262196099i</v>
      </c>
      <c r="S58" s="397" t="str">
        <f t="shared" si="39"/>
        <v>-0.0246641413419566</v>
      </c>
      <c r="T58" s="397" t="str">
        <f t="shared" si="50"/>
        <v>0.975335858658043+0.0545443261128039i</v>
      </c>
      <c r="U58" s="652">
        <v>1</v>
      </c>
      <c r="V58">
        <f t="shared" si="40"/>
        <v>1</v>
      </c>
      <c r="W58">
        <f t="shared" si="23"/>
        <v>0</v>
      </c>
      <c r="X58">
        <f t="shared" si="41"/>
        <v>0</v>
      </c>
      <c r="Z58" t="str">
        <f t="shared" si="42"/>
        <v>1.02523378537434-0.000966656304033977i</v>
      </c>
      <c r="AA58">
        <f t="shared" si="24"/>
        <v>0.21646204909008521</v>
      </c>
      <c r="AB58">
        <f t="shared" si="43"/>
        <v>-5.4022127344881758E-2</v>
      </c>
      <c r="AD58" s="30" t="str">
        <f t="shared" si="44"/>
        <v>3.14159265i</v>
      </c>
      <c r="AE58" s="30" t="str">
        <f t="shared" si="25"/>
        <v>1+3.14159265i</v>
      </c>
      <c r="AF58" s="30" t="e">
        <f t="shared" si="45"/>
        <v>#VALUE!</v>
      </c>
      <c r="AG58" t="e">
        <f t="shared" si="46"/>
        <v>#VALUE!</v>
      </c>
      <c r="AH58" t="str">
        <f t="shared" si="26"/>
        <v>1+3.14159265i</v>
      </c>
      <c r="AI58" s="299" t="e">
        <f t="shared" si="27"/>
        <v>#VALUE!</v>
      </c>
      <c r="AK58" t="e">
        <f t="shared" si="28"/>
        <v>#VALUE!</v>
      </c>
      <c r="AM58" t="e">
        <f t="shared" si="29"/>
        <v>#VALUE!</v>
      </c>
      <c r="AN58" t="e">
        <f t="shared" si="47"/>
        <v>#VALUE!</v>
      </c>
    </row>
    <row r="59" spans="1:40" x14ac:dyDescent="0.2">
      <c r="A59" s="335">
        <v>30000</v>
      </c>
      <c r="B59" s="352">
        <f t="shared" si="17"/>
        <v>30</v>
      </c>
      <c r="C59" t="str">
        <f t="shared" si="30"/>
        <v>188495.559i</v>
      </c>
      <c r="D59" s="30" t="str">
        <f t="shared" si="31"/>
        <v>-35530575762.7225</v>
      </c>
      <c r="E59" s="30" t="str">
        <f t="shared" si="32"/>
        <v>-6697355739986230i</v>
      </c>
      <c r="G59" s="30" t="e">
        <f t="shared" si="33"/>
        <v>#VALUE!</v>
      </c>
      <c r="I59" s="30" t="e">
        <f t="shared" si="34"/>
        <v>#REF!</v>
      </c>
      <c r="J59" t="e">
        <f t="shared" si="18"/>
        <v>#REF!</v>
      </c>
      <c r="L59" s="30" t="e">
        <f t="shared" si="35"/>
        <v>#VALUE!</v>
      </c>
      <c r="M59" t="e">
        <f t="shared" si="36"/>
        <v>#VALUE!</v>
      </c>
      <c r="N59" t="e">
        <f t="shared" si="48"/>
        <v>#REF!</v>
      </c>
      <c r="O59" s="299" t="e">
        <f t="shared" si="49"/>
        <v>#VALUE!</v>
      </c>
      <c r="P59" s="651">
        <v>0</v>
      </c>
      <c r="Q59" s="397" t="str">
        <f t="shared" si="37"/>
        <v>1+0.06597344565i</v>
      </c>
      <c r="R59" s="397" t="str">
        <f t="shared" si="38"/>
        <v>-0.00074916621307486i</v>
      </c>
      <c r="S59" s="397" t="str">
        <f t="shared" si="39"/>
        <v>-0.0355163635324174</v>
      </c>
      <c r="T59" s="397" t="str">
        <f t="shared" si="50"/>
        <v>0.964483636467583+0.0652242794369251i</v>
      </c>
      <c r="U59" s="652">
        <v>1</v>
      </c>
      <c r="V59">
        <f t="shared" si="40"/>
        <v>1</v>
      </c>
      <c r="W59">
        <f t="shared" si="23"/>
        <v>0</v>
      </c>
      <c r="X59">
        <f t="shared" si="41"/>
        <v>0</v>
      </c>
      <c r="Z59" t="str">
        <f t="shared" si="42"/>
        <v>1.03670887459481-0.00170572482425677i</v>
      </c>
      <c r="AA59">
        <f t="shared" si="24"/>
        <v>0.31314808208663503</v>
      </c>
      <c r="AB59">
        <f t="shared" si="43"/>
        <v>-9.4270192682177109E-2</v>
      </c>
      <c r="AD59" s="30" t="str">
        <f t="shared" si="44"/>
        <v>3.76991118i</v>
      </c>
      <c r="AE59" s="30" t="str">
        <f t="shared" si="25"/>
        <v>1+3.76991118i</v>
      </c>
      <c r="AF59" s="30" t="e">
        <f t="shared" si="45"/>
        <v>#VALUE!</v>
      </c>
      <c r="AG59" t="e">
        <f t="shared" si="46"/>
        <v>#VALUE!</v>
      </c>
      <c r="AH59" t="str">
        <f t="shared" si="26"/>
        <v>1+3.76991118i</v>
      </c>
      <c r="AI59" s="299" t="e">
        <f t="shared" si="27"/>
        <v>#VALUE!</v>
      </c>
      <c r="AK59" t="e">
        <f t="shared" si="28"/>
        <v>#VALUE!</v>
      </c>
      <c r="AM59" t="e">
        <f t="shared" si="29"/>
        <v>#VALUE!</v>
      </c>
      <c r="AN59" t="e">
        <f t="shared" si="47"/>
        <v>#VALUE!</v>
      </c>
    </row>
    <row r="60" spans="1:40" x14ac:dyDescent="0.2">
      <c r="A60" s="335">
        <v>35000</v>
      </c>
      <c r="B60" s="352">
        <f t="shared" si="17"/>
        <v>35</v>
      </c>
      <c r="C60" t="str">
        <f t="shared" si="30"/>
        <v>219911.4855i</v>
      </c>
      <c r="D60" s="30" t="str">
        <f t="shared" si="31"/>
        <v>-48361061454.8167</v>
      </c>
      <c r="E60" s="30" t="str">
        <f t="shared" si="32"/>
        <v>-10635152864885500i</v>
      </c>
      <c r="G60" s="30" t="e">
        <f t="shared" si="33"/>
        <v>#VALUE!</v>
      </c>
      <c r="I60" s="30" t="e">
        <f t="shared" si="34"/>
        <v>#REF!</v>
      </c>
      <c r="J60" t="e">
        <f t="shared" si="18"/>
        <v>#REF!</v>
      </c>
      <c r="L60" s="30" t="e">
        <f t="shared" si="35"/>
        <v>#VALUE!</v>
      </c>
      <c r="M60" t="e">
        <f t="shared" si="36"/>
        <v>#VALUE!</v>
      </c>
      <c r="N60" t="e">
        <f t="shared" si="48"/>
        <v>#REF!</v>
      </c>
      <c r="O60" s="299" t="e">
        <f t="shared" si="49"/>
        <v>#VALUE!</v>
      </c>
      <c r="P60" s="651">
        <v>0</v>
      </c>
      <c r="Q60" s="397" t="str">
        <f t="shared" si="37"/>
        <v>1+0.076969019925i</v>
      </c>
      <c r="R60" s="397" t="str">
        <f t="shared" si="38"/>
        <v>-0.00118964819946609i</v>
      </c>
      <c r="S60" s="397" t="str">
        <f t="shared" si="39"/>
        <v>-0.0483417170302348</v>
      </c>
      <c r="T60" s="397" t="str">
        <f t="shared" si="50"/>
        <v>0.951658282969765+0.0757793717255339i</v>
      </c>
      <c r="U60" s="652">
        <v>1</v>
      </c>
      <c r="V60">
        <f t="shared" si="40"/>
        <v>1</v>
      </c>
      <c r="W60">
        <f t="shared" si="23"/>
        <v>0</v>
      </c>
      <c r="X60">
        <f t="shared" si="41"/>
        <v>0</v>
      </c>
      <c r="Z60" t="str">
        <f t="shared" si="42"/>
        <v>1.05057619978726-0.00277724104542023i</v>
      </c>
      <c r="AA60">
        <f t="shared" si="24"/>
        <v>0.42858150735745315</v>
      </c>
      <c r="AB60">
        <f t="shared" si="43"/>
        <v>-0.15146337803870516</v>
      </c>
      <c r="AD60" s="30" t="str">
        <f t="shared" si="44"/>
        <v>4.39822971i</v>
      </c>
      <c r="AE60" s="30" t="str">
        <f t="shared" si="25"/>
        <v>1+4.39822971i</v>
      </c>
      <c r="AF60" s="30" t="e">
        <f t="shared" si="45"/>
        <v>#VALUE!</v>
      </c>
      <c r="AG60" t="e">
        <f t="shared" si="46"/>
        <v>#VALUE!</v>
      </c>
      <c r="AH60" t="str">
        <f t="shared" si="26"/>
        <v>1+4.39822971i</v>
      </c>
      <c r="AI60" s="299" t="e">
        <f t="shared" si="27"/>
        <v>#VALUE!</v>
      </c>
      <c r="AK60" t="e">
        <f t="shared" si="28"/>
        <v>#VALUE!</v>
      </c>
      <c r="AM60" t="e">
        <f t="shared" si="29"/>
        <v>#VALUE!</v>
      </c>
      <c r="AN60" t="e">
        <f t="shared" si="47"/>
        <v>#VALUE!</v>
      </c>
    </row>
    <row r="61" spans="1:40" x14ac:dyDescent="0.2">
      <c r="A61" s="335">
        <v>40000</v>
      </c>
      <c r="B61" s="352">
        <f t="shared" si="17"/>
        <v>40</v>
      </c>
      <c r="C61" t="str">
        <f t="shared" si="30"/>
        <v>251327.412i</v>
      </c>
      <c r="D61" s="30" t="str">
        <f t="shared" si="31"/>
        <v>-63165468022.6178</v>
      </c>
      <c r="E61" s="30" t="str">
        <f t="shared" si="32"/>
        <v>-15875213605893300i</v>
      </c>
      <c r="G61" s="30" t="e">
        <f t="shared" si="33"/>
        <v>#VALUE!</v>
      </c>
      <c r="I61" s="30" t="e">
        <f t="shared" si="34"/>
        <v>#REF!</v>
      </c>
      <c r="J61" t="e">
        <f t="shared" si="18"/>
        <v>#REF!</v>
      </c>
      <c r="L61" s="30" t="e">
        <f t="shared" si="35"/>
        <v>#VALUE!</v>
      </c>
      <c r="M61" t="e">
        <f t="shared" si="36"/>
        <v>#VALUE!</v>
      </c>
      <c r="N61" t="e">
        <f t="shared" si="48"/>
        <v>#REF!</v>
      </c>
      <c r="O61" s="299" t="e">
        <f t="shared" si="49"/>
        <v>#VALUE!</v>
      </c>
      <c r="P61" s="651">
        <v>0</v>
      </c>
      <c r="Q61" s="397" t="str">
        <f t="shared" si="37"/>
        <v>1+0.0879645942i</v>
      </c>
      <c r="R61" s="397" t="str">
        <f t="shared" si="38"/>
        <v>-0.00177580139395522i</v>
      </c>
      <c r="S61" s="397" t="str">
        <f t="shared" si="39"/>
        <v>-0.0631402018354088</v>
      </c>
      <c r="T61" s="397" t="str">
        <f t="shared" si="50"/>
        <v>0.936859798164591+0.0861887928060448i</v>
      </c>
      <c r="U61" s="652">
        <v>1</v>
      </c>
      <c r="V61">
        <f t="shared" si="40"/>
        <v>1</v>
      </c>
      <c r="W61">
        <f t="shared" si="23"/>
        <v>0</v>
      </c>
      <c r="X61">
        <f t="shared" si="41"/>
        <v>0</v>
      </c>
      <c r="Z61" t="str">
        <f t="shared" si="42"/>
        <v>1.06700286965865-0.00426861635465528i</v>
      </c>
      <c r="AA61">
        <f t="shared" si="24"/>
        <v>0.56338125510820847</v>
      </c>
      <c r="AB61">
        <f t="shared" si="43"/>
        <v>-0.22921437604912545</v>
      </c>
      <c r="AD61" s="30" t="str">
        <f t="shared" si="44"/>
        <v>5.02654824i</v>
      </c>
      <c r="AE61" s="30" t="str">
        <f t="shared" si="25"/>
        <v>1+5.02654824i</v>
      </c>
      <c r="AF61" s="30" t="e">
        <f t="shared" si="45"/>
        <v>#VALUE!</v>
      </c>
      <c r="AG61" t="e">
        <f t="shared" si="46"/>
        <v>#VALUE!</v>
      </c>
      <c r="AH61" t="str">
        <f t="shared" si="26"/>
        <v>1+5.02654824i</v>
      </c>
      <c r="AI61" s="299" t="e">
        <f t="shared" si="27"/>
        <v>#VALUE!</v>
      </c>
      <c r="AK61" t="e">
        <f t="shared" si="28"/>
        <v>#VALUE!</v>
      </c>
      <c r="AM61" t="e">
        <f t="shared" si="29"/>
        <v>#VALUE!</v>
      </c>
      <c r="AN61" t="e">
        <f t="shared" si="47"/>
        <v>#VALUE!</v>
      </c>
    </row>
    <row r="62" spans="1:40" x14ac:dyDescent="0.2">
      <c r="A62" s="335">
        <v>45000</v>
      </c>
      <c r="B62" s="352">
        <f t="shared" si="17"/>
        <v>45</v>
      </c>
      <c r="C62" t="str">
        <f t="shared" si="30"/>
        <v>282743.3385i</v>
      </c>
      <c r="D62" s="30" t="str">
        <f t="shared" si="31"/>
        <v>-79943795466.1256</v>
      </c>
      <c r="E62" s="30" t="str">
        <f t="shared" si="32"/>
        <v>-22603575622453500i</v>
      </c>
      <c r="G62" s="30" t="e">
        <f t="shared" si="33"/>
        <v>#VALUE!</v>
      </c>
      <c r="I62" s="30" t="e">
        <f t="shared" si="34"/>
        <v>#REF!</v>
      </c>
      <c r="J62" t="e">
        <f t="shared" si="18"/>
        <v>#REF!</v>
      </c>
      <c r="L62" s="30" t="e">
        <f t="shared" si="35"/>
        <v>#VALUE!</v>
      </c>
      <c r="M62" t="e">
        <f t="shared" si="36"/>
        <v>#VALUE!</v>
      </c>
      <c r="N62" t="e">
        <f t="shared" si="48"/>
        <v>#REF!</v>
      </c>
      <c r="O62" s="299" t="e">
        <f t="shared" si="49"/>
        <v>#VALUE!</v>
      </c>
      <c r="P62" s="651">
        <v>0</v>
      </c>
      <c r="Q62" s="397" t="str">
        <f t="shared" si="37"/>
        <v>1+0.098960168475i</v>
      </c>
      <c r="R62" s="397" t="str">
        <f t="shared" si="38"/>
        <v>-0.00252843596912765i</v>
      </c>
      <c r="S62" s="397" t="str">
        <f t="shared" si="39"/>
        <v>-0.0799118179479392</v>
      </c>
      <c r="T62" s="397" t="str">
        <f t="shared" si="50"/>
        <v>0.920088182052061+0.0964317325058724i</v>
      </c>
      <c r="U62" s="652">
        <v>1</v>
      </c>
      <c r="V62">
        <f t="shared" si="40"/>
        <v>1</v>
      </c>
      <c r="W62">
        <f t="shared" si="23"/>
        <v>0</v>
      </c>
      <c r="X62">
        <f t="shared" si="41"/>
        <v>0</v>
      </c>
      <c r="Z62" t="str">
        <f t="shared" si="42"/>
        <v>1.08619356566251-0.00628565719175738i</v>
      </c>
      <c r="AA62">
        <f t="shared" si="24"/>
        <v>0.71828994959670589</v>
      </c>
      <c r="AB62">
        <f t="shared" si="43"/>
        <v>-0.33155932819996564</v>
      </c>
      <c r="AD62" s="30" t="str">
        <f t="shared" si="44"/>
        <v>5.65486677i</v>
      </c>
      <c r="AE62" s="30" t="str">
        <f t="shared" si="25"/>
        <v>1+5.65486677i</v>
      </c>
      <c r="AF62" s="30" t="e">
        <f t="shared" si="45"/>
        <v>#VALUE!</v>
      </c>
      <c r="AG62" t="e">
        <f t="shared" si="46"/>
        <v>#VALUE!</v>
      </c>
      <c r="AH62" t="str">
        <f t="shared" si="26"/>
        <v>1+5.65486677i</v>
      </c>
      <c r="AI62" s="299" t="e">
        <f t="shared" si="27"/>
        <v>#VALUE!</v>
      </c>
      <c r="AK62" t="e">
        <f t="shared" si="28"/>
        <v>#VALUE!</v>
      </c>
      <c r="AM62" t="e">
        <f t="shared" si="29"/>
        <v>#VALUE!</v>
      </c>
      <c r="AN62" t="e">
        <f t="shared" si="47"/>
        <v>#VALUE!</v>
      </c>
    </row>
    <row r="63" spans="1:40" x14ac:dyDescent="0.2">
      <c r="A63" s="335">
        <v>50000</v>
      </c>
      <c r="B63" s="352">
        <f t="shared" si="17"/>
        <v>50</v>
      </c>
      <c r="C63" t="str">
        <f t="shared" si="30"/>
        <v>314159.265i</v>
      </c>
      <c r="D63" s="30" t="str">
        <f t="shared" si="31"/>
        <v>-98696043785.3402</v>
      </c>
      <c r="E63" s="30" t="str">
        <f t="shared" si="32"/>
        <v>-31006276574010300i</v>
      </c>
      <c r="G63" s="30" t="e">
        <f t="shared" si="33"/>
        <v>#VALUE!</v>
      </c>
      <c r="I63" s="30" t="e">
        <f t="shared" si="34"/>
        <v>#REF!</v>
      </c>
      <c r="J63" t="e">
        <f t="shared" si="18"/>
        <v>#REF!</v>
      </c>
      <c r="L63" s="30" t="e">
        <f t="shared" si="35"/>
        <v>#VALUE!</v>
      </c>
      <c r="M63" t="e">
        <f t="shared" si="36"/>
        <v>#VALUE!</v>
      </c>
      <c r="N63" t="e">
        <f t="shared" si="48"/>
        <v>#REF!</v>
      </c>
      <c r="O63" s="299" t="e">
        <f t="shared" si="49"/>
        <v>#VALUE!</v>
      </c>
      <c r="P63" s="651">
        <v>0</v>
      </c>
      <c r="Q63" s="397" t="str">
        <f t="shared" si="37"/>
        <v>1+0.10995574275i</v>
      </c>
      <c r="R63" s="397" t="str">
        <f t="shared" si="38"/>
        <v>-0.00346836209756879i</v>
      </c>
      <c r="S63" s="397" t="str">
        <f t="shared" si="39"/>
        <v>-0.0986565653678261</v>
      </c>
      <c r="T63" s="397" t="str">
        <f t="shared" si="50"/>
        <v>0.901343434632174+0.106487380652431i</v>
      </c>
      <c r="U63" s="652">
        <v>1</v>
      </c>
      <c r="V63">
        <f t="shared" si="40"/>
        <v>1</v>
      </c>
      <c r="W63">
        <f t="shared" si="23"/>
        <v>0</v>
      </c>
      <c r="X63">
        <f t="shared" si="41"/>
        <v>0</v>
      </c>
      <c r="Z63" t="str">
        <f t="shared" si="42"/>
        <v>1.10839666057698-0.00895831050462997i</v>
      </c>
      <c r="AA63">
        <f t="shared" si="24"/>
        <v>0.89418785513768861</v>
      </c>
      <c r="AB63">
        <f t="shared" si="43"/>
        <v>-0.46306726345210286</v>
      </c>
      <c r="AD63" s="30" t="str">
        <f t="shared" si="44"/>
        <v>6.2831853i</v>
      </c>
      <c r="AE63" s="30" t="str">
        <f t="shared" si="25"/>
        <v>1+6.2831853i</v>
      </c>
      <c r="AF63" s="30" t="e">
        <f t="shared" si="45"/>
        <v>#VALUE!</v>
      </c>
      <c r="AG63" t="e">
        <f t="shared" si="46"/>
        <v>#VALUE!</v>
      </c>
      <c r="AH63" t="str">
        <f t="shared" si="26"/>
        <v>1+6.2831853i</v>
      </c>
      <c r="AI63" s="299" t="e">
        <f t="shared" si="27"/>
        <v>#VALUE!</v>
      </c>
      <c r="AK63" t="e">
        <f t="shared" si="28"/>
        <v>#VALUE!</v>
      </c>
      <c r="AM63" t="e">
        <f t="shared" si="29"/>
        <v>#VALUE!</v>
      </c>
      <c r="AN63" t="e">
        <f t="shared" si="47"/>
        <v>#VALUE!</v>
      </c>
    </row>
    <row r="64" spans="1:40" x14ac:dyDescent="0.2">
      <c r="A64" s="335">
        <v>55000</v>
      </c>
      <c r="B64" s="352">
        <f t="shared" si="17"/>
        <v>55</v>
      </c>
      <c r="C64" t="str">
        <f t="shared" si="30"/>
        <v>345575.1915i</v>
      </c>
      <c r="D64" s="30" t="str">
        <f t="shared" si="31"/>
        <v>-119422212980.262</v>
      </c>
      <c r="E64" s="30" t="str">
        <f t="shared" si="32"/>
        <v>-41269354120007700i</v>
      </c>
      <c r="G64" s="30" t="e">
        <f t="shared" si="33"/>
        <v>#VALUE!</v>
      </c>
      <c r="I64" s="30" t="e">
        <f t="shared" si="34"/>
        <v>#REF!</v>
      </c>
      <c r="J64" t="e">
        <f t="shared" si="18"/>
        <v>#REF!</v>
      </c>
      <c r="L64" s="30" t="e">
        <f t="shared" si="35"/>
        <v>#VALUE!</v>
      </c>
      <c r="M64" t="e">
        <f t="shared" si="36"/>
        <v>#VALUE!</v>
      </c>
      <c r="N64" t="e">
        <f t="shared" si="48"/>
        <v>#REF!</v>
      </c>
      <c r="O64" s="299" t="e">
        <f t="shared" si="49"/>
        <v>#VALUE!</v>
      </c>
      <c r="P64" s="651">
        <v>0</v>
      </c>
      <c r="Q64" s="397" t="str">
        <f t="shared" si="37"/>
        <v>1+0.120951317025i</v>
      </c>
      <c r="R64" s="397" t="str">
        <f t="shared" si="38"/>
        <v>-0.00461638995186406i</v>
      </c>
      <c r="S64" s="397" t="str">
        <f t="shared" si="39"/>
        <v>-0.11937444409507</v>
      </c>
      <c r="T64" s="397" t="str">
        <f t="shared" si="50"/>
        <v>0.88062555590493+0.116334927073136i</v>
      </c>
      <c r="U64" s="652">
        <v>1</v>
      </c>
      <c r="V64">
        <f t="shared" si="40"/>
        <v>1</v>
      </c>
      <c r="W64">
        <f t="shared" si="23"/>
        <v>0</v>
      </c>
      <c r="X64">
        <f t="shared" si="41"/>
        <v>0</v>
      </c>
      <c r="Z64" t="str">
        <f t="shared" si="42"/>
        <v>1.1339119415625-0.0124482487823856i</v>
      </c>
      <c r="AA64">
        <f t="shared" si="24"/>
        <v>1.0921099587044569</v>
      </c>
      <c r="AB64">
        <f t="shared" si="43"/>
        <v>-0.628976061964027</v>
      </c>
      <c r="AD64" s="30" t="str">
        <f t="shared" si="44"/>
        <v>6.91150383i</v>
      </c>
      <c r="AE64" s="30" t="str">
        <f t="shared" si="25"/>
        <v>1+6.91150383i</v>
      </c>
      <c r="AF64" s="30" t="e">
        <f t="shared" si="45"/>
        <v>#VALUE!</v>
      </c>
      <c r="AG64" t="e">
        <f t="shared" si="46"/>
        <v>#VALUE!</v>
      </c>
      <c r="AH64" t="str">
        <f t="shared" si="26"/>
        <v>1+6.91150383i</v>
      </c>
      <c r="AI64" s="299" t="e">
        <f t="shared" si="27"/>
        <v>#VALUE!</v>
      </c>
      <c r="AK64" t="e">
        <f t="shared" si="28"/>
        <v>#VALUE!</v>
      </c>
      <c r="AM64" t="e">
        <f t="shared" si="29"/>
        <v>#VALUE!</v>
      </c>
      <c r="AN64" t="e">
        <f t="shared" si="47"/>
        <v>#VALUE!</v>
      </c>
    </row>
    <row r="65" spans="1:40" x14ac:dyDescent="0.2">
      <c r="A65" s="335">
        <v>60000</v>
      </c>
      <c r="B65" s="352">
        <f t="shared" si="17"/>
        <v>60</v>
      </c>
      <c r="C65" t="str">
        <f t="shared" si="30"/>
        <v>376991.118i</v>
      </c>
      <c r="D65" s="30" t="str">
        <f t="shared" si="31"/>
        <v>-142122303050.89</v>
      </c>
      <c r="E65" s="30" t="str">
        <f t="shared" si="32"/>
        <v>-53578845919889800i</v>
      </c>
      <c r="G65" s="30" t="e">
        <f t="shared" si="33"/>
        <v>#VALUE!</v>
      </c>
      <c r="I65" s="30" t="e">
        <f t="shared" si="34"/>
        <v>#REF!</v>
      </c>
      <c r="J65" t="e">
        <f t="shared" si="18"/>
        <v>#REF!</v>
      </c>
      <c r="L65" s="30" t="e">
        <f t="shared" si="35"/>
        <v>#VALUE!</v>
      </c>
      <c r="M65" t="e">
        <f t="shared" si="36"/>
        <v>#VALUE!</v>
      </c>
      <c r="N65" t="e">
        <f t="shared" si="48"/>
        <v>#REF!</v>
      </c>
      <c r="O65" s="299" t="e">
        <f t="shared" si="49"/>
        <v>#VALUE!</v>
      </c>
      <c r="P65" s="651">
        <v>0</v>
      </c>
      <c r="Q65" s="397" t="str">
        <f t="shared" si="37"/>
        <v>1+0.1319468913i</v>
      </c>
      <c r="R65" s="397" t="str">
        <f t="shared" si="38"/>
        <v>-0.00599332970459887i</v>
      </c>
      <c r="S65" s="397" t="str">
        <f t="shared" si="39"/>
        <v>-0.14206545412967</v>
      </c>
      <c r="T65" s="397" t="str">
        <f t="shared" si="50"/>
        <v>0.85793454587033+0.125953561595401i</v>
      </c>
      <c r="U65" s="652">
        <v>1</v>
      </c>
      <c r="V65">
        <f t="shared" si="40"/>
        <v>1</v>
      </c>
      <c r="W65">
        <f t="shared" si="23"/>
        <v>0</v>
      </c>
      <c r="X65">
        <f t="shared" si="41"/>
        <v>0</v>
      </c>
      <c r="Z65" t="str">
        <f t="shared" si="42"/>
        <v>1.1631003258263-0.0169590294511739i</v>
      </c>
      <c r="AA65">
        <f t="shared" si="24"/>
        <v>1.3132667689997053</v>
      </c>
      <c r="AB65">
        <f t="shared" si="43"/>
        <v>-0.83536384612322845</v>
      </c>
      <c r="AD65" s="30" t="str">
        <f t="shared" si="44"/>
        <v>7.53982236i</v>
      </c>
      <c r="AE65" s="30" t="str">
        <f t="shared" si="25"/>
        <v>1+7.53982236i</v>
      </c>
      <c r="AF65" s="30" t="e">
        <f t="shared" si="45"/>
        <v>#VALUE!</v>
      </c>
      <c r="AG65" t="e">
        <f t="shared" si="46"/>
        <v>#VALUE!</v>
      </c>
      <c r="AH65" t="str">
        <f t="shared" si="26"/>
        <v>1+7.53982236i</v>
      </c>
      <c r="AI65" s="299" t="e">
        <f t="shared" si="27"/>
        <v>#VALUE!</v>
      </c>
      <c r="AK65" t="e">
        <f t="shared" si="28"/>
        <v>#VALUE!</v>
      </c>
      <c r="AM65" t="e">
        <f t="shared" si="29"/>
        <v>#VALUE!</v>
      </c>
      <c r="AN65" t="e">
        <f t="shared" si="47"/>
        <v>#VALUE!</v>
      </c>
    </row>
    <row r="66" spans="1:40" x14ac:dyDescent="0.2">
      <c r="A66" s="335">
        <v>65000</v>
      </c>
      <c r="B66" s="352">
        <f t="shared" si="17"/>
        <v>65</v>
      </c>
      <c r="C66" t="str">
        <f t="shared" si="30"/>
        <v>408407.0445i</v>
      </c>
      <c r="D66" s="30" t="str">
        <f t="shared" si="31"/>
        <v>-166796313997.225</v>
      </c>
      <c r="E66" s="30" t="str">
        <f t="shared" si="32"/>
        <v>-68120789633100600i</v>
      </c>
      <c r="G66" s="30" t="e">
        <f t="shared" si="33"/>
        <v>#VALUE!</v>
      </c>
      <c r="I66" s="30" t="e">
        <f t="shared" si="34"/>
        <v>#REF!</v>
      </c>
      <c r="J66" t="e">
        <f t="shared" si="18"/>
        <v>#REF!</v>
      </c>
      <c r="L66" s="30" t="e">
        <f t="shared" si="35"/>
        <v>#VALUE!</v>
      </c>
      <c r="M66" t="e">
        <f t="shared" si="36"/>
        <v>#VALUE!</v>
      </c>
      <c r="N66" t="e">
        <f t="shared" si="48"/>
        <v>#REF!</v>
      </c>
      <c r="O66" s="299" t="e">
        <f t="shared" si="49"/>
        <v>#VALUE!</v>
      </c>
      <c r="P66" s="651">
        <v>0</v>
      </c>
      <c r="Q66" s="397" t="str">
        <f t="shared" si="37"/>
        <v>1+0.142942465575i</v>
      </c>
      <c r="R66" s="397" t="str">
        <f t="shared" si="38"/>
        <v>-0.00761999152835863i</v>
      </c>
      <c r="S66" s="397" t="str">
        <f t="shared" si="39"/>
        <v>-0.166729595471626</v>
      </c>
      <c r="T66" s="397" t="str">
        <f t="shared" si="50"/>
        <v>0.833270404528374+0.135322474046641i</v>
      </c>
      <c r="U66" s="652">
        <v>1</v>
      </c>
      <c r="V66">
        <f t="shared" si="40"/>
        <v>1</v>
      </c>
      <c r="W66">
        <f t="shared" si="23"/>
        <v>0</v>
      </c>
      <c r="X66">
        <f t="shared" si="41"/>
        <v>0</v>
      </c>
      <c r="Z66" t="str">
        <f t="shared" si="42"/>
        <v>1.19639605981863-0.0227498889631618i</v>
      </c>
      <c r="AA66">
        <f t="shared" si="24"/>
        <v>1.5590695347266561</v>
      </c>
      <c r="AB66">
        <f t="shared" si="43"/>
        <v>-1.0893679748558442</v>
      </c>
      <c r="AD66" s="30" t="str">
        <f t="shared" si="44"/>
        <v>8.16814089i</v>
      </c>
      <c r="AE66" s="30" t="str">
        <f t="shared" si="25"/>
        <v>1+8.16814089i</v>
      </c>
      <c r="AF66" s="30" t="e">
        <f t="shared" si="45"/>
        <v>#VALUE!</v>
      </c>
      <c r="AG66" t="e">
        <f t="shared" si="46"/>
        <v>#VALUE!</v>
      </c>
      <c r="AH66" t="str">
        <f t="shared" si="26"/>
        <v>1+8.16814089i</v>
      </c>
      <c r="AI66" s="299" t="e">
        <f t="shared" si="27"/>
        <v>#VALUE!</v>
      </c>
      <c r="AK66" t="e">
        <f t="shared" si="28"/>
        <v>#VALUE!</v>
      </c>
      <c r="AM66" t="e">
        <f t="shared" si="29"/>
        <v>#VALUE!</v>
      </c>
      <c r="AN66" t="e">
        <f t="shared" si="47"/>
        <v>#VALUE!</v>
      </c>
    </row>
    <row r="67" spans="1:40" x14ac:dyDescent="0.2">
      <c r="A67" s="335">
        <v>70000</v>
      </c>
      <c r="B67" s="352">
        <f t="shared" si="17"/>
        <v>70</v>
      </c>
      <c r="C67" t="str">
        <f t="shared" si="30"/>
        <v>439822.971i</v>
      </c>
      <c r="D67" s="30" t="str">
        <f t="shared" si="31"/>
        <v>-193444245819.267</v>
      </c>
      <c r="E67" s="30" t="str">
        <f t="shared" si="32"/>
        <v>-85081222919084300i</v>
      </c>
      <c r="G67" s="30" t="e">
        <f t="shared" si="33"/>
        <v>#VALUE!</v>
      </c>
      <c r="I67" s="30" t="e">
        <f t="shared" si="34"/>
        <v>#REF!</v>
      </c>
      <c r="J67" t="e">
        <f t="shared" si="18"/>
        <v>#REF!</v>
      </c>
      <c r="L67" s="30" t="e">
        <f t="shared" si="35"/>
        <v>#VALUE!</v>
      </c>
      <c r="M67" t="e">
        <f t="shared" si="36"/>
        <v>#VALUE!</v>
      </c>
      <c r="N67" t="e">
        <f t="shared" si="48"/>
        <v>#REF!</v>
      </c>
      <c r="O67" s="299" t="e">
        <f t="shared" si="49"/>
        <v>#VALUE!</v>
      </c>
      <c r="P67" s="651">
        <v>0</v>
      </c>
      <c r="Q67" s="397" t="str">
        <f t="shared" si="37"/>
        <v>1+0.15393803985i</v>
      </c>
      <c r="R67" s="397" t="str">
        <f t="shared" si="38"/>
        <v>-0.00951718559572877i</v>
      </c>
      <c r="S67" s="397" t="str">
        <f t="shared" si="39"/>
        <v>-0.193366868120939</v>
      </c>
      <c r="T67" s="397" t="str">
        <f t="shared" si="50"/>
        <v>0.806633131879061+0.144420854254271i</v>
      </c>
      <c r="U67" s="652">
        <v>1</v>
      </c>
      <c r="V67">
        <f t="shared" si="40"/>
        <v>1</v>
      </c>
      <c r="W67">
        <f t="shared" si="23"/>
        <v>0</v>
      </c>
      <c r="X67">
        <f t="shared" si="41"/>
        <v>0</v>
      </c>
      <c r="Z67" t="str">
        <f t="shared" si="42"/>
        <v>1.23432201043572-0.0301547238275632i</v>
      </c>
      <c r="AA67">
        <f t="shared" si="24"/>
        <v>1.8311607132208529</v>
      </c>
      <c r="AB67">
        <f t="shared" si="43"/>
        <v>-1.3994685289579945</v>
      </c>
      <c r="AD67" s="30" t="str">
        <f t="shared" si="44"/>
        <v>8.79645942i</v>
      </c>
      <c r="AE67" s="30" t="str">
        <f t="shared" si="25"/>
        <v>1+8.79645942i</v>
      </c>
      <c r="AF67" s="30" t="e">
        <f t="shared" si="45"/>
        <v>#VALUE!</v>
      </c>
      <c r="AG67" t="e">
        <f t="shared" si="46"/>
        <v>#VALUE!</v>
      </c>
      <c r="AH67" t="str">
        <f t="shared" si="26"/>
        <v>1+8.79645942i</v>
      </c>
      <c r="AI67" s="299" t="e">
        <f t="shared" si="27"/>
        <v>#VALUE!</v>
      </c>
      <c r="AK67" t="e">
        <f t="shared" si="28"/>
        <v>#VALUE!</v>
      </c>
      <c r="AM67" t="e">
        <f t="shared" si="29"/>
        <v>#VALUE!</v>
      </c>
      <c r="AN67" t="e">
        <f t="shared" si="47"/>
        <v>#VALUE!</v>
      </c>
    </row>
    <row r="68" spans="1:40" x14ac:dyDescent="0.2">
      <c r="A68" s="335">
        <v>75000</v>
      </c>
      <c r="B68" s="352">
        <f t="shared" si="17"/>
        <v>75</v>
      </c>
      <c r="C68" t="str">
        <f t="shared" si="30"/>
        <v>471238.8975i</v>
      </c>
      <c r="D68" s="30" t="str">
        <f t="shared" si="31"/>
        <v>-222066098517.016</v>
      </c>
      <c r="E68" s="30" t="str">
        <f t="shared" si="32"/>
        <v>-104646183437285000i</v>
      </c>
      <c r="G68" s="30" t="e">
        <f t="shared" si="33"/>
        <v>#VALUE!</v>
      </c>
      <c r="I68" s="30" t="e">
        <f t="shared" si="34"/>
        <v>#REF!</v>
      </c>
      <c r="J68" t="e">
        <f t="shared" si="18"/>
        <v>#REF!</v>
      </c>
      <c r="L68" s="30" t="e">
        <f t="shared" si="35"/>
        <v>#VALUE!</v>
      </c>
      <c r="M68" t="e">
        <f t="shared" si="36"/>
        <v>#VALUE!</v>
      </c>
      <c r="N68" t="e">
        <f t="shared" si="48"/>
        <v>#REF!</v>
      </c>
      <c r="O68" s="299" t="e">
        <f t="shared" si="49"/>
        <v>#VALUE!</v>
      </c>
      <c r="P68" s="651">
        <v>0</v>
      </c>
      <c r="Q68" s="397" t="str">
        <f t="shared" si="37"/>
        <v>1+0.164933614125i</v>
      </c>
      <c r="R68" s="397" t="str">
        <f t="shared" si="38"/>
        <v>-0.0117057220792947i</v>
      </c>
      <c r="S68" s="397" t="str">
        <f t="shared" si="39"/>
        <v>-0.221977272077609</v>
      </c>
      <c r="T68" s="397" t="str">
        <f t="shared" si="50"/>
        <v>0.778022727922391+0.153227892045705i</v>
      </c>
      <c r="U68" s="652">
        <v>1</v>
      </c>
      <c r="V68">
        <f t="shared" si="40"/>
        <v>1</v>
      </c>
      <c r="W68">
        <f t="shared" si="23"/>
        <v>0</v>
      </c>
      <c r="X68">
        <f t="shared" si="41"/>
        <v>0</v>
      </c>
      <c r="Z68" t="str">
        <f t="shared" si="42"/>
        <v>1.27750877655212-0.0396085636961541i</v>
      </c>
      <c r="AA68">
        <f t="shared" si="24"/>
        <v>2.1314506343374608</v>
      </c>
      <c r="AB68">
        <f t="shared" si="43"/>
        <v>-1.775860031243816</v>
      </c>
      <c r="AD68" s="30" t="str">
        <f t="shared" si="44"/>
        <v>9.42477795i</v>
      </c>
      <c r="AE68" s="30" t="str">
        <f t="shared" si="25"/>
        <v>1+9.42477795i</v>
      </c>
      <c r="AF68" s="30" t="e">
        <f t="shared" si="45"/>
        <v>#VALUE!</v>
      </c>
      <c r="AG68" t="e">
        <f t="shared" si="46"/>
        <v>#VALUE!</v>
      </c>
      <c r="AH68" t="str">
        <f t="shared" si="26"/>
        <v>1+9.42477795i</v>
      </c>
      <c r="AI68" s="299" t="e">
        <f t="shared" si="27"/>
        <v>#VALUE!</v>
      </c>
      <c r="AK68" t="e">
        <f t="shared" si="28"/>
        <v>#VALUE!</v>
      </c>
      <c r="AM68" t="e">
        <f t="shared" si="29"/>
        <v>#VALUE!</v>
      </c>
      <c r="AN68" t="e">
        <f t="shared" si="47"/>
        <v>#VALUE!</v>
      </c>
    </row>
    <row r="69" spans="1:40" x14ac:dyDescent="0.2">
      <c r="A69" s="335">
        <v>80000</v>
      </c>
      <c r="B69" s="352">
        <f t="shared" si="17"/>
        <v>80</v>
      </c>
      <c r="C69" t="str">
        <f t="shared" si="30"/>
        <v>502654.824i</v>
      </c>
      <c r="D69" s="30" t="str">
        <f t="shared" si="31"/>
        <v>-252661872090.471</v>
      </c>
      <c r="E69" s="30" t="str">
        <f t="shared" si="32"/>
        <v>-127001708847146000i</v>
      </c>
      <c r="G69" s="30" t="e">
        <f t="shared" si="33"/>
        <v>#VALUE!</v>
      </c>
      <c r="I69" s="30" t="e">
        <f t="shared" si="34"/>
        <v>#REF!</v>
      </c>
      <c r="J69" t="e">
        <f t="shared" si="18"/>
        <v>#REF!</v>
      </c>
      <c r="L69" s="30" t="e">
        <f t="shared" si="35"/>
        <v>#VALUE!</v>
      </c>
      <c r="M69" t="e">
        <f t="shared" si="36"/>
        <v>#VALUE!</v>
      </c>
      <c r="N69" t="e">
        <f t="shared" si="19"/>
        <v>#REF!</v>
      </c>
      <c r="O69" s="299" t="e">
        <f t="shared" si="20"/>
        <v>#VALUE!</v>
      </c>
      <c r="P69" s="651">
        <v>0</v>
      </c>
      <c r="Q69" s="397" t="str">
        <f t="shared" si="37"/>
        <v>1+0.1759291884i</v>
      </c>
      <c r="R69" s="397" t="str">
        <f t="shared" si="38"/>
        <v>-0.0142064111516417i</v>
      </c>
      <c r="S69" s="397" t="str">
        <f t="shared" si="39"/>
        <v>-0.252560807341635</v>
      </c>
      <c r="T69" s="397" t="str">
        <f t="shared" si="21"/>
        <v>0.747439192658365+0.161722777248358i</v>
      </c>
      <c r="U69" s="652">
        <v>1</v>
      </c>
      <c r="V69">
        <f t="shared" si="40"/>
        <v>1</v>
      </c>
      <c r="W69">
        <f t="shared" si="23"/>
        <v>0</v>
      </c>
      <c r="X69">
        <f t="shared" si="41"/>
        <v>0</v>
      </c>
      <c r="Z69" t="str">
        <f t="shared" si="42"/>
        <v>1.32671843606306-0.0516850094110243i</v>
      </c>
      <c r="AA69">
        <f t="shared" si="24"/>
        <v>2.4621613570964245</v>
      </c>
      <c r="AB69">
        <f t="shared" si="43"/>
        <v>-2.2309452403961947</v>
      </c>
      <c r="AD69" s="30" t="str">
        <f t="shared" si="44"/>
        <v>10.05309648i</v>
      </c>
      <c r="AE69" s="30" t="str">
        <f t="shared" si="25"/>
        <v>1+10.05309648i</v>
      </c>
      <c r="AF69" s="30" t="e">
        <f t="shared" si="45"/>
        <v>#VALUE!</v>
      </c>
      <c r="AG69" t="e">
        <f t="shared" si="46"/>
        <v>#VALUE!</v>
      </c>
      <c r="AH69" t="str">
        <f t="shared" si="26"/>
        <v>1+10.05309648i</v>
      </c>
      <c r="AI69" s="299" t="e">
        <f t="shared" si="27"/>
        <v>#VALUE!</v>
      </c>
      <c r="AK69" t="e">
        <f t="shared" si="28"/>
        <v>#VALUE!</v>
      </c>
      <c r="AM69" t="e">
        <f t="shared" si="29"/>
        <v>#VALUE!</v>
      </c>
      <c r="AN69" t="e">
        <f t="shared" si="47"/>
        <v>#VALUE!</v>
      </c>
    </row>
    <row r="70" spans="1:40" x14ac:dyDescent="0.2">
      <c r="A70" s="335">
        <v>90000</v>
      </c>
      <c r="B70" s="352">
        <f t="shared" si="17"/>
        <v>90</v>
      </c>
      <c r="C70" t="str">
        <f t="shared" si="30"/>
        <v>565486.677i</v>
      </c>
      <c r="D70" s="30" t="str">
        <f t="shared" si="31"/>
        <v>-319775181864.502</v>
      </c>
      <c r="E70" s="30" t="str">
        <f t="shared" si="32"/>
        <v>-180828604979628000i</v>
      </c>
      <c r="G70" s="30" t="e">
        <f t="shared" si="33"/>
        <v>#VALUE!</v>
      </c>
      <c r="I70" s="30" t="e">
        <f t="shared" si="34"/>
        <v>#REF!</v>
      </c>
      <c r="J70" t="e">
        <f t="shared" si="18"/>
        <v>#REF!</v>
      </c>
      <c r="L70" s="30" t="e">
        <f t="shared" si="35"/>
        <v>#VALUE!</v>
      </c>
      <c r="M70" t="e">
        <f t="shared" si="36"/>
        <v>#VALUE!</v>
      </c>
      <c r="N70" t="e">
        <f t="shared" si="19"/>
        <v>#REF!</v>
      </c>
      <c r="O70" s="299" t="e">
        <f t="shared" si="20"/>
        <v>#VALUE!</v>
      </c>
      <c r="P70" s="651">
        <v>0</v>
      </c>
      <c r="Q70" s="397" t="str">
        <f t="shared" si="37"/>
        <v>1+0.19792033695i</v>
      </c>
      <c r="R70" s="397" t="str">
        <f t="shared" si="38"/>
        <v>-0.0202274877530212i</v>
      </c>
      <c r="S70" s="397" t="str">
        <f t="shared" si="39"/>
        <v>-0.319647271791756</v>
      </c>
      <c r="T70" s="397" t="str">
        <f t="shared" si="21"/>
        <v>0.680352728208244+0.177692849196979i</v>
      </c>
      <c r="U70" s="652">
        <v>1</v>
      </c>
      <c r="V70">
        <f t="shared" si="40"/>
        <v>1</v>
      </c>
      <c r="W70">
        <f t="shared" si="23"/>
        <v>0</v>
      </c>
      <c r="X70">
        <f t="shared" si="41"/>
        <v>0</v>
      </c>
      <c r="Z70" t="str">
        <f t="shared" si="42"/>
        <v>1.44709298035524-0.0870397594174791i</v>
      </c>
      <c r="AA70">
        <f t="shared" si="24"/>
        <v>3.2256122149724868</v>
      </c>
      <c r="AB70">
        <f t="shared" si="43"/>
        <v>-3.4420800766964819</v>
      </c>
      <c r="AD70" s="30" t="str">
        <f t="shared" si="44"/>
        <v>11.30973354i</v>
      </c>
      <c r="AE70" s="30" t="str">
        <f t="shared" si="25"/>
        <v>1+11.30973354i</v>
      </c>
      <c r="AF70" s="30" t="e">
        <f t="shared" si="45"/>
        <v>#VALUE!</v>
      </c>
      <c r="AG70" t="e">
        <f t="shared" si="46"/>
        <v>#VALUE!</v>
      </c>
      <c r="AH70" t="str">
        <f t="shared" si="26"/>
        <v>1+11.30973354i</v>
      </c>
      <c r="AI70" s="299" t="e">
        <f t="shared" si="27"/>
        <v>#VALUE!</v>
      </c>
      <c r="AK70" t="e">
        <f t="shared" si="28"/>
        <v>#VALUE!</v>
      </c>
      <c r="AM70" t="e">
        <f t="shared" si="29"/>
        <v>#VALUE!</v>
      </c>
      <c r="AN70" t="e">
        <f t="shared" si="47"/>
        <v>#VALUE!</v>
      </c>
    </row>
    <row r="71" spans="1:40" x14ac:dyDescent="0.2">
      <c r="A71" s="335">
        <v>100000</v>
      </c>
      <c r="B71" s="352">
        <f t="shared" si="17"/>
        <v>100</v>
      </c>
      <c r="C71" t="str">
        <f t="shared" si="30"/>
        <v>628318.53i</v>
      </c>
      <c r="D71" s="30" t="str">
        <f t="shared" si="31"/>
        <v>-394784175141.361</v>
      </c>
      <c r="E71" s="30" t="str">
        <f t="shared" si="32"/>
        <v>-248050212592082000i</v>
      </c>
      <c r="G71" s="30" t="e">
        <f t="shared" si="33"/>
        <v>#VALUE!</v>
      </c>
      <c r="I71" s="30" t="e">
        <f t="shared" si="34"/>
        <v>#REF!</v>
      </c>
      <c r="J71" t="e">
        <f t="shared" si="18"/>
        <v>#REF!</v>
      </c>
      <c r="L71" s="30" t="e">
        <f t="shared" si="35"/>
        <v>#VALUE!</v>
      </c>
      <c r="M71" t="e">
        <f t="shared" si="36"/>
        <v>#VALUE!</v>
      </c>
      <c r="N71" t="e">
        <f t="shared" si="19"/>
        <v>#REF!</v>
      </c>
      <c r="O71" s="299" t="e">
        <f t="shared" si="20"/>
        <v>#VALUE!</v>
      </c>
      <c r="P71" s="651">
        <v>0</v>
      </c>
      <c r="Q71" s="397" t="str">
        <f t="shared" si="37"/>
        <v>1+0.2199114855i</v>
      </c>
      <c r="R71" s="397" t="str">
        <f t="shared" si="38"/>
        <v>-0.0277468967805503i</v>
      </c>
      <c r="S71" s="397" t="str">
        <f t="shared" si="39"/>
        <v>-0.394626261471305</v>
      </c>
      <c r="T71" s="397" t="str">
        <f t="shared" si="21"/>
        <v>0.605373738528695+0.19216458871945i</v>
      </c>
      <c r="U71" s="652">
        <v>1</v>
      </c>
      <c r="V71">
        <f t="shared" si="40"/>
        <v>1</v>
      </c>
      <c r="W71">
        <f t="shared" si="23"/>
        <v>0</v>
      </c>
      <c r="X71">
        <f t="shared" si="41"/>
        <v>0</v>
      </c>
      <c r="Z71" t="str">
        <f t="shared" si="42"/>
        <v>1.60541786286688-0.146344269997555i</v>
      </c>
      <c r="AA71">
        <f t="shared" si="24"/>
        <v>4.1477004385549856</v>
      </c>
      <c r="AB71">
        <f t="shared" si="43"/>
        <v>-5.208487782900634</v>
      </c>
      <c r="AD71" s="30" t="str">
        <f t="shared" si="44"/>
        <v>12.5663706i</v>
      </c>
      <c r="AE71" s="30" t="str">
        <f t="shared" si="25"/>
        <v>1+12.5663706i</v>
      </c>
      <c r="AF71" s="30" t="e">
        <f t="shared" si="45"/>
        <v>#VALUE!</v>
      </c>
      <c r="AG71" t="e">
        <f t="shared" si="46"/>
        <v>#VALUE!</v>
      </c>
      <c r="AH71" t="str">
        <f t="shared" si="26"/>
        <v>1+12.5663706i</v>
      </c>
      <c r="AI71" s="299" t="e">
        <f t="shared" si="27"/>
        <v>#VALUE!</v>
      </c>
      <c r="AK71" t="e">
        <f t="shared" si="28"/>
        <v>#VALUE!</v>
      </c>
      <c r="AM71" t="e">
        <f t="shared" si="29"/>
        <v>#VALUE!</v>
      </c>
      <c r="AN71" t="e">
        <f t="shared" si="47"/>
        <v>#VALUE!</v>
      </c>
    </row>
    <row r="72" spans="1:40" x14ac:dyDescent="0.2">
      <c r="A72" s="335">
        <v>110000</v>
      </c>
      <c r="B72" s="352">
        <f t="shared" si="17"/>
        <v>110</v>
      </c>
      <c r="C72" t="str">
        <f t="shared" si="30"/>
        <v>691150.383i</v>
      </c>
      <c r="D72" s="30" t="str">
        <f t="shared" si="31"/>
        <v>-477688851921.047</v>
      </c>
      <c r="E72" s="30" t="str">
        <f t="shared" si="32"/>
        <v>-330154832960062000i</v>
      </c>
      <c r="G72" s="30" t="e">
        <f t="shared" si="33"/>
        <v>#VALUE!</v>
      </c>
      <c r="I72" s="30" t="e">
        <f t="shared" si="34"/>
        <v>#REF!</v>
      </c>
      <c r="J72" t="e">
        <f t="shared" si="18"/>
        <v>#REF!</v>
      </c>
      <c r="L72" s="30" t="e">
        <f t="shared" si="35"/>
        <v>#VALUE!</v>
      </c>
      <c r="M72" t="e">
        <f t="shared" si="36"/>
        <v>#VALUE!</v>
      </c>
      <c r="N72" t="e">
        <f t="shared" ref="N72:N78" si="51">J72</f>
        <v>#REF!</v>
      </c>
      <c r="O72" s="299" t="e">
        <f t="shared" ref="O72:O78" si="52">IMSUM(L72:N72)</f>
        <v>#VALUE!</v>
      </c>
      <c r="P72" s="651">
        <v>1</v>
      </c>
      <c r="Q72" s="397" t="str">
        <f t="shared" si="37"/>
        <v>1+0.24190263405i</v>
      </c>
      <c r="R72" s="397" t="str">
        <f t="shared" si="38"/>
        <v>-0.0369311196149125i</v>
      </c>
      <c r="S72" s="397" t="str">
        <f t="shared" si="39"/>
        <v>-0.477497776380279</v>
      </c>
      <c r="T72" s="397" t="str">
        <f t="shared" ref="T72:T78" si="53">IMSUM(S72,R72,Q72)</f>
        <v>0.522502223619721+0.204971514435088i</v>
      </c>
      <c r="U72" s="652">
        <v>1</v>
      </c>
      <c r="V72">
        <f t="shared" si="40"/>
        <v>1</v>
      </c>
      <c r="W72">
        <f t="shared" si="23"/>
        <v>0</v>
      </c>
      <c r="X72">
        <f t="shared" si="41"/>
        <v>0</v>
      </c>
      <c r="Z72" t="str">
        <f t="shared" si="42"/>
        <v>1.81601781079008-0.249432980334241i</v>
      </c>
      <c r="AA72">
        <f t="shared" si="24"/>
        <v>5.2635704959533189</v>
      </c>
      <c r="AB72">
        <f t="shared" si="43"/>
        <v>-7.8207323086855629</v>
      </c>
      <c r="AD72" s="30" t="str">
        <f t="shared" si="44"/>
        <v>13.82300766i</v>
      </c>
      <c r="AE72" s="30" t="str">
        <f t="shared" si="25"/>
        <v>1+13.82300766i</v>
      </c>
      <c r="AF72" s="30" t="e">
        <f t="shared" si="45"/>
        <v>#VALUE!</v>
      </c>
      <c r="AG72" t="e">
        <f t="shared" si="46"/>
        <v>#VALUE!</v>
      </c>
      <c r="AH72" t="str">
        <f t="shared" si="26"/>
        <v>1+13.82300766i</v>
      </c>
      <c r="AI72" s="299" t="e">
        <f t="shared" si="27"/>
        <v>#VALUE!</v>
      </c>
      <c r="AK72" t="e">
        <f t="shared" si="28"/>
        <v>#VALUE!</v>
      </c>
      <c r="AM72" t="e">
        <f t="shared" si="29"/>
        <v>#VALUE!</v>
      </c>
      <c r="AN72" t="e">
        <f t="shared" si="47"/>
        <v>#VALUE!</v>
      </c>
    </row>
    <row r="73" spans="1:40" x14ac:dyDescent="0.2">
      <c r="A73" s="335">
        <v>120000</v>
      </c>
      <c r="B73" s="352">
        <f t="shared" si="17"/>
        <v>120</v>
      </c>
      <c r="C73" t="str">
        <f t="shared" si="30"/>
        <v>753982.236i</v>
      </c>
      <c r="D73" s="30" t="str">
        <f t="shared" si="31"/>
        <v>-568489212203.56</v>
      </c>
      <c r="E73" s="30" t="str">
        <f t="shared" si="32"/>
        <v>-428630767359118000i</v>
      </c>
      <c r="G73" s="30" t="e">
        <f t="shared" si="33"/>
        <v>#VALUE!</v>
      </c>
      <c r="I73" s="30" t="e">
        <f t="shared" si="34"/>
        <v>#REF!</v>
      </c>
      <c r="J73" t="e">
        <f t="shared" si="18"/>
        <v>#REF!</v>
      </c>
      <c r="L73" s="30" t="e">
        <f t="shared" si="35"/>
        <v>#VALUE!</v>
      </c>
      <c r="M73" t="e">
        <f t="shared" si="36"/>
        <v>#VALUE!</v>
      </c>
      <c r="N73" t="e">
        <f t="shared" si="51"/>
        <v>#REF!</v>
      </c>
      <c r="O73" s="299" t="e">
        <f t="shared" si="52"/>
        <v>#VALUE!</v>
      </c>
      <c r="P73" s="651">
        <v>2</v>
      </c>
      <c r="Q73" s="397" t="str">
        <f t="shared" si="37"/>
        <v>1+0.2638937826i</v>
      </c>
      <c r="R73" s="397" t="str">
        <f t="shared" si="38"/>
        <v>-0.0479466376367909i</v>
      </c>
      <c r="S73" s="397" t="str">
        <f t="shared" si="39"/>
        <v>-0.568261816518679</v>
      </c>
      <c r="T73" s="397" t="str">
        <f t="shared" si="53"/>
        <v>0.431738183481321+0.215947144963209i</v>
      </c>
      <c r="U73" s="652">
        <v>1</v>
      </c>
      <c r="V73">
        <f t="shared" si="40"/>
        <v>1</v>
      </c>
      <c r="W73">
        <f t="shared" si="23"/>
        <v>0</v>
      </c>
      <c r="X73">
        <f t="shared" si="41"/>
        <v>0</v>
      </c>
      <c r="Z73" t="str">
        <f t="shared" si="42"/>
        <v>2.09725415352119-0.43777055480966i</v>
      </c>
      <c r="AA73">
        <f t="shared" si="24"/>
        <v>6.6182385434260986</v>
      </c>
      <c r="AB73">
        <f t="shared" si="43"/>
        <v>-11.79034914070173</v>
      </c>
      <c r="AD73" s="30" t="str">
        <f t="shared" si="44"/>
        <v>15.07964472i</v>
      </c>
      <c r="AE73" s="30" t="str">
        <f t="shared" si="25"/>
        <v>1+15.07964472i</v>
      </c>
      <c r="AF73" s="30" t="e">
        <f t="shared" si="45"/>
        <v>#VALUE!</v>
      </c>
      <c r="AG73" t="e">
        <f t="shared" si="46"/>
        <v>#VALUE!</v>
      </c>
      <c r="AH73" t="str">
        <f t="shared" si="26"/>
        <v>1+15.07964472i</v>
      </c>
      <c r="AI73" s="299" t="e">
        <f t="shared" si="27"/>
        <v>#VALUE!</v>
      </c>
      <c r="AK73" t="e">
        <f t="shared" si="28"/>
        <v>#VALUE!</v>
      </c>
      <c r="AM73" t="e">
        <f t="shared" si="29"/>
        <v>#VALUE!</v>
      </c>
      <c r="AN73" t="e">
        <f t="shared" si="47"/>
        <v>#VALUE!</v>
      </c>
    </row>
    <row r="74" spans="1:40" x14ac:dyDescent="0.2">
      <c r="A74" s="335">
        <v>130000</v>
      </c>
      <c r="B74" s="352">
        <f t="shared" si="17"/>
        <v>130</v>
      </c>
      <c r="C74" t="str">
        <f t="shared" si="30"/>
        <v>816814.089i</v>
      </c>
      <c r="D74" s="30" t="str">
        <f t="shared" si="31"/>
        <v>-667185255988.9</v>
      </c>
      <c r="E74" s="30" t="str">
        <f t="shared" si="32"/>
        <v>-544966317064805000i</v>
      </c>
      <c r="G74" s="30" t="e">
        <f t="shared" si="33"/>
        <v>#VALUE!</v>
      </c>
      <c r="I74" s="30" t="e">
        <f t="shared" si="34"/>
        <v>#REF!</v>
      </c>
      <c r="J74" t="e">
        <f t="shared" si="18"/>
        <v>#REF!</v>
      </c>
      <c r="L74" s="30" t="e">
        <f t="shared" si="35"/>
        <v>#VALUE!</v>
      </c>
      <c r="M74" t="e">
        <f t="shared" si="36"/>
        <v>#VALUE!</v>
      </c>
      <c r="N74" t="e">
        <f t="shared" si="51"/>
        <v>#REF!</v>
      </c>
      <c r="O74" s="299" t="e">
        <f t="shared" si="52"/>
        <v>#VALUE!</v>
      </c>
      <c r="P74" s="651">
        <v>3</v>
      </c>
      <c r="Q74" s="397" t="str">
        <f t="shared" si="37"/>
        <v>1+0.28588493115i</v>
      </c>
      <c r="R74" s="397" t="str">
        <f t="shared" si="38"/>
        <v>-0.0609599322268691i</v>
      </c>
      <c r="S74" s="397" t="str">
        <f t="shared" si="39"/>
        <v>-0.666918381886505</v>
      </c>
      <c r="T74" s="397" t="str">
        <f t="shared" si="53"/>
        <v>0.333081618113495+0.224924998923131i</v>
      </c>
      <c r="U74" s="652">
        <v>1</v>
      </c>
      <c r="V74">
        <f t="shared" si="40"/>
        <v>1</v>
      </c>
      <c r="W74">
        <f t="shared" si="23"/>
        <v>0</v>
      </c>
      <c r="X74">
        <f t="shared" si="41"/>
        <v>0</v>
      </c>
      <c r="Z74" t="str">
        <f t="shared" si="42"/>
        <v>2.4600564712321-0.802936137717432i</v>
      </c>
      <c r="AA74">
        <f t="shared" si="24"/>
        <v>8.2585333921617039</v>
      </c>
      <c r="AB74">
        <f t="shared" si="43"/>
        <v>-18.076129196132914</v>
      </c>
      <c r="AD74" s="30" t="str">
        <f t="shared" si="44"/>
        <v>16.33628178i</v>
      </c>
      <c r="AE74" s="30" t="str">
        <f t="shared" si="25"/>
        <v>1+16.33628178i</v>
      </c>
      <c r="AF74" s="30" t="e">
        <f t="shared" si="45"/>
        <v>#VALUE!</v>
      </c>
      <c r="AG74" t="e">
        <f t="shared" si="46"/>
        <v>#VALUE!</v>
      </c>
      <c r="AH74" t="str">
        <f t="shared" si="26"/>
        <v>1+16.33628178i</v>
      </c>
      <c r="AI74" s="299" t="e">
        <f t="shared" si="27"/>
        <v>#VALUE!</v>
      </c>
      <c r="AK74" t="e">
        <f t="shared" si="28"/>
        <v>#VALUE!</v>
      </c>
      <c r="AM74" t="e">
        <f t="shared" si="29"/>
        <v>#VALUE!</v>
      </c>
      <c r="AN74" t="e">
        <f t="shared" si="47"/>
        <v>#VALUE!</v>
      </c>
    </row>
    <row r="75" spans="1:40" x14ac:dyDescent="0.2">
      <c r="A75" s="335">
        <v>150000</v>
      </c>
      <c r="B75" s="352">
        <f t="shared" si="17"/>
        <v>150</v>
      </c>
      <c r="C75" t="str">
        <f t="shared" si="30"/>
        <v>942477.795i</v>
      </c>
      <c r="D75" s="30" t="str">
        <f t="shared" si="31"/>
        <v>-888264394068.062</v>
      </c>
      <c r="E75" s="30" t="str">
        <f t="shared" si="32"/>
        <v>-837169467498278000i</v>
      </c>
      <c r="G75" s="30" t="e">
        <f t="shared" si="33"/>
        <v>#VALUE!</v>
      </c>
      <c r="I75" s="30" t="e">
        <f t="shared" si="34"/>
        <v>#REF!</v>
      </c>
      <c r="J75" t="e">
        <f t="shared" si="18"/>
        <v>#REF!</v>
      </c>
      <c r="L75" s="30" t="e">
        <f t="shared" si="35"/>
        <v>#VALUE!</v>
      </c>
      <c r="M75" t="e">
        <f t="shared" si="36"/>
        <v>#VALUE!</v>
      </c>
      <c r="N75" t="e">
        <f t="shared" si="51"/>
        <v>#REF!</v>
      </c>
      <c r="O75" s="299" t="e">
        <f t="shared" si="52"/>
        <v>#VALUE!</v>
      </c>
      <c r="P75" s="651">
        <v>4</v>
      </c>
      <c r="Q75" s="397" t="str">
        <f t="shared" si="37"/>
        <v>1+0.32986722825i</v>
      </c>
      <c r="R75" s="397" t="str">
        <f t="shared" si="38"/>
        <v>-0.0936457766343574i</v>
      </c>
      <c r="S75" s="397" t="str">
        <f t="shared" si="39"/>
        <v>-0.887909088310435</v>
      </c>
      <c r="T75" s="397" t="str">
        <f t="shared" si="53"/>
        <v>0.112090911689565+0.236221451615643i</v>
      </c>
      <c r="U75" s="652">
        <v>1</v>
      </c>
      <c r="V75">
        <f t="shared" si="40"/>
        <v>1</v>
      </c>
      <c r="W75">
        <f t="shared" si="23"/>
        <v>0</v>
      </c>
      <c r="X75">
        <f t="shared" si="41"/>
        <v>0</v>
      </c>
      <c r="Z75" t="str">
        <f t="shared" si="42"/>
        <v>2.77938675294686-2.91445167327342i</v>
      </c>
      <c r="AA75">
        <f t="shared" si="24"/>
        <v>12.100245900170394</v>
      </c>
      <c r="AB75">
        <f t="shared" si="43"/>
        <v>-46.358872275853109</v>
      </c>
      <c r="AD75" s="30" t="str">
        <f t="shared" si="44"/>
        <v>18.8495559i</v>
      </c>
      <c r="AE75" s="30" t="str">
        <f t="shared" si="25"/>
        <v>1+18.8495559i</v>
      </c>
      <c r="AF75" s="30" t="e">
        <f t="shared" si="45"/>
        <v>#VALUE!</v>
      </c>
      <c r="AG75" t="e">
        <f t="shared" si="46"/>
        <v>#VALUE!</v>
      </c>
      <c r="AH75" t="str">
        <f t="shared" si="26"/>
        <v>1+18.8495559i</v>
      </c>
      <c r="AI75" s="299" t="e">
        <f t="shared" si="27"/>
        <v>#VALUE!</v>
      </c>
      <c r="AK75" t="e">
        <f t="shared" si="28"/>
        <v>#VALUE!</v>
      </c>
      <c r="AM75" t="e">
        <f t="shared" si="29"/>
        <v>#VALUE!</v>
      </c>
      <c r="AN75" t="e">
        <f t="shared" si="47"/>
        <v>#VALUE!</v>
      </c>
    </row>
    <row r="76" spans="1:40" x14ac:dyDescent="0.2">
      <c r="A76" s="335">
        <v>160000</v>
      </c>
      <c r="B76" s="352">
        <f t="shared" si="17"/>
        <v>160</v>
      </c>
      <c r="C76" t="str">
        <f t="shared" si="30"/>
        <v>1005309.648i</v>
      </c>
      <c r="D76" s="30" t="str">
        <f t="shared" si="31"/>
        <v>-1010647488361.88</v>
      </c>
      <c r="E76" s="30" t="str">
        <f t="shared" si="32"/>
        <v>-1016013670777170000i</v>
      </c>
      <c r="G76" s="30" t="e">
        <f t="shared" si="33"/>
        <v>#VALUE!</v>
      </c>
      <c r="I76" s="30" t="e">
        <f t="shared" si="34"/>
        <v>#REF!</v>
      </c>
      <c r="J76" t="e">
        <f t="shared" si="18"/>
        <v>#REF!</v>
      </c>
      <c r="L76" s="30" t="e">
        <f t="shared" si="35"/>
        <v>#VALUE!</v>
      </c>
      <c r="M76" t="e">
        <f t="shared" si="36"/>
        <v>#VALUE!</v>
      </c>
      <c r="N76" t="e">
        <f t="shared" si="51"/>
        <v>#REF!</v>
      </c>
      <c r="O76" s="299" t="e">
        <f t="shared" si="52"/>
        <v>#VALUE!</v>
      </c>
      <c r="P76" s="651">
        <v>5</v>
      </c>
      <c r="Q76" s="397" t="str">
        <f t="shared" si="37"/>
        <v>1+0.3518583768i</v>
      </c>
      <c r="R76" s="397" t="str">
        <f t="shared" si="38"/>
        <v>-0.113651289213134i</v>
      </c>
      <c r="S76" s="397" t="str">
        <f t="shared" si="39"/>
        <v>-1.01024322936654</v>
      </c>
      <c r="T76" s="397" t="str">
        <f t="shared" si="53"/>
        <v>-0.01024322936654+0.238207087586866i</v>
      </c>
      <c r="U76" s="652">
        <v>1</v>
      </c>
      <c r="V76">
        <f t="shared" si="40"/>
        <v>1</v>
      </c>
      <c r="W76">
        <f t="shared" si="23"/>
        <v>0</v>
      </c>
      <c r="X76">
        <f t="shared" si="41"/>
        <v>0</v>
      </c>
      <c r="Z76" t="str">
        <f t="shared" si="42"/>
        <v>1.29419724044521-4.25368014631354i</v>
      </c>
      <c r="AA76">
        <f t="shared" si="24"/>
        <v>12.959790177872241</v>
      </c>
      <c r="AB76">
        <f t="shared" si="43"/>
        <v>-73.077431398381563</v>
      </c>
      <c r="AD76" s="30" t="str">
        <f t="shared" si="44"/>
        <v>20.10619296i</v>
      </c>
      <c r="AE76" s="30" t="str">
        <f t="shared" si="25"/>
        <v>1+20.10619296i</v>
      </c>
      <c r="AF76" s="30" t="e">
        <f t="shared" si="45"/>
        <v>#VALUE!</v>
      </c>
      <c r="AG76" t="e">
        <f t="shared" si="46"/>
        <v>#VALUE!</v>
      </c>
      <c r="AH76" t="str">
        <f t="shared" si="26"/>
        <v>1+20.10619296i</v>
      </c>
      <c r="AI76" s="299" t="e">
        <f t="shared" si="27"/>
        <v>#VALUE!</v>
      </c>
      <c r="AK76" t="e">
        <f t="shared" si="28"/>
        <v>#VALUE!</v>
      </c>
      <c r="AM76" t="e">
        <f t="shared" si="29"/>
        <v>#VALUE!</v>
      </c>
      <c r="AN76" t="e">
        <f t="shared" si="47"/>
        <v>#VALUE!</v>
      </c>
    </row>
    <row r="77" spans="1:40" x14ac:dyDescent="0.2">
      <c r="A77" s="335">
        <v>175000</v>
      </c>
      <c r="B77" s="352">
        <f t="shared" si="17"/>
        <v>175</v>
      </c>
      <c r="C77" t="str">
        <f t="shared" ref="C77:C97" si="54">COMPLEX(0,2*Pi*A77)</f>
        <v>1099557.4275i</v>
      </c>
      <c r="D77" s="30" t="str">
        <f t="shared" ref="D77:D97" si="55">COMPLEX(-POWER(2*Pi*A77,2),0)</f>
        <v>-1209026536370.42</v>
      </c>
      <c r="E77" s="30" t="str">
        <f t="shared" ref="E77:E97" si="56">COMPLEX(0,-POWER(2*Pi*A77,3))</f>
        <v>-1329394108110690000i</v>
      </c>
      <c r="G77" s="30" t="e">
        <f t="shared" si="33"/>
        <v>#VALUE!</v>
      </c>
      <c r="I77" s="30" t="e">
        <f t="shared" ref="I77:I97" si="57">IMPRODUCT((RdampSel*CdampSel+RdampSel*CinjSel),C77)</f>
        <v>#REF!</v>
      </c>
      <c r="J77" t="e">
        <f t="shared" si="18"/>
        <v>#REF!</v>
      </c>
      <c r="L77" s="30" t="e">
        <f t="shared" ref="L77:L97" si="58">IMPRODUCT(G77,L_infilterStd*RdampSel*CinjSel*CdampSel,E77)</f>
        <v>#VALUE!</v>
      </c>
      <c r="M77" t="e">
        <f t="shared" ref="M77:M97" si="59">IMPRODUCT(G77,L_infilterStd*CinjSel,D77)</f>
        <v>#VALUE!</v>
      </c>
      <c r="N77" t="e">
        <f t="shared" si="51"/>
        <v>#REF!</v>
      </c>
      <c r="O77" s="299" t="e">
        <f t="shared" si="52"/>
        <v>#VALUE!</v>
      </c>
      <c r="P77" s="651">
        <v>6</v>
      </c>
      <c r="Q77" s="397" t="str">
        <f t="shared" ref="Q77:Q97" si="60">IMSUM(IMPRODUCT(C77,RdampPssv*CdampPssv),1)</f>
        <v>1+0.384845099625i</v>
      </c>
      <c r="R77" s="397" t="str">
        <f t="shared" ref="R77:R97" si="61">IMPRODUCT(RdampPssv*CdampPssv*CfilterPssv*LinfilterPssv,E77)</f>
        <v>-0.148706024933262i</v>
      </c>
      <c r="S77" s="397" t="str">
        <f t="shared" ref="S77:S97" si="62">IMPRODUCT(D77,LinfilterPssv*(CfilterPssv+CdampPssv))</f>
        <v>-1.20854292575587</v>
      </c>
      <c r="T77" s="397" t="str">
        <f t="shared" si="53"/>
        <v>-0.20854292575587+0.236139074691738i</v>
      </c>
      <c r="U77" s="652">
        <v>1</v>
      </c>
      <c r="V77">
        <f t="shared" si="40"/>
        <v>1</v>
      </c>
      <c r="W77">
        <f t="shared" si="23"/>
        <v>0</v>
      </c>
      <c r="X77">
        <f t="shared" si="41"/>
        <v>0</v>
      </c>
      <c r="Z77" t="str">
        <f t="shared" ref="Z77:Z97" si="63">IMDIV(Q77,T77)</f>
        <v>-1.18552956082797-3.18780870043445i</v>
      </c>
      <c r="AA77">
        <f t="shared" si="24"/>
        <v>10.632434371784214</v>
      </c>
      <c r="AB77">
        <f t="shared" ref="AB77:AB97" si="64">IMARGUMENT(Z77)*180/Pi</f>
        <v>-110.39990747553254</v>
      </c>
      <c r="AD77" s="30" t="str">
        <f t="shared" ref="AD77:AD97" si="65">IMPRODUCT((RdampCom*CdampCom+RdampCom*CinjCom),C77)</f>
        <v>21.99114855i</v>
      </c>
      <c r="AE77" s="30" t="str">
        <f t="shared" si="25"/>
        <v>1+21.99114855i</v>
      </c>
      <c r="AF77" s="30" t="e">
        <f t="shared" ref="AF77:AF97" si="66">IMPRODUCT(G77,L_infilterStd*RdampSel*CinjSel*CdampSel,E77)</f>
        <v>#VALUE!</v>
      </c>
      <c r="AG77" t="e">
        <f t="shared" ref="AG77:AG97" si="67">IMPRODUCT(G77,LAEFCom*CinjCom,D77)</f>
        <v>#VALUE!</v>
      </c>
      <c r="AH77" t="str">
        <f t="shared" si="26"/>
        <v>1+21.99114855i</v>
      </c>
      <c r="AI77" s="299" t="e">
        <f t="shared" si="27"/>
        <v>#VALUE!</v>
      </c>
      <c r="AK77" t="e">
        <f t="shared" si="28"/>
        <v>#VALUE!</v>
      </c>
      <c r="AM77" t="e">
        <f t="shared" si="29"/>
        <v>#VALUE!</v>
      </c>
      <c r="AN77" t="e">
        <f t="shared" ref="AN77:AN97" si="68">IMARGUMENT(AK77)*180/Pi</f>
        <v>#VALUE!</v>
      </c>
    </row>
    <row r="78" spans="1:40" x14ac:dyDescent="0.2">
      <c r="A78" s="335">
        <v>190000</v>
      </c>
      <c r="B78" s="352">
        <f t="shared" si="17"/>
        <v>190</v>
      </c>
      <c r="C78" t="str">
        <f t="shared" si="54"/>
        <v>1193805.207i</v>
      </c>
      <c r="D78" s="30" t="str">
        <f t="shared" si="55"/>
        <v>-1425170872260.31</v>
      </c>
      <c r="E78" s="30" t="str">
        <f t="shared" si="56"/>
        <v>-1701376408169090000i</v>
      </c>
      <c r="G78" s="30" t="e">
        <f t="shared" si="33"/>
        <v>#VALUE!</v>
      </c>
      <c r="I78" s="30" t="e">
        <f t="shared" si="57"/>
        <v>#REF!</v>
      </c>
      <c r="J78" t="e">
        <f t="shared" si="18"/>
        <v>#REF!</v>
      </c>
      <c r="L78" s="30" t="e">
        <f t="shared" si="58"/>
        <v>#VALUE!</v>
      </c>
      <c r="M78" t="e">
        <f t="shared" si="59"/>
        <v>#VALUE!</v>
      </c>
      <c r="N78" t="e">
        <f t="shared" si="51"/>
        <v>#REF!</v>
      </c>
      <c r="O78" s="299" t="e">
        <f t="shared" si="52"/>
        <v>#VALUE!</v>
      </c>
      <c r="P78" s="651">
        <v>7</v>
      </c>
      <c r="Q78" s="397" t="str">
        <f t="shared" si="60"/>
        <v>1+0.41783182245i</v>
      </c>
      <c r="R78" s="397" t="str">
        <f t="shared" si="61"/>
        <v>-0.190315965017794i</v>
      </c>
      <c r="S78" s="397" t="str">
        <f t="shared" si="62"/>
        <v>-1.42460080391141</v>
      </c>
      <c r="T78" s="397" t="str">
        <f t="shared" si="53"/>
        <v>-0.42460080391141+0.227515857432206i</v>
      </c>
      <c r="U78" s="652">
        <v>1</v>
      </c>
      <c r="V78">
        <f t="shared" si="40"/>
        <v>1</v>
      </c>
      <c r="W78">
        <f t="shared" si="23"/>
        <v>0</v>
      </c>
      <c r="X78">
        <f t="shared" si="41"/>
        <v>0</v>
      </c>
      <c r="Z78" t="str">
        <f t="shared" si="63"/>
        <v>-1.42011816933091-1.74500664759685i</v>
      </c>
      <c r="AA78">
        <f t="shared" ref="AA78:AA97" si="69">20*LOG10(IMABS(Z78))</f>
        <v>7.0430359282769261</v>
      </c>
      <c r="AB78">
        <f t="shared" si="64"/>
        <v>-129.13932379003126</v>
      </c>
      <c r="AD78" s="30" t="str">
        <f t="shared" si="65"/>
        <v>23.87610414i</v>
      </c>
      <c r="AE78" s="30" t="str">
        <f t="shared" ref="AE78:AE97" si="70">IMSUM(1,AD78)</f>
        <v>1+23.87610414i</v>
      </c>
      <c r="AF78" s="30" t="e">
        <f t="shared" si="66"/>
        <v>#VALUE!</v>
      </c>
      <c r="AG78" t="e">
        <f t="shared" si="67"/>
        <v>#VALUE!</v>
      </c>
      <c r="AH78" t="str">
        <f t="shared" ref="AH78:AH97" si="71">AE78</f>
        <v>1+23.87610414i</v>
      </c>
      <c r="AI78" s="299" t="e">
        <f t="shared" ref="AI78:AI97" si="72">IMSUM(AF78:AH78)</f>
        <v>#VALUE!</v>
      </c>
      <c r="AK78" t="e">
        <f t="shared" ref="AK78:AK97" si="73">IMDIV(AE78,AI78)</f>
        <v>#VALUE!</v>
      </c>
      <c r="AM78" t="e">
        <f t="shared" ref="AM78:AM97" si="74">20*LOG10(IMABS(AK78))</f>
        <v>#VALUE!</v>
      </c>
      <c r="AN78" t="e">
        <f t="shared" si="68"/>
        <v>#VALUE!</v>
      </c>
    </row>
    <row r="79" spans="1:40" x14ac:dyDescent="0.2">
      <c r="A79" s="653">
        <v>200000</v>
      </c>
      <c r="B79" s="352">
        <f t="shared" si="17"/>
        <v>200</v>
      </c>
      <c r="C79" t="str">
        <f t="shared" si="54"/>
        <v>1256637.06i</v>
      </c>
      <c r="D79" s="30" t="str">
        <f t="shared" si="55"/>
        <v>-1579136700565.44</v>
      </c>
      <c r="E79" s="30" t="str">
        <f t="shared" si="56"/>
        <v>-1984401700736660000i</v>
      </c>
      <c r="G79" s="30" t="e">
        <f t="shared" si="33"/>
        <v>#VALUE!</v>
      </c>
      <c r="I79" s="30" t="e">
        <f t="shared" si="57"/>
        <v>#REF!</v>
      </c>
      <c r="J79" t="e">
        <f t="shared" si="18"/>
        <v>#REF!</v>
      </c>
      <c r="L79" s="30" t="e">
        <f t="shared" si="58"/>
        <v>#VALUE!</v>
      </c>
      <c r="M79" t="e">
        <f t="shared" si="59"/>
        <v>#VALUE!</v>
      </c>
      <c r="N79" t="e">
        <f t="shared" si="19"/>
        <v>#REF!</v>
      </c>
      <c r="O79" s="299" t="e">
        <f t="shared" si="20"/>
        <v>#VALUE!</v>
      </c>
      <c r="P79" s="651">
        <v>0</v>
      </c>
      <c r="Q79" s="397" t="str">
        <f t="shared" si="60"/>
        <v>1+0.439822971i</v>
      </c>
      <c r="R79" s="397" t="str">
        <f t="shared" si="61"/>
        <v>-0.221975174244403i</v>
      </c>
      <c r="S79" s="397" t="str">
        <f t="shared" si="62"/>
        <v>-1.57850504588521</v>
      </c>
      <c r="T79" s="397" t="str">
        <f t="shared" si="21"/>
        <v>-0.57850504588521+0.217847796755597i</v>
      </c>
      <c r="U79" s="652">
        <v>1</v>
      </c>
      <c r="V79">
        <f t="shared" si="40"/>
        <v>1</v>
      </c>
      <c r="W79">
        <f t="shared" si="23"/>
        <v>0</v>
      </c>
      <c r="X79">
        <f t="shared" si="41"/>
        <v>0</v>
      </c>
      <c r="Z79" t="str">
        <f t="shared" si="63"/>
        <v>-1.26317208366406-1.23594812428182i</v>
      </c>
      <c r="AA79">
        <f t="shared" si="69"/>
        <v>4.9459582998103908</v>
      </c>
      <c r="AB79">
        <f t="shared" si="64"/>
        <v>-135.6241223057485</v>
      </c>
      <c r="AD79" s="30" t="str">
        <f t="shared" si="65"/>
        <v>25.1327412i</v>
      </c>
      <c r="AE79" s="30" t="str">
        <f t="shared" si="70"/>
        <v>1+25.1327412i</v>
      </c>
      <c r="AF79" s="30" t="e">
        <f t="shared" si="66"/>
        <v>#VALUE!</v>
      </c>
      <c r="AG79" t="e">
        <f t="shared" si="67"/>
        <v>#VALUE!</v>
      </c>
      <c r="AH79" t="str">
        <f t="shared" si="71"/>
        <v>1+25.1327412i</v>
      </c>
      <c r="AI79" s="299" t="e">
        <f t="shared" si="72"/>
        <v>#VALUE!</v>
      </c>
      <c r="AK79" t="e">
        <f t="shared" si="73"/>
        <v>#VALUE!</v>
      </c>
      <c r="AM79" t="e">
        <f t="shared" si="74"/>
        <v>#VALUE!</v>
      </c>
      <c r="AN79" t="e">
        <f t="shared" si="68"/>
        <v>#VALUE!</v>
      </c>
    </row>
    <row r="80" spans="1:40" x14ac:dyDescent="0.2">
      <c r="A80" s="335">
        <v>300000</v>
      </c>
      <c r="B80" s="352">
        <f t="shared" si="17"/>
        <v>300</v>
      </c>
      <c r="C80" t="str">
        <f t="shared" si="54"/>
        <v>1884955.59i</v>
      </c>
      <c r="D80" s="30" t="str">
        <f t="shared" si="55"/>
        <v>-3553057576272.25</v>
      </c>
      <c r="E80" s="30" t="str">
        <f t="shared" si="56"/>
        <v>-6697355739986230000i</v>
      </c>
      <c r="G80" s="30" t="e">
        <f t="shared" si="33"/>
        <v>#VALUE!</v>
      </c>
      <c r="I80" s="30" t="e">
        <f t="shared" si="57"/>
        <v>#REF!</v>
      </c>
      <c r="J80" t="e">
        <f t="shared" si="18"/>
        <v>#REF!</v>
      </c>
      <c r="L80" s="30" t="e">
        <f t="shared" si="58"/>
        <v>#VALUE!</v>
      </c>
      <c r="M80" t="e">
        <f t="shared" si="59"/>
        <v>#VALUE!</v>
      </c>
      <c r="N80" t="e">
        <f t="shared" si="19"/>
        <v>#REF!</v>
      </c>
      <c r="O80" s="299" t="e">
        <f t="shared" si="20"/>
        <v>#VALUE!</v>
      </c>
      <c r="P80" s="651">
        <v>0</v>
      </c>
      <c r="Q80" s="397" t="str">
        <f t="shared" si="60"/>
        <v>1+0.6597344565i</v>
      </c>
      <c r="R80" s="397" t="str">
        <f t="shared" si="61"/>
        <v>-0.74916621307486i</v>
      </c>
      <c r="S80" s="397" t="str">
        <f t="shared" si="62"/>
        <v>-3.55163635324174</v>
      </c>
      <c r="T80" s="397" t="str">
        <f t="shared" si="21"/>
        <v>-2.55163635324174-0.08943175657486i</v>
      </c>
      <c r="U80" s="652">
        <v>1</v>
      </c>
      <c r="V80">
        <f t="shared" si="40"/>
        <v>1</v>
      </c>
      <c r="W80">
        <f t="shared" si="23"/>
        <v>0</v>
      </c>
      <c r="X80">
        <f t="shared" si="41"/>
        <v>0</v>
      </c>
      <c r="Z80" t="str">
        <f t="shared" si="63"/>
        <v>-0.400475408867723-0.244517302172491i</v>
      </c>
      <c r="AA80">
        <f t="shared" si="69"/>
        <v>-6.5724330903943216</v>
      </c>
      <c r="AB80">
        <f t="shared" si="64"/>
        <v>-148.59311414511541</v>
      </c>
      <c r="AD80" s="30" t="str">
        <f t="shared" si="65"/>
        <v>37.6991118i</v>
      </c>
      <c r="AE80" s="30" t="str">
        <f t="shared" si="70"/>
        <v>1+37.6991118i</v>
      </c>
      <c r="AF80" s="30" t="e">
        <f t="shared" si="66"/>
        <v>#VALUE!</v>
      </c>
      <c r="AG80" t="e">
        <f t="shared" si="67"/>
        <v>#VALUE!</v>
      </c>
      <c r="AH80" t="str">
        <f t="shared" si="71"/>
        <v>1+37.6991118i</v>
      </c>
      <c r="AI80" s="299" t="e">
        <f t="shared" si="72"/>
        <v>#VALUE!</v>
      </c>
      <c r="AK80" t="e">
        <f t="shared" si="73"/>
        <v>#VALUE!</v>
      </c>
      <c r="AM80" t="e">
        <f t="shared" si="74"/>
        <v>#VALUE!</v>
      </c>
      <c r="AN80" t="e">
        <f t="shared" si="68"/>
        <v>#VALUE!</v>
      </c>
    </row>
    <row r="81" spans="1:40" x14ac:dyDescent="0.2">
      <c r="A81" s="653">
        <v>400000</v>
      </c>
      <c r="B81" s="352">
        <f t="shared" si="17"/>
        <v>400</v>
      </c>
      <c r="C81" t="str">
        <f t="shared" si="54"/>
        <v>2513274.12i</v>
      </c>
      <c r="D81" s="30" t="str">
        <f t="shared" si="55"/>
        <v>-6316546802261.78</v>
      </c>
      <c r="E81" s="30" t="str">
        <f t="shared" si="56"/>
        <v>-15875213605893300000i</v>
      </c>
      <c r="G81" s="30" t="e">
        <f t="shared" si="33"/>
        <v>#VALUE!</v>
      </c>
      <c r="I81" s="30" t="e">
        <f t="shared" si="57"/>
        <v>#REF!</v>
      </c>
      <c r="J81" t="e">
        <f t="shared" si="18"/>
        <v>#REF!</v>
      </c>
      <c r="L81" s="30" t="e">
        <f t="shared" si="58"/>
        <v>#VALUE!</v>
      </c>
      <c r="M81" t="e">
        <f t="shared" si="59"/>
        <v>#VALUE!</v>
      </c>
      <c r="N81" t="e">
        <f t="shared" si="19"/>
        <v>#REF!</v>
      </c>
      <c r="O81" s="299" t="e">
        <f t="shared" si="20"/>
        <v>#VALUE!</v>
      </c>
      <c r="P81" s="651">
        <v>0</v>
      </c>
      <c r="Q81" s="397" t="str">
        <f t="shared" si="60"/>
        <v>1+0.879645942i</v>
      </c>
      <c r="R81" s="397" t="str">
        <f t="shared" si="61"/>
        <v>-1.77580139395522i</v>
      </c>
      <c r="S81" s="397" t="str">
        <f t="shared" si="62"/>
        <v>-6.31402018354088</v>
      </c>
      <c r="T81" s="397" t="str">
        <f t="shared" si="21"/>
        <v>-5.31402018354088-0.89615545195522i</v>
      </c>
      <c r="U81" s="652">
        <v>1</v>
      </c>
      <c r="V81">
        <f t="shared" si="40"/>
        <v>1</v>
      </c>
      <c r="W81">
        <f t="shared" si="23"/>
        <v>0</v>
      </c>
      <c r="X81">
        <f t="shared" si="41"/>
        <v>0</v>
      </c>
      <c r="Z81" t="str">
        <f t="shared" si="63"/>
        <v>-0.210121191022436-0.130098243366712i</v>
      </c>
      <c r="AA81">
        <f t="shared" si="69"/>
        <v>-12.141260868793136</v>
      </c>
      <c r="AB81">
        <f t="shared" si="64"/>
        <v>-148.23594278994108</v>
      </c>
      <c r="AD81" s="30" t="str">
        <f t="shared" si="65"/>
        <v>50.2654824i</v>
      </c>
      <c r="AE81" s="30" t="str">
        <f t="shared" si="70"/>
        <v>1+50.2654824i</v>
      </c>
      <c r="AF81" s="30" t="e">
        <f t="shared" si="66"/>
        <v>#VALUE!</v>
      </c>
      <c r="AG81" t="e">
        <f t="shared" si="67"/>
        <v>#VALUE!</v>
      </c>
      <c r="AH81" t="str">
        <f t="shared" si="71"/>
        <v>1+50.2654824i</v>
      </c>
      <c r="AI81" s="299" t="e">
        <f t="shared" si="72"/>
        <v>#VALUE!</v>
      </c>
      <c r="AK81" t="e">
        <f t="shared" si="73"/>
        <v>#VALUE!</v>
      </c>
      <c r="AM81" t="e">
        <f t="shared" si="74"/>
        <v>#VALUE!</v>
      </c>
      <c r="AN81" t="e">
        <f t="shared" si="68"/>
        <v>#VALUE!</v>
      </c>
    </row>
    <row r="82" spans="1:40" x14ac:dyDescent="0.2">
      <c r="A82" s="335">
        <v>500000</v>
      </c>
      <c r="B82" s="352">
        <f t="shared" si="17"/>
        <v>500</v>
      </c>
      <c r="C82" t="str">
        <f t="shared" si="54"/>
        <v>3141592.65i</v>
      </c>
      <c r="D82" s="30" t="str">
        <f t="shared" si="55"/>
        <v>-9869604378534.03</v>
      </c>
      <c r="E82" s="30" t="str">
        <f t="shared" si="56"/>
        <v>-31006276574010300000i</v>
      </c>
      <c r="G82" s="30" t="e">
        <f t="shared" si="33"/>
        <v>#VALUE!</v>
      </c>
      <c r="I82" s="30" t="e">
        <f t="shared" si="57"/>
        <v>#REF!</v>
      </c>
      <c r="J82" t="e">
        <f t="shared" si="18"/>
        <v>#REF!</v>
      </c>
      <c r="L82" s="30" t="e">
        <f t="shared" si="58"/>
        <v>#VALUE!</v>
      </c>
      <c r="M82" t="e">
        <f t="shared" si="59"/>
        <v>#VALUE!</v>
      </c>
      <c r="N82" t="e">
        <f t="shared" si="19"/>
        <v>#REF!</v>
      </c>
      <c r="O82" s="299" t="e">
        <f t="shared" si="20"/>
        <v>#VALUE!</v>
      </c>
      <c r="P82" s="651">
        <v>0</v>
      </c>
      <c r="Q82" s="397" t="str">
        <f t="shared" si="60"/>
        <v>1+1.0995574275i</v>
      </c>
      <c r="R82" s="397" t="str">
        <f t="shared" si="61"/>
        <v>-3.46836209756879i</v>
      </c>
      <c r="S82" s="397" t="str">
        <f t="shared" si="62"/>
        <v>-9.86565653678262</v>
      </c>
      <c r="T82" s="397" t="str">
        <f t="shared" si="21"/>
        <v>-8.86565653678262-2.36880467006879i</v>
      </c>
      <c r="U82" s="652">
        <v>1</v>
      </c>
      <c r="V82">
        <f t="shared" si="40"/>
        <v>1</v>
      </c>
      <c r="W82">
        <f t="shared" si="23"/>
        <v>0</v>
      </c>
      <c r="X82">
        <f t="shared" si="41"/>
        <v>0</v>
      </c>
      <c r="Z82" t="str">
        <f t="shared" si="63"/>
        <v>-0.136208802833546-0.0876308907321328i</v>
      </c>
      <c r="AA82">
        <f t="shared" si="69"/>
        <v>-15.811684145573038</v>
      </c>
      <c r="AB82">
        <f t="shared" si="64"/>
        <v>-147.2445124058745</v>
      </c>
      <c r="AD82" s="30" t="str">
        <f t="shared" si="65"/>
        <v>62.831853i</v>
      </c>
      <c r="AE82" s="30" t="str">
        <f t="shared" si="70"/>
        <v>1+62.831853i</v>
      </c>
      <c r="AF82" s="30" t="e">
        <f t="shared" si="66"/>
        <v>#VALUE!</v>
      </c>
      <c r="AG82" t="e">
        <f t="shared" si="67"/>
        <v>#VALUE!</v>
      </c>
      <c r="AH82" t="str">
        <f t="shared" si="71"/>
        <v>1+62.831853i</v>
      </c>
      <c r="AI82" s="299" t="e">
        <f t="shared" si="72"/>
        <v>#VALUE!</v>
      </c>
      <c r="AK82" t="e">
        <f t="shared" si="73"/>
        <v>#VALUE!</v>
      </c>
      <c r="AM82" t="e">
        <f t="shared" si="74"/>
        <v>#VALUE!</v>
      </c>
      <c r="AN82" t="e">
        <f t="shared" si="68"/>
        <v>#VALUE!</v>
      </c>
    </row>
    <row r="83" spans="1:40" x14ac:dyDescent="0.2">
      <c r="A83" s="653">
        <v>600000</v>
      </c>
      <c r="B83" s="352">
        <f t="shared" si="17"/>
        <v>600</v>
      </c>
      <c r="C83" t="str">
        <f t="shared" si="54"/>
        <v>3769911.18i</v>
      </c>
      <c r="D83" s="30" t="str">
        <f t="shared" si="55"/>
        <v>-14212230305089</v>
      </c>
      <c r="E83" s="30" t="str">
        <f t="shared" si="56"/>
        <v>-53578845919889800000i</v>
      </c>
      <c r="G83" s="30" t="e">
        <f t="shared" ref="G83:G97" si="75">IMSUM(IMPRODUCT(C83,Rcomp_AEF*Csen_AEF),Csen_AEF/Ccomp_AEF)</f>
        <v>#VALUE!</v>
      </c>
      <c r="I83" s="30" t="e">
        <f t="shared" si="57"/>
        <v>#REF!</v>
      </c>
      <c r="J83" t="e">
        <f t="shared" si="18"/>
        <v>#REF!</v>
      </c>
      <c r="L83" s="30" t="e">
        <f t="shared" si="58"/>
        <v>#VALUE!</v>
      </c>
      <c r="M83" t="e">
        <f t="shared" si="59"/>
        <v>#VALUE!</v>
      </c>
      <c r="N83" t="e">
        <f t="shared" si="19"/>
        <v>#REF!</v>
      </c>
      <c r="O83" s="299" t="e">
        <f t="shared" si="20"/>
        <v>#VALUE!</v>
      </c>
      <c r="P83" s="651">
        <v>0</v>
      </c>
      <c r="Q83" s="397" t="str">
        <f t="shared" si="60"/>
        <v>1+1.319468913i</v>
      </c>
      <c r="R83" s="397" t="str">
        <f t="shared" si="61"/>
        <v>-5.99332970459887i</v>
      </c>
      <c r="S83" s="397" t="str">
        <f t="shared" si="62"/>
        <v>-14.206545412967</v>
      </c>
      <c r="T83" s="397" t="str">
        <f t="shared" si="21"/>
        <v>-13.206545412967-4.67386079159887i</v>
      </c>
      <c r="U83" s="652">
        <v>1</v>
      </c>
      <c r="V83">
        <f t="shared" ref="V83:V97" si="76">CHOOSE(INFILTER_TYPE,U83,IMDIV(J83,O83),IMDIV(Q83,T83))</f>
        <v>1</v>
      </c>
      <c r="W83">
        <f t="shared" si="23"/>
        <v>0</v>
      </c>
      <c r="X83">
        <f t="shared" ref="X83:X97" si="77">IMARGUMENT(V83)*180/Pi</f>
        <v>0</v>
      </c>
      <c r="Z83" t="str">
        <f t="shared" si="63"/>
        <v>-0.0987148424567274-0.0649745603002369i</v>
      </c>
      <c r="AA83">
        <f t="shared" si="69"/>
        <v>-18.549182102928064</v>
      </c>
      <c r="AB83">
        <f t="shared" si="64"/>
        <v>-146.64690503853296</v>
      </c>
      <c r="AD83" s="30" t="str">
        <f t="shared" si="65"/>
        <v>75.3982236i</v>
      </c>
      <c r="AE83" s="30" t="str">
        <f t="shared" si="70"/>
        <v>1+75.3982236i</v>
      </c>
      <c r="AF83" s="30" t="e">
        <f t="shared" si="66"/>
        <v>#VALUE!</v>
      </c>
      <c r="AG83" t="e">
        <f t="shared" si="67"/>
        <v>#VALUE!</v>
      </c>
      <c r="AH83" t="str">
        <f t="shared" si="71"/>
        <v>1+75.3982236i</v>
      </c>
      <c r="AI83" s="299" t="e">
        <f t="shared" si="72"/>
        <v>#VALUE!</v>
      </c>
      <c r="AK83" t="e">
        <f t="shared" si="73"/>
        <v>#VALUE!</v>
      </c>
      <c r="AM83" t="e">
        <f t="shared" si="74"/>
        <v>#VALUE!</v>
      </c>
      <c r="AN83" t="e">
        <f t="shared" si="68"/>
        <v>#VALUE!</v>
      </c>
    </row>
    <row r="84" spans="1:40" x14ac:dyDescent="0.2">
      <c r="A84" s="335">
        <v>700000</v>
      </c>
      <c r="B84" s="352">
        <f t="shared" si="17"/>
        <v>700</v>
      </c>
      <c r="C84" t="str">
        <f t="shared" si="54"/>
        <v>4398229.71i</v>
      </c>
      <c r="D84" s="30" t="str">
        <f t="shared" si="55"/>
        <v>-19344424581926.7</v>
      </c>
      <c r="E84" s="30" t="str">
        <f t="shared" si="56"/>
        <v>-85081222919084300000i</v>
      </c>
      <c r="G84" s="30" t="e">
        <f t="shared" si="75"/>
        <v>#VALUE!</v>
      </c>
      <c r="I84" s="30" t="e">
        <f t="shared" si="57"/>
        <v>#REF!</v>
      </c>
      <c r="J84" t="e">
        <f t="shared" si="18"/>
        <v>#REF!</v>
      </c>
      <c r="L84" s="30" t="e">
        <f t="shared" si="58"/>
        <v>#VALUE!</v>
      </c>
      <c r="M84" t="e">
        <f t="shared" si="59"/>
        <v>#VALUE!</v>
      </c>
      <c r="N84" t="e">
        <f t="shared" si="19"/>
        <v>#REF!</v>
      </c>
      <c r="O84" s="299" t="e">
        <f t="shared" si="20"/>
        <v>#VALUE!</v>
      </c>
      <c r="P84" s="651">
        <v>0</v>
      </c>
      <c r="Q84" s="397" t="str">
        <f t="shared" si="60"/>
        <v>1+1.5393803985i</v>
      </c>
      <c r="R84" s="397" t="str">
        <f t="shared" si="61"/>
        <v>-9.51718559572877i</v>
      </c>
      <c r="S84" s="397" t="str">
        <f t="shared" si="62"/>
        <v>-19.3366868120939</v>
      </c>
      <c r="T84" s="397" t="str">
        <f t="shared" si="21"/>
        <v>-18.3366868120939-7.97780519722877i</v>
      </c>
      <c r="U84" s="652">
        <v>1</v>
      </c>
      <c r="V84">
        <f t="shared" si="76"/>
        <v>1</v>
      </c>
      <c r="W84">
        <f t="shared" si="23"/>
        <v>0</v>
      </c>
      <c r="X84">
        <f t="shared" si="77"/>
        <v>0</v>
      </c>
      <c r="Z84" t="str">
        <f t="shared" si="63"/>
        <v>-0.0765669830392885-0.050638587700621i</v>
      </c>
      <c r="AA84">
        <f t="shared" si="69"/>
        <v>-20.743388875708668</v>
      </c>
      <c r="AB84">
        <f t="shared" si="64"/>
        <v>-146.52081538204177</v>
      </c>
      <c r="AD84" s="30" t="str">
        <f t="shared" si="65"/>
        <v>87.9645942i</v>
      </c>
      <c r="AE84" s="30" t="str">
        <f t="shared" si="70"/>
        <v>1+87.9645942i</v>
      </c>
      <c r="AF84" s="30" t="e">
        <f t="shared" si="66"/>
        <v>#VALUE!</v>
      </c>
      <c r="AG84" t="e">
        <f t="shared" si="67"/>
        <v>#VALUE!</v>
      </c>
      <c r="AH84" t="str">
        <f t="shared" si="71"/>
        <v>1+87.9645942i</v>
      </c>
      <c r="AI84" s="299" t="e">
        <f t="shared" si="72"/>
        <v>#VALUE!</v>
      </c>
      <c r="AK84" t="e">
        <f t="shared" si="73"/>
        <v>#VALUE!</v>
      </c>
      <c r="AM84" t="e">
        <f t="shared" si="74"/>
        <v>#VALUE!</v>
      </c>
      <c r="AN84" t="e">
        <f t="shared" si="68"/>
        <v>#VALUE!</v>
      </c>
    </row>
    <row r="85" spans="1:40" x14ac:dyDescent="0.2">
      <c r="A85" s="653">
        <v>800000</v>
      </c>
      <c r="B85" s="352">
        <f t="shared" si="17"/>
        <v>800</v>
      </c>
      <c r="C85" t="str">
        <f t="shared" si="54"/>
        <v>5026548.24i</v>
      </c>
      <c r="D85" s="30" t="str">
        <f t="shared" si="55"/>
        <v>-25266187209047.1</v>
      </c>
      <c r="E85" s="30" t="str">
        <f t="shared" si="56"/>
        <v>-127001708847146000000i</v>
      </c>
      <c r="G85" s="30" t="e">
        <f t="shared" si="75"/>
        <v>#VALUE!</v>
      </c>
      <c r="I85" s="30" t="e">
        <f t="shared" si="57"/>
        <v>#REF!</v>
      </c>
      <c r="J85" t="e">
        <f t="shared" si="18"/>
        <v>#REF!</v>
      </c>
      <c r="L85" s="30" t="e">
        <f t="shared" si="58"/>
        <v>#VALUE!</v>
      </c>
      <c r="M85" t="e">
        <f t="shared" si="59"/>
        <v>#VALUE!</v>
      </c>
      <c r="N85" t="e">
        <f t="shared" si="19"/>
        <v>#REF!</v>
      </c>
      <c r="O85" s="299" t="e">
        <f t="shared" si="20"/>
        <v>#VALUE!</v>
      </c>
      <c r="P85" s="651">
        <v>0</v>
      </c>
      <c r="Q85" s="397" t="str">
        <f t="shared" si="60"/>
        <v>1+1.759291884i</v>
      </c>
      <c r="R85" s="397" t="str">
        <f t="shared" si="61"/>
        <v>-14.2064111516417i</v>
      </c>
      <c r="S85" s="397" t="str">
        <f t="shared" si="62"/>
        <v>-25.2560807341635</v>
      </c>
      <c r="T85" s="397" t="str">
        <f t="shared" si="21"/>
        <v>-24.2560807341635-12.4471192676417i</v>
      </c>
      <c r="U85" s="652">
        <v>1</v>
      </c>
      <c r="V85">
        <f t="shared" si="76"/>
        <v>1</v>
      </c>
      <c r="W85">
        <f t="shared" si="23"/>
        <v>0</v>
      </c>
      <c r="X85">
        <f t="shared" si="77"/>
        <v>0</v>
      </c>
      <c r="Z85" t="str">
        <f t="shared" si="63"/>
        <v>-0.0620946151681225-0.040665794855093i</v>
      </c>
      <c r="AA85">
        <f t="shared" si="69"/>
        <v>-22.588919033913939</v>
      </c>
      <c r="AB85">
        <f t="shared" si="64"/>
        <v>-146.77919071706401</v>
      </c>
      <c r="AD85" s="30" t="str">
        <f t="shared" si="65"/>
        <v>100.5309648i</v>
      </c>
      <c r="AE85" s="30" t="str">
        <f t="shared" si="70"/>
        <v>1+100.5309648i</v>
      </c>
      <c r="AF85" s="30" t="e">
        <f t="shared" si="66"/>
        <v>#VALUE!</v>
      </c>
      <c r="AG85" t="e">
        <f t="shared" si="67"/>
        <v>#VALUE!</v>
      </c>
      <c r="AH85" t="str">
        <f t="shared" si="71"/>
        <v>1+100.5309648i</v>
      </c>
      <c r="AI85" s="299" t="e">
        <f t="shared" si="72"/>
        <v>#VALUE!</v>
      </c>
      <c r="AK85" t="e">
        <f t="shared" si="73"/>
        <v>#VALUE!</v>
      </c>
      <c r="AM85" t="e">
        <f t="shared" si="74"/>
        <v>#VALUE!</v>
      </c>
      <c r="AN85" t="e">
        <f t="shared" si="68"/>
        <v>#VALUE!</v>
      </c>
    </row>
    <row r="86" spans="1:40" x14ac:dyDescent="0.2">
      <c r="A86" s="335">
        <v>900000</v>
      </c>
      <c r="B86" s="352">
        <f t="shared" si="17"/>
        <v>900</v>
      </c>
      <c r="C86" t="str">
        <f t="shared" si="54"/>
        <v>5654866.77i</v>
      </c>
      <c r="D86" s="30" t="str">
        <f t="shared" si="55"/>
        <v>-31977518186450.2</v>
      </c>
      <c r="E86" s="30" t="str">
        <f t="shared" si="56"/>
        <v>-180828604979628000000i</v>
      </c>
      <c r="G86" s="30" t="e">
        <f t="shared" si="75"/>
        <v>#VALUE!</v>
      </c>
      <c r="I86" s="30" t="e">
        <f t="shared" si="57"/>
        <v>#REF!</v>
      </c>
      <c r="J86" t="e">
        <f t="shared" si="18"/>
        <v>#REF!</v>
      </c>
      <c r="L86" s="30" t="e">
        <f t="shared" si="58"/>
        <v>#VALUE!</v>
      </c>
      <c r="M86" t="e">
        <f t="shared" si="59"/>
        <v>#VALUE!</v>
      </c>
      <c r="N86" t="e">
        <f t="shared" si="19"/>
        <v>#REF!</v>
      </c>
      <c r="O86" s="299" t="e">
        <f t="shared" si="20"/>
        <v>#VALUE!</v>
      </c>
      <c r="P86" s="651">
        <v>0</v>
      </c>
      <c r="Q86" s="397" t="str">
        <f t="shared" si="60"/>
        <v>1+1.9792033695i</v>
      </c>
      <c r="R86" s="397" t="str">
        <f t="shared" si="61"/>
        <v>-20.2274877530212i</v>
      </c>
      <c r="S86" s="397" t="str">
        <f t="shared" si="62"/>
        <v>-31.9647271791756</v>
      </c>
      <c r="T86" s="397" t="str">
        <f t="shared" si="21"/>
        <v>-30.9647271791756-18.2482843835212i</v>
      </c>
      <c r="U86" s="652">
        <v>1</v>
      </c>
      <c r="V86">
        <f t="shared" si="76"/>
        <v>1</v>
      </c>
      <c r="W86">
        <f t="shared" si="23"/>
        <v>0</v>
      </c>
      <c r="X86">
        <f t="shared" si="77"/>
        <v>0</v>
      </c>
      <c r="Z86" t="str">
        <f t="shared" si="63"/>
        <v>-0.0519283597315569-0.033315323192724i</v>
      </c>
      <c r="AA86">
        <f t="shared" si="69"/>
        <v>-24.194781244722876</v>
      </c>
      <c r="AB86">
        <f t="shared" si="64"/>
        <v>-147.31726418522518</v>
      </c>
      <c r="AD86" s="30" t="str">
        <f t="shared" si="65"/>
        <v>113.0973354i</v>
      </c>
      <c r="AE86" s="30" t="str">
        <f t="shared" si="70"/>
        <v>1+113.0973354i</v>
      </c>
      <c r="AF86" s="30" t="e">
        <f t="shared" si="66"/>
        <v>#VALUE!</v>
      </c>
      <c r="AG86" t="e">
        <f t="shared" si="67"/>
        <v>#VALUE!</v>
      </c>
      <c r="AH86" t="str">
        <f t="shared" si="71"/>
        <v>1+113.0973354i</v>
      </c>
      <c r="AI86" s="299" t="e">
        <f t="shared" si="72"/>
        <v>#VALUE!</v>
      </c>
      <c r="AK86" t="e">
        <f t="shared" si="73"/>
        <v>#VALUE!</v>
      </c>
      <c r="AM86" t="e">
        <f t="shared" si="74"/>
        <v>#VALUE!</v>
      </c>
      <c r="AN86" t="e">
        <f t="shared" si="68"/>
        <v>#VALUE!</v>
      </c>
    </row>
    <row r="87" spans="1:40" x14ac:dyDescent="0.2">
      <c r="A87" s="653">
        <v>1000000</v>
      </c>
      <c r="B87" s="352">
        <f t="shared" si="17"/>
        <v>1000</v>
      </c>
      <c r="C87" t="str">
        <f t="shared" si="54"/>
        <v>6283185.3i</v>
      </c>
      <c r="D87" s="30" t="str">
        <f t="shared" si="55"/>
        <v>-39478417514136.1</v>
      </c>
      <c r="E87" s="30" t="str">
        <f t="shared" si="56"/>
        <v>-248050212592083000000i</v>
      </c>
      <c r="G87" s="30" t="e">
        <f t="shared" si="75"/>
        <v>#VALUE!</v>
      </c>
      <c r="I87" s="30" t="e">
        <f t="shared" si="57"/>
        <v>#REF!</v>
      </c>
      <c r="J87" t="e">
        <f t="shared" si="18"/>
        <v>#REF!</v>
      </c>
      <c r="L87" s="30" t="e">
        <f t="shared" si="58"/>
        <v>#VALUE!</v>
      </c>
      <c r="M87" t="e">
        <f t="shared" si="59"/>
        <v>#VALUE!</v>
      </c>
      <c r="N87" t="e">
        <f t="shared" si="19"/>
        <v>#REF!</v>
      </c>
      <c r="O87" s="299" t="e">
        <f t="shared" si="20"/>
        <v>#VALUE!</v>
      </c>
      <c r="P87" s="651">
        <v>0</v>
      </c>
      <c r="Q87" s="397" t="str">
        <f t="shared" si="60"/>
        <v>1+2.199114855i</v>
      </c>
      <c r="R87" s="397" t="str">
        <f t="shared" si="61"/>
        <v>-27.7468967805504i</v>
      </c>
      <c r="S87" s="397" t="str">
        <f t="shared" si="62"/>
        <v>-39.4626261471305</v>
      </c>
      <c r="T87" s="397" t="str">
        <f t="shared" si="21"/>
        <v>-38.4626261471305-25.5477819255504i</v>
      </c>
      <c r="U87" s="652">
        <v>1</v>
      </c>
      <c r="V87">
        <f t="shared" si="76"/>
        <v>1</v>
      </c>
      <c r="W87">
        <f t="shared" si="23"/>
        <v>0</v>
      </c>
      <c r="X87">
        <f t="shared" si="77"/>
        <v>0</v>
      </c>
      <c r="Z87" t="str">
        <f t="shared" si="63"/>
        <v>-0.044391344457259-0.0276895930961649i</v>
      </c>
      <c r="AA87">
        <f t="shared" si="69"/>
        <v>-25.626768047686518</v>
      </c>
      <c r="AB87">
        <f t="shared" si="64"/>
        <v>-148.04569057314714</v>
      </c>
      <c r="AD87" s="30" t="str">
        <f t="shared" si="65"/>
        <v>125.663706i</v>
      </c>
      <c r="AE87" s="30" t="str">
        <f t="shared" si="70"/>
        <v>1+125.663706i</v>
      </c>
      <c r="AF87" s="30" t="e">
        <f t="shared" si="66"/>
        <v>#VALUE!</v>
      </c>
      <c r="AG87" t="e">
        <f t="shared" si="67"/>
        <v>#VALUE!</v>
      </c>
      <c r="AH87" t="str">
        <f t="shared" si="71"/>
        <v>1+125.663706i</v>
      </c>
      <c r="AI87" s="299" t="e">
        <f t="shared" si="72"/>
        <v>#VALUE!</v>
      </c>
      <c r="AK87" t="e">
        <f t="shared" si="73"/>
        <v>#VALUE!</v>
      </c>
      <c r="AM87" t="e">
        <f t="shared" si="74"/>
        <v>#VALUE!</v>
      </c>
      <c r="AN87" t="e">
        <f t="shared" si="68"/>
        <v>#VALUE!</v>
      </c>
    </row>
    <row r="88" spans="1:40" x14ac:dyDescent="0.2">
      <c r="A88" s="653">
        <v>2000000</v>
      </c>
      <c r="B88" s="352">
        <f t="shared" si="17"/>
        <v>2000</v>
      </c>
      <c r="C88" t="str">
        <f t="shared" si="54"/>
        <v>12566370.6i</v>
      </c>
      <c r="D88" s="30" t="str">
        <f t="shared" si="55"/>
        <v>-157913670056544</v>
      </c>
      <c r="E88" s="30" t="str">
        <f t="shared" si="56"/>
        <v>-1.98440170073666E+21i</v>
      </c>
      <c r="G88" s="30" t="e">
        <f t="shared" si="75"/>
        <v>#VALUE!</v>
      </c>
      <c r="I88" s="30" t="e">
        <f t="shared" si="57"/>
        <v>#REF!</v>
      </c>
      <c r="J88" t="e">
        <f t="shared" si="18"/>
        <v>#REF!</v>
      </c>
      <c r="L88" s="30" t="e">
        <f t="shared" si="58"/>
        <v>#VALUE!</v>
      </c>
      <c r="M88" t="e">
        <f t="shared" si="59"/>
        <v>#VALUE!</v>
      </c>
      <c r="N88" t="e">
        <f t="shared" si="19"/>
        <v>#REF!</v>
      </c>
      <c r="O88" s="299" t="e">
        <f t="shared" si="20"/>
        <v>#VALUE!</v>
      </c>
      <c r="P88" s="651">
        <v>0</v>
      </c>
      <c r="Q88" s="397" t="str">
        <f t="shared" si="60"/>
        <v>1+4.39822971i</v>
      </c>
      <c r="R88" s="397" t="str">
        <f t="shared" si="61"/>
        <v>-221.975174244403i</v>
      </c>
      <c r="S88" s="397" t="str">
        <f t="shared" si="62"/>
        <v>-157.850504588521</v>
      </c>
      <c r="T88" s="397" t="str">
        <f t="shared" si="21"/>
        <v>-156.850504588521-217.576944534403i</v>
      </c>
      <c r="U88" s="652">
        <v>1</v>
      </c>
      <c r="V88">
        <f t="shared" si="76"/>
        <v>1</v>
      </c>
      <c r="W88">
        <f t="shared" si="23"/>
        <v>0</v>
      </c>
      <c r="X88">
        <f t="shared" si="77"/>
        <v>0</v>
      </c>
      <c r="Z88" t="str">
        <f t="shared" si="63"/>
        <v>-0.0154820114155727-0.00656485596685991i</v>
      </c>
      <c r="AA88">
        <f t="shared" si="69"/>
        <v>-35.485359346827785</v>
      </c>
      <c r="AB88">
        <f t="shared" si="64"/>
        <v>-157.02154019060663</v>
      </c>
      <c r="AD88" s="30" t="str">
        <f t="shared" si="65"/>
        <v>251.327412i</v>
      </c>
      <c r="AE88" s="30" t="str">
        <f t="shared" si="70"/>
        <v>1+251.327412i</v>
      </c>
      <c r="AF88" s="30" t="e">
        <f t="shared" si="66"/>
        <v>#VALUE!</v>
      </c>
      <c r="AG88" t="e">
        <f t="shared" si="67"/>
        <v>#VALUE!</v>
      </c>
      <c r="AH88" t="str">
        <f t="shared" si="71"/>
        <v>1+251.327412i</v>
      </c>
      <c r="AI88" s="299" t="e">
        <f t="shared" si="72"/>
        <v>#VALUE!</v>
      </c>
      <c r="AK88" t="e">
        <f t="shared" si="73"/>
        <v>#VALUE!</v>
      </c>
      <c r="AM88" t="e">
        <f t="shared" si="74"/>
        <v>#VALUE!</v>
      </c>
      <c r="AN88" t="e">
        <f t="shared" si="68"/>
        <v>#VALUE!</v>
      </c>
    </row>
    <row r="89" spans="1:40" x14ac:dyDescent="0.2">
      <c r="A89" s="653">
        <v>3000000</v>
      </c>
      <c r="B89" s="352">
        <f t="shared" si="17"/>
        <v>3000</v>
      </c>
      <c r="C89" t="str">
        <f t="shared" si="54"/>
        <v>18849555.9i</v>
      </c>
      <c r="D89" s="30" t="str">
        <f t="shared" si="55"/>
        <v>-355305757627225</v>
      </c>
      <c r="E89" s="30" t="str">
        <f t="shared" si="56"/>
        <v>-6.69735573998623E+21i</v>
      </c>
      <c r="G89" s="30" t="e">
        <f t="shared" si="75"/>
        <v>#VALUE!</v>
      </c>
      <c r="I89" s="30" t="e">
        <f t="shared" si="57"/>
        <v>#REF!</v>
      </c>
      <c r="J89" t="e">
        <f t="shared" si="18"/>
        <v>#REF!</v>
      </c>
      <c r="L89" s="30" t="e">
        <f t="shared" si="58"/>
        <v>#VALUE!</v>
      </c>
      <c r="M89" t="e">
        <f t="shared" si="59"/>
        <v>#VALUE!</v>
      </c>
      <c r="N89" t="e">
        <f t="shared" si="19"/>
        <v>#REF!</v>
      </c>
      <c r="O89" s="299" t="e">
        <f t="shared" si="20"/>
        <v>#VALUE!</v>
      </c>
      <c r="P89" s="651">
        <v>0</v>
      </c>
      <c r="Q89" s="397" t="str">
        <f t="shared" si="60"/>
        <v>1+6.597344565i</v>
      </c>
      <c r="R89" s="397" t="str">
        <f t="shared" si="61"/>
        <v>-749.16621307486i</v>
      </c>
      <c r="S89" s="397" t="str">
        <f t="shared" si="62"/>
        <v>-355.163635324174</v>
      </c>
      <c r="T89" s="397" t="str">
        <f t="shared" si="21"/>
        <v>-354.163635324174-742.56886850986i</v>
      </c>
      <c r="U89" s="652">
        <v>1</v>
      </c>
      <c r="V89">
        <f t="shared" si="76"/>
        <v>1</v>
      </c>
      <c r="W89">
        <f t="shared" si="23"/>
        <v>0</v>
      </c>
      <c r="X89">
        <f t="shared" si="77"/>
        <v>0</v>
      </c>
      <c r="Z89" t="str">
        <f t="shared" si="63"/>
        <v>-0.00776127767315144-0.00235501700871593i</v>
      </c>
      <c r="AA89">
        <f t="shared" si="69"/>
        <v>-41.818827844809874</v>
      </c>
      <c r="AB89">
        <f t="shared" si="64"/>
        <v>-163.12054420169724</v>
      </c>
      <c r="AD89" s="30" t="str">
        <f t="shared" si="65"/>
        <v>376.991118i</v>
      </c>
      <c r="AE89" s="30" t="str">
        <f t="shared" si="70"/>
        <v>1+376.991118i</v>
      </c>
      <c r="AF89" s="30" t="e">
        <f t="shared" si="66"/>
        <v>#VALUE!</v>
      </c>
      <c r="AG89" t="e">
        <f t="shared" si="67"/>
        <v>#VALUE!</v>
      </c>
      <c r="AH89" t="str">
        <f t="shared" si="71"/>
        <v>1+376.991118i</v>
      </c>
      <c r="AI89" s="299" t="e">
        <f t="shared" si="72"/>
        <v>#VALUE!</v>
      </c>
      <c r="AK89" t="e">
        <f t="shared" si="73"/>
        <v>#VALUE!</v>
      </c>
      <c r="AM89" t="e">
        <f t="shared" si="74"/>
        <v>#VALUE!</v>
      </c>
      <c r="AN89" t="e">
        <f t="shared" si="68"/>
        <v>#VALUE!</v>
      </c>
    </row>
    <row r="90" spans="1:40" x14ac:dyDescent="0.2">
      <c r="A90" s="653">
        <v>4000000</v>
      </c>
      <c r="B90" s="352">
        <f t="shared" si="17"/>
        <v>4000</v>
      </c>
      <c r="C90" t="str">
        <f t="shared" si="54"/>
        <v>25132741.2i</v>
      </c>
      <c r="D90" s="30" t="str">
        <f t="shared" si="55"/>
        <v>-631654680226178</v>
      </c>
      <c r="E90" s="30" t="str">
        <f t="shared" si="56"/>
        <v>-1.58752136058933E+22i</v>
      </c>
      <c r="G90" s="30" t="e">
        <f t="shared" si="75"/>
        <v>#VALUE!</v>
      </c>
      <c r="I90" s="30" t="e">
        <f t="shared" si="57"/>
        <v>#REF!</v>
      </c>
      <c r="J90" t="e">
        <f t="shared" si="18"/>
        <v>#REF!</v>
      </c>
      <c r="L90" s="30" t="e">
        <f t="shared" si="58"/>
        <v>#VALUE!</v>
      </c>
      <c r="M90" t="e">
        <f t="shared" si="59"/>
        <v>#VALUE!</v>
      </c>
      <c r="N90" t="e">
        <f t="shared" si="19"/>
        <v>#REF!</v>
      </c>
      <c r="O90" s="299" t="e">
        <f t="shared" si="20"/>
        <v>#VALUE!</v>
      </c>
      <c r="P90" s="651">
        <v>0</v>
      </c>
      <c r="Q90" s="397" t="str">
        <f t="shared" si="60"/>
        <v>1+8.79645942i</v>
      </c>
      <c r="R90" s="397" t="str">
        <f t="shared" si="61"/>
        <v>-1775.80139395522i</v>
      </c>
      <c r="S90" s="397" t="str">
        <f t="shared" si="62"/>
        <v>-631.402018354088</v>
      </c>
      <c r="T90" s="397" t="str">
        <f t="shared" si="21"/>
        <v>-630.402018354088-1767.00493453522i</v>
      </c>
      <c r="U90" s="652">
        <v>1</v>
      </c>
      <c r="V90">
        <f t="shared" si="76"/>
        <v>1</v>
      </c>
      <c r="W90">
        <f t="shared" si="23"/>
        <v>0</v>
      </c>
      <c r="X90">
        <f t="shared" si="77"/>
        <v>0</v>
      </c>
      <c r="Z90" t="str">
        <f t="shared" si="63"/>
        <v>-0.00459520096124435-0.00107346840047734i</v>
      </c>
      <c r="AA90">
        <f t="shared" si="69"/>
        <v>-46.523147642689807</v>
      </c>
      <c r="AB90">
        <f t="shared" si="64"/>
        <v>-166.85114049434898</v>
      </c>
      <c r="AD90" s="30" t="str">
        <f t="shared" si="65"/>
        <v>502.654824i</v>
      </c>
      <c r="AE90" s="30" t="str">
        <f t="shared" si="70"/>
        <v>1+502.654824i</v>
      </c>
      <c r="AF90" s="30" t="e">
        <f t="shared" si="66"/>
        <v>#VALUE!</v>
      </c>
      <c r="AG90" t="e">
        <f t="shared" si="67"/>
        <v>#VALUE!</v>
      </c>
      <c r="AH90" t="str">
        <f t="shared" si="71"/>
        <v>1+502.654824i</v>
      </c>
      <c r="AI90" s="299" t="e">
        <f t="shared" si="72"/>
        <v>#VALUE!</v>
      </c>
      <c r="AK90" t="e">
        <f t="shared" si="73"/>
        <v>#VALUE!</v>
      </c>
      <c r="AM90" t="e">
        <f t="shared" si="74"/>
        <v>#VALUE!</v>
      </c>
      <c r="AN90" t="e">
        <f t="shared" si="68"/>
        <v>#VALUE!</v>
      </c>
    </row>
    <row r="91" spans="1:40" x14ac:dyDescent="0.2">
      <c r="A91" s="653">
        <v>5000000</v>
      </c>
      <c r="B91" s="352">
        <f t="shared" si="17"/>
        <v>5000</v>
      </c>
      <c r="C91" t="str">
        <f t="shared" si="54"/>
        <v>31415926.5i</v>
      </c>
      <c r="D91" s="30" t="str">
        <f t="shared" si="55"/>
        <v>-986960437853403</v>
      </c>
      <c r="E91" s="30" t="str">
        <f t="shared" si="56"/>
        <v>-3.10062765740103E+22i</v>
      </c>
      <c r="G91" s="30" t="e">
        <f t="shared" si="75"/>
        <v>#VALUE!</v>
      </c>
      <c r="I91" s="30" t="e">
        <f t="shared" si="57"/>
        <v>#REF!</v>
      </c>
      <c r="J91" t="e">
        <f t="shared" si="18"/>
        <v>#REF!</v>
      </c>
      <c r="L91" s="30" t="e">
        <f t="shared" si="58"/>
        <v>#VALUE!</v>
      </c>
      <c r="M91" t="e">
        <f t="shared" si="59"/>
        <v>#VALUE!</v>
      </c>
      <c r="N91" t="e">
        <f t="shared" si="19"/>
        <v>#REF!</v>
      </c>
      <c r="O91" s="299" t="e">
        <f t="shared" si="20"/>
        <v>#VALUE!</v>
      </c>
      <c r="P91" s="651">
        <v>0</v>
      </c>
      <c r="Q91" s="397" t="str">
        <f t="shared" si="60"/>
        <v>1+10.995574275i</v>
      </c>
      <c r="R91" s="397" t="str">
        <f t="shared" si="61"/>
        <v>-3468.36209756879i</v>
      </c>
      <c r="S91" s="397" t="str">
        <f t="shared" si="62"/>
        <v>-986.565653678262</v>
      </c>
      <c r="T91" s="397" t="str">
        <f t="shared" si="21"/>
        <v>-985.565653678262-3457.36652329379i</v>
      </c>
      <c r="U91" s="652">
        <v>1</v>
      </c>
      <c r="V91">
        <f t="shared" si="76"/>
        <v>1</v>
      </c>
      <c r="W91">
        <f t="shared" si="23"/>
        <v>0</v>
      </c>
      <c r="X91">
        <f t="shared" si="77"/>
        <v>0</v>
      </c>
      <c r="Z91" t="str">
        <f t="shared" si="63"/>
        <v>-0.00301757308495533-0.000570959537178404i</v>
      </c>
      <c r="AA91">
        <f t="shared" si="69"/>
        <v>-50.254080822840123</v>
      </c>
      <c r="AB91">
        <f t="shared" si="64"/>
        <v>-169.28564289756036</v>
      </c>
      <c r="AD91" s="30" t="str">
        <f t="shared" si="65"/>
        <v>628.31853i</v>
      </c>
      <c r="AE91" s="30" t="str">
        <f t="shared" si="70"/>
        <v>1+628.31853i</v>
      </c>
      <c r="AF91" s="30" t="e">
        <f t="shared" si="66"/>
        <v>#VALUE!</v>
      </c>
      <c r="AG91" t="e">
        <f t="shared" si="67"/>
        <v>#VALUE!</v>
      </c>
      <c r="AH91" t="str">
        <f t="shared" si="71"/>
        <v>1+628.31853i</v>
      </c>
      <c r="AI91" s="299" t="e">
        <f t="shared" si="72"/>
        <v>#VALUE!</v>
      </c>
      <c r="AK91" t="e">
        <f t="shared" si="73"/>
        <v>#VALUE!</v>
      </c>
      <c r="AM91" t="e">
        <f t="shared" si="74"/>
        <v>#VALUE!</v>
      </c>
      <c r="AN91" t="e">
        <f t="shared" si="68"/>
        <v>#VALUE!</v>
      </c>
    </row>
    <row r="92" spans="1:40" x14ac:dyDescent="0.2">
      <c r="A92" s="653">
        <v>6000000</v>
      </c>
      <c r="B92" s="352">
        <f t="shared" si="17"/>
        <v>6000</v>
      </c>
      <c r="C92" t="str">
        <f t="shared" si="54"/>
        <v>37699111.8i</v>
      </c>
      <c r="D92" s="30" t="str">
        <f t="shared" si="55"/>
        <v>-1421223030508900</v>
      </c>
      <c r="E92" s="30" t="str">
        <f t="shared" si="56"/>
        <v>-5.35788459198898E+22i</v>
      </c>
      <c r="G92" s="30" t="e">
        <f t="shared" si="75"/>
        <v>#VALUE!</v>
      </c>
      <c r="I92" s="30" t="e">
        <f t="shared" si="57"/>
        <v>#REF!</v>
      </c>
      <c r="J92" t="e">
        <f t="shared" si="18"/>
        <v>#REF!</v>
      </c>
      <c r="L92" s="30" t="e">
        <f t="shared" si="58"/>
        <v>#VALUE!</v>
      </c>
      <c r="M92" t="e">
        <f t="shared" si="59"/>
        <v>#VALUE!</v>
      </c>
      <c r="N92" t="e">
        <f t="shared" si="19"/>
        <v>#REF!</v>
      </c>
      <c r="O92" s="299" t="e">
        <f t="shared" si="20"/>
        <v>#VALUE!</v>
      </c>
      <c r="P92" s="651">
        <v>0</v>
      </c>
      <c r="Q92" s="397" t="str">
        <f t="shared" si="60"/>
        <v>1+13.19468913i</v>
      </c>
      <c r="R92" s="397" t="str">
        <f t="shared" si="61"/>
        <v>-5993.32970459887i</v>
      </c>
      <c r="S92" s="397" t="str">
        <f t="shared" si="62"/>
        <v>-1420.6545412967</v>
      </c>
      <c r="T92" s="397" t="str">
        <f t="shared" si="21"/>
        <v>-1419.6545412967-5980.13501546887i</v>
      </c>
      <c r="U92" s="652">
        <v>1</v>
      </c>
      <c r="V92">
        <f t="shared" si="76"/>
        <v>1</v>
      </c>
      <c r="W92">
        <f t="shared" si="23"/>
        <v>0</v>
      </c>
      <c r="X92">
        <f t="shared" si="77"/>
        <v>0</v>
      </c>
      <c r="Z92" t="str">
        <f t="shared" si="63"/>
        <v>-0.00212628728062533-0.000337549802608077i</v>
      </c>
      <c r="AA92">
        <f t="shared" si="69"/>
        <v>-53.339467507298949</v>
      </c>
      <c r="AB92">
        <f t="shared" si="64"/>
        <v>-170.979524286046</v>
      </c>
      <c r="AD92" s="30" t="str">
        <f t="shared" si="65"/>
        <v>753.982236i</v>
      </c>
      <c r="AE92" s="30" t="str">
        <f t="shared" si="70"/>
        <v>1+753.982236i</v>
      </c>
      <c r="AF92" s="30" t="e">
        <f t="shared" si="66"/>
        <v>#VALUE!</v>
      </c>
      <c r="AG92" t="e">
        <f t="shared" si="67"/>
        <v>#VALUE!</v>
      </c>
      <c r="AH92" t="str">
        <f t="shared" si="71"/>
        <v>1+753.982236i</v>
      </c>
      <c r="AI92" s="299" t="e">
        <f t="shared" si="72"/>
        <v>#VALUE!</v>
      </c>
      <c r="AK92" t="e">
        <f t="shared" si="73"/>
        <v>#VALUE!</v>
      </c>
      <c r="AM92" t="e">
        <f t="shared" si="74"/>
        <v>#VALUE!</v>
      </c>
      <c r="AN92" t="e">
        <f t="shared" si="68"/>
        <v>#VALUE!</v>
      </c>
    </row>
    <row r="93" spans="1:40" x14ac:dyDescent="0.2">
      <c r="A93" s="653">
        <v>7000000</v>
      </c>
      <c r="B93" s="352">
        <f t="shared" si="17"/>
        <v>7000</v>
      </c>
      <c r="C93" t="str">
        <f t="shared" si="54"/>
        <v>43982297.1i</v>
      </c>
      <c r="D93" s="30" t="str">
        <f t="shared" si="55"/>
        <v>-1934442458192670</v>
      </c>
      <c r="E93" s="30" t="str">
        <f t="shared" si="56"/>
        <v>-8.50812229190843E+22i</v>
      </c>
      <c r="G93" s="30" t="e">
        <f t="shared" si="75"/>
        <v>#VALUE!</v>
      </c>
      <c r="I93" s="30" t="e">
        <f t="shared" si="57"/>
        <v>#REF!</v>
      </c>
      <c r="J93" t="e">
        <f t="shared" si="18"/>
        <v>#REF!</v>
      </c>
      <c r="L93" s="30" t="e">
        <f t="shared" si="58"/>
        <v>#VALUE!</v>
      </c>
      <c r="M93" t="e">
        <f t="shared" si="59"/>
        <v>#VALUE!</v>
      </c>
      <c r="N93" t="e">
        <f t="shared" si="19"/>
        <v>#REF!</v>
      </c>
      <c r="O93" s="299" t="e">
        <f t="shared" si="20"/>
        <v>#VALUE!</v>
      </c>
      <c r="P93" s="651">
        <v>0</v>
      </c>
      <c r="Q93" s="397" t="str">
        <f t="shared" si="60"/>
        <v>1+15.393803985i</v>
      </c>
      <c r="R93" s="397" t="str">
        <f t="shared" si="61"/>
        <v>-9517.18559572877i</v>
      </c>
      <c r="S93" s="397" t="str">
        <f t="shared" si="62"/>
        <v>-1933.66868120939</v>
      </c>
      <c r="T93" s="397" t="str">
        <f t="shared" si="21"/>
        <v>-1932.66868120939-9501.79179174377i</v>
      </c>
      <c r="U93" s="652">
        <v>1</v>
      </c>
      <c r="V93">
        <f t="shared" si="76"/>
        <v>1</v>
      </c>
      <c r="W93">
        <f t="shared" si="23"/>
        <v>0</v>
      </c>
      <c r="X93">
        <f t="shared" si="77"/>
        <v>0</v>
      </c>
      <c r="Z93" t="str">
        <f t="shared" si="63"/>
        <v>-0.00157628762603077-0.000215374297002146i</v>
      </c>
      <c r="AA93">
        <f t="shared" si="69"/>
        <v>-55.966960551322785</v>
      </c>
      <c r="AB93">
        <f t="shared" si="64"/>
        <v>-172.21963347996476</v>
      </c>
      <c r="AD93" s="30" t="str">
        <f t="shared" si="65"/>
        <v>879.645942i</v>
      </c>
      <c r="AE93" s="30" t="str">
        <f t="shared" si="70"/>
        <v>1+879.645942i</v>
      </c>
      <c r="AF93" s="30" t="e">
        <f t="shared" si="66"/>
        <v>#VALUE!</v>
      </c>
      <c r="AG93" t="e">
        <f t="shared" si="67"/>
        <v>#VALUE!</v>
      </c>
      <c r="AH93" t="str">
        <f t="shared" si="71"/>
        <v>1+879.645942i</v>
      </c>
      <c r="AI93" s="299" t="e">
        <f t="shared" si="72"/>
        <v>#VALUE!</v>
      </c>
      <c r="AK93" t="e">
        <f t="shared" si="73"/>
        <v>#VALUE!</v>
      </c>
      <c r="AM93" t="e">
        <f t="shared" si="74"/>
        <v>#VALUE!</v>
      </c>
      <c r="AN93" t="e">
        <f t="shared" si="68"/>
        <v>#VALUE!</v>
      </c>
    </row>
    <row r="94" spans="1:40" x14ac:dyDescent="0.2">
      <c r="A94" s="653">
        <v>8000000</v>
      </c>
      <c r="B94" s="352">
        <f t="shared" si="17"/>
        <v>8000</v>
      </c>
      <c r="C94" t="str">
        <f t="shared" si="54"/>
        <v>50265482.4i</v>
      </c>
      <c r="D94" s="30" t="str">
        <f t="shared" si="55"/>
        <v>-2526618720904710</v>
      </c>
      <c r="E94" s="30" t="str">
        <f t="shared" si="56"/>
        <v>-1.27001708847146E+23i</v>
      </c>
      <c r="G94" s="30" t="e">
        <f t="shared" si="75"/>
        <v>#VALUE!</v>
      </c>
      <c r="I94" s="30" t="e">
        <f t="shared" si="57"/>
        <v>#REF!</v>
      </c>
      <c r="J94" t="e">
        <f t="shared" si="18"/>
        <v>#REF!</v>
      </c>
      <c r="L94" s="30" t="e">
        <f t="shared" si="58"/>
        <v>#VALUE!</v>
      </c>
      <c r="M94" t="e">
        <f t="shared" si="59"/>
        <v>#VALUE!</v>
      </c>
      <c r="N94" t="e">
        <f t="shared" si="19"/>
        <v>#REF!</v>
      </c>
      <c r="O94" s="299" t="e">
        <f t="shared" si="20"/>
        <v>#VALUE!</v>
      </c>
      <c r="P94" s="651">
        <v>0</v>
      </c>
      <c r="Q94" s="397" t="str">
        <f t="shared" si="60"/>
        <v>1+17.59291884i</v>
      </c>
      <c r="R94" s="397" t="str">
        <f t="shared" si="61"/>
        <v>-14206.4111516417i</v>
      </c>
      <c r="S94" s="397" t="str">
        <f t="shared" si="62"/>
        <v>-2525.60807341635</v>
      </c>
      <c r="T94" s="397" t="str">
        <f t="shared" si="21"/>
        <v>-2524.60807341635-14188.8182328017i</v>
      </c>
      <c r="U94" s="652">
        <v>1</v>
      </c>
      <c r="V94">
        <f t="shared" si="76"/>
        <v>1</v>
      </c>
      <c r="W94">
        <f t="shared" si="23"/>
        <v>0</v>
      </c>
      <c r="X94">
        <f t="shared" si="77"/>
        <v>0</v>
      </c>
      <c r="Z94" t="str">
        <f t="shared" si="63"/>
        <v>-0.00121401992445827-0.000145531817287078i</v>
      </c>
      <c r="AA94">
        <f t="shared" si="69"/>
        <v>-58.253518683206799</v>
      </c>
      <c r="AB94">
        <f t="shared" si="64"/>
        <v>-173.1642323462458</v>
      </c>
      <c r="AD94" s="30" t="str">
        <f t="shared" si="65"/>
        <v>1005.309648i</v>
      </c>
      <c r="AE94" s="30" t="str">
        <f t="shared" si="70"/>
        <v>1+1005.309648i</v>
      </c>
      <c r="AF94" s="30" t="e">
        <f t="shared" si="66"/>
        <v>#VALUE!</v>
      </c>
      <c r="AG94" t="e">
        <f t="shared" si="67"/>
        <v>#VALUE!</v>
      </c>
      <c r="AH94" t="str">
        <f t="shared" si="71"/>
        <v>1+1005.309648i</v>
      </c>
      <c r="AI94" s="299" t="e">
        <f t="shared" si="72"/>
        <v>#VALUE!</v>
      </c>
      <c r="AK94" t="e">
        <f t="shared" si="73"/>
        <v>#VALUE!</v>
      </c>
      <c r="AM94" t="e">
        <f t="shared" si="74"/>
        <v>#VALUE!</v>
      </c>
      <c r="AN94" t="e">
        <f t="shared" si="68"/>
        <v>#VALUE!</v>
      </c>
    </row>
    <row r="95" spans="1:40" x14ac:dyDescent="0.2">
      <c r="A95" s="653">
        <v>9000000</v>
      </c>
      <c r="B95" s="352">
        <f t="shared" si="17"/>
        <v>9000</v>
      </c>
      <c r="C95" t="str">
        <f t="shared" si="54"/>
        <v>56548667.7i</v>
      </c>
      <c r="D95" s="30" t="str">
        <f t="shared" si="55"/>
        <v>-3197751818645020</v>
      </c>
      <c r="E95" s="30" t="str">
        <f t="shared" si="56"/>
        <v>-1.80828604979628E+23i</v>
      </c>
      <c r="G95" s="30" t="e">
        <f t="shared" si="75"/>
        <v>#VALUE!</v>
      </c>
      <c r="I95" s="30" t="e">
        <f t="shared" si="57"/>
        <v>#REF!</v>
      </c>
      <c r="J95" t="e">
        <f t="shared" si="18"/>
        <v>#REF!</v>
      </c>
      <c r="L95" s="30" t="e">
        <f t="shared" si="58"/>
        <v>#VALUE!</v>
      </c>
      <c r="M95" t="e">
        <f t="shared" si="59"/>
        <v>#VALUE!</v>
      </c>
      <c r="N95" t="e">
        <f t="shared" si="19"/>
        <v>#REF!</v>
      </c>
      <c r="O95" s="299" t="e">
        <f t="shared" si="20"/>
        <v>#VALUE!</v>
      </c>
      <c r="P95" s="651">
        <v>0</v>
      </c>
      <c r="Q95" s="397" t="str">
        <f t="shared" si="60"/>
        <v>1+19.792033695i</v>
      </c>
      <c r="R95" s="397" t="str">
        <f t="shared" si="61"/>
        <v>-20227.4877530212i</v>
      </c>
      <c r="S95" s="397" t="str">
        <f t="shared" si="62"/>
        <v>-3196.47271791756</v>
      </c>
      <c r="T95" s="397" t="str">
        <f t="shared" si="21"/>
        <v>-3195.47271791756-20207.6957193262i</v>
      </c>
      <c r="U95" s="652">
        <v>1</v>
      </c>
      <c r="V95">
        <f t="shared" si="76"/>
        <v>1</v>
      </c>
      <c r="W95">
        <f t="shared" si="23"/>
        <v>0</v>
      </c>
      <c r="X95">
        <f t="shared" si="77"/>
        <v>0</v>
      </c>
      <c r="Z95" t="str">
        <f t="shared" si="63"/>
        <v>-0.000963171180292813-0.000102821581350465i</v>
      </c>
      <c r="AA95">
        <f t="shared" si="69"/>
        <v>-60.27671706539698</v>
      </c>
      <c r="AB95">
        <f t="shared" si="64"/>
        <v>-173.90657129969617</v>
      </c>
      <c r="AD95" s="30" t="str">
        <f t="shared" si="65"/>
        <v>1130.973354i</v>
      </c>
      <c r="AE95" s="30" t="str">
        <f t="shared" si="70"/>
        <v>1+1130.973354i</v>
      </c>
      <c r="AF95" s="30" t="e">
        <f t="shared" si="66"/>
        <v>#VALUE!</v>
      </c>
      <c r="AG95" t="e">
        <f t="shared" si="67"/>
        <v>#VALUE!</v>
      </c>
      <c r="AH95" t="str">
        <f t="shared" si="71"/>
        <v>1+1130.973354i</v>
      </c>
      <c r="AI95" s="299" t="e">
        <f t="shared" si="72"/>
        <v>#VALUE!</v>
      </c>
      <c r="AK95" t="e">
        <f t="shared" si="73"/>
        <v>#VALUE!</v>
      </c>
      <c r="AM95" t="e">
        <f t="shared" si="74"/>
        <v>#VALUE!</v>
      </c>
      <c r="AN95" t="e">
        <f t="shared" si="68"/>
        <v>#VALUE!</v>
      </c>
    </row>
    <row r="96" spans="1:40" x14ac:dyDescent="0.2">
      <c r="A96" s="653">
        <v>10000000</v>
      </c>
      <c r="B96" s="352">
        <f t="shared" si="17"/>
        <v>10000</v>
      </c>
      <c r="C96" t="str">
        <f t="shared" si="54"/>
        <v>62831853i</v>
      </c>
      <c r="D96" s="30" t="str">
        <f t="shared" si="55"/>
        <v>-3947841751413610</v>
      </c>
      <c r="E96" s="30" t="str">
        <f t="shared" si="56"/>
        <v>-2.48050212592082E+23i</v>
      </c>
      <c r="G96" s="30" t="e">
        <f t="shared" si="75"/>
        <v>#VALUE!</v>
      </c>
      <c r="I96" s="30" t="e">
        <f t="shared" si="57"/>
        <v>#REF!</v>
      </c>
      <c r="J96" t="e">
        <f t="shared" si="18"/>
        <v>#REF!</v>
      </c>
      <c r="L96" s="30" t="e">
        <f t="shared" si="58"/>
        <v>#VALUE!</v>
      </c>
      <c r="M96" t="e">
        <f t="shared" si="59"/>
        <v>#VALUE!</v>
      </c>
      <c r="N96" t="e">
        <f t="shared" si="19"/>
        <v>#REF!</v>
      </c>
      <c r="O96" s="299" t="e">
        <f t="shared" si="20"/>
        <v>#VALUE!</v>
      </c>
      <c r="P96" s="651">
        <v>0</v>
      </c>
      <c r="Q96" s="397" t="str">
        <f t="shared" si="60"/>
        <v>1+21.99114855i</v>
      </c>
      <c r="R96" s="397" t="str">
        <f t="shared" si="61"/>
        <v>-27746.8967805503i</v>
      </c>
      <c r="S96" s="397" t="str">
        <f t="shared" si="62"/>
        <v>-3946.26261471304</v>
      </c>
      <c r="T96" s="397" t="str">
        <f t="shared" si="21"/>
        <v>-3945.26261471304-27724.9056320003i</v>
      </c>
      <c r="U96" s="652">
        <v>1</v>
      </c>
      <c r="V96">
        <f t="shared" si="76"/>
        <v>1</v>
      </c>
      <c r="W96">
        <f t="shared" si="23"/>
        <v>0</v>
      </c>
      <c r="X96">
        <f t="shared" si="77"/>
        <v>0</v>
      </c>
      <c r="Z96" t="str">
        <f t="shared" si="63"/>
        <v>-0.000782478973720499-0.0000752783461022707i</v>
      </c>
      <c r="AA96">
        <f t="shared" si="69"/>
        <v>-62.09053569388221</v>
      </c>
      <c r="AB96">
        <f t="shared" si="64"/>
        <v>-174.50477476720093</v>
      </c>
      <c r="AD96" s="30" t="str">
        <f t="shared" si="65"/>
        <v>1256.63706i</v>
      </c>
      <c r="AE96" s="30" t="str">
        <f t="shared" si="70"/>
        <v>1+1256.63706i</v>
      </c>
      <c r="AF96" s="30" t="e">
        <f t="shared" si="66"/>
        <v>#VALUE!</v>
      </c>
      <c r="AG96" t="e">
        <f t="shared" si="67"/>
        <v>#VALUE!</v>
      </c>
      <c r="AH96" t="str">
        <f t="shared" si="71"/>
        <v>1+1256.63706i</v>
      </c>
      <c r="AI96" s="299" t="e">
        <f t="shared" si="72"/>
        <v>#VALUE!</v>
      </c>
      <c r="AK96" t="e">
        <f t="shared" si="73"/>
        <v>#VALUE!</v>
      </c>
      <c r="AM96" t="e">
        <f t="shared" si="74"/>
        <v>#VALUE!</v>
      </c>
      <c r="AN96" t="e">
        <f t="shared" si="68"/>
        <v>#VALUE!</v>
      </c>
    </row>
    <row r="97" spans="1:40" x14ac:dyDescent="0.2">
      <c r="A97" s="307">
        <f>Fsw</f>
        <v>2100000</v>
      </c>
      <c r="B97" s="352">
        <f>A97/1000</f>
        <v>2100</v>
      </c>
      <c r="C97" t="str">
        <f t="shared" si="54"/>
        <v>13194689.13i</v>
      </c>
      <c r="D97" s="30" t="str">
        <f t="shared" si="55"/>
        <v>-174099821237340</v>
      </c>
      <c r="E97" s="30" t="str">
        <f t="shared" si="56"/>
        <v>-2.29719301881528E+21i</v>
      </c>
      <c r="G97" s="30" t="e">
        <f t="shared" si="75"/>
        <v>#VALUE!</v>
      </c>
      <c r="I97" s="30" t="e">
        <f t="shared" si="57"/>
        <v>#REF!</v>
      </c>
      <c r="J97" t="e">
        <f>IMSUM(1,I97)</f>
        <v>#REF!</v>
      </c>
      <c r="L97" s="30" t="e">
        <f t="shared" si="58"/>
        <v>#VALUE!</v>
      </c>
      <c r="M97" t="e">
        <f t="shared" si="59"/>
        <v>#VALUE!</v>
      </c>
      <c r="N97" t="e">
        <f>J97</f>
        <v>#REF!</v>
      </c>
      <c r="O97" s="299" t="e">
        <f>IMSUM(L97:N97)</f>
        <v>#VALUE!</v>
      </c>
      <c r="P97" s="651">
        <v>2</v>
      </c>
      <c r="Q97" s="397" t="str">
        <f t="shared" si="60"/>
        <v>1+4.6181411955i</v>
      </c>
      <c r="R97" s="397" t="str">
        <f t="shared" si="61"/>
        <v>-256.964011084677i</v>
      </c>
      <c r="S97" s="397" t="str">
        <f t="shared" si="62"/>
        <v>-174.030181308845</v>
      </c>
      <c r="T97" s="397" t="str">
        <f>IMSUM(S97,R97,Q97)</f>
        <v>-173.030181308845-252.345869889177i</v>
      </c>
      <c r="U97" s="652">
        <v>1</v>
      </c>
      <c r="V97">
        <f t="shared" si="76"/>
        <v>1</v>
      </c>
      <c r="W97">
        <f>20*LOG10(IMABS(V97))</f>
        <v>0</v>
      </c>
      <c r="X97">
        <f t="shared" si="77"/>
        <v>0</v>
      </c>
      <c r="Z97" t="str">
        <f t="shared" si="63"/>
        <v>-0.0142964037889097-0.00584003748627517i</v>
      </c>
      <c r="AA97">
        <f t="shared" si="69"/>
        <v>-36.225240007728672</v>
      </c>
      <c r="AB97">
        <f t="shared" si="64"/>
        <v>-157.78013461885351</v>
      </c>
      <c r="AD97" s="30" t="str">
        <f t="shared" si="65"/>
        <v>263.8937826i</v>
      </c>
      <c r="AE97" s="30" t="str">
        <f t="shared" si="70"/>
        <v>1+263.8937826i</v>
      </c>
      <c r="AF97" s="30" t="e">
        <f t="shared" si="66"/>
        <v>#VALUE!</v>
      </c>
      <c r="AG97" t="e">
        <f t="shared" si="67"/>
        <v>#VALUE!</v>
      </c>
      <c r="AH97" t="str">
        <f t="shared" si="71"/>
        <v>1+263.8937826i</v>
      </c>
      <c r="AI97" s="299" t="e">
        <f t="shared" si="72"/>
        <v>#VALUE!</v>
      </c>
      <c r="AK97" t="e">
        <f t="shared" si="73"/>
        <v>#VALUE!</v>
      </c>
      <c r="AM97" t="e">
        <f t="shared" si="74"/>
        <v>#VALUE!</v>
      </c>
      <c r="AN97" t="e">
        <f t="shared" si="68"/>
        <v>#VALUE!</v>
      </c>
    </row>
    <row r="98" spans="1:40" x14ac:dyDescent="0.2">
      <c r="A98" s="416"/>
      <c r="B98" s="342"/>
    </row>
    <row r="99" spans="1:40" x14ac:dyDescent="0.2">
      <c r="A99" s="416"/>
      <c r="B99" s="342"/>
    </row>
    <row r="100" spans="1:40" x14ac:dyDescent="0.2">
      <c r="A100" s="393"/>
    </row>
    <row r="101" spans="1:40" x14ac:dyDescent="0.2">
      <c r="A101" s="393"/>
    </row>
    <row r="102" spans="1:40" x14ac:dyDescent="0.2">
      <c r="A102" s="393"/>
    </row>
    <row r="112" spans="1:40" x14ac:dyDescent="0.2">
      <c r="A112" s="347"/>
    </row>
    <row r="113" spans="1:1" x14ac:dyDescent="0.2">
      <c r="A113" s="347"/>
    </row>
  </sheetData>
  <mergeCells count="8">
    <mergeCell ref="AD11:AE11"/>
    <mergeCell ref="AF11:AI11"/>
    <mergeCell ref="A10:A12"/>
    <mergeCell ref="B10:B11"/>
    <mergeCell ref="I11:J11"/>
    <mergeCell ref="L11:O11"/>
    <mergeCell ref="Q11:T11"/>
    <mergeCell ref="R12:T12"/>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dimension ref="A2:T159"/>
  <sheetViews>
    <sheetView topLeftCell="H1" zoomScale="115" zoomScaleNormal="115" workbookViewId="0">
      <selection activeCell="R12" sqref="R12"/>
    </sheetView>
  </sheetViews>
  <sheetFormatPr defaultRowHeight="12.75" x14ac:dyDescent="0.2"/>
  <cols>
    <col min="1" max="1" width="17.28515625" customWidth="1"/>
    <col min="2" max="2" width="12" bestFit="1" customWidth="1"/>
    <col min="3" max="4" width="12.42578125" bestFit="1" customWidth="1"/>
    <col min="7" max="9" width="12.42578125" bestFit="1" customWidth="1"/>
    <col min="10" max="10" width="11.42578125" bestFit="1" customWidth="1"/>
    <col min="11" max="12" width="11.42578125" customWidth="1"/>
    <col min="13" max="13" width="10.42578125" customWidth="1"/>
    <col min="14" max="15" width="10" customWidth="1"/>
    <col min="17" max="17" width="12.140625" customWidth="1"/>
    <col min="18" max="18" width="12.42578125" bestFit="1" customWidth="1"/>
    <col min="19" max="19" width="15.42578125" customWidth="1"/>
  </cols>
  <sheetData>
    <row r="2" spans="1:20" x14ac:dyDescent="0.2">
      <c r="A2" t="s">
        <v>157</v>
      </c>
      <c r="B2" t="s">
        <v>150</v>
      </c>
      <c r="C2" t="s">
        <v>31</v>
      </c>
      <c r="D2" t="s">
        <v>32</v>
      </c>
      <c r="E2" t="s">
        <v>25</v>
      </c>
      <c r="F2" t="s">
        <v>57</v>
      </c>
      <c r="G2" s="113" t="s">
        <v>630</v>
      </c>
      <c r="H2" s="113" t="s">
        <v>310</v>
      </c>
      <c r="I2" s="113" t="s">
        <v>661</v>
      </c>
      <c r="J2" s="113" t="s">
        <v>662</v>
      </c>
      <c r="K2" s="113" t="s">
        <v>798</v>
      </c>
      <c r="L2" s="113" t="s">
        <v>800</v>
      </c>
      <c r="M2" s="113" t="s">
        <v>765</v>
      </c>
      <c r="N2" s="113" t="s">
        <v>769</v>
      </c>
      <c r="O2" s="113"/>
    </row>
    <row r="3" spans="1:20" x14ac:dyDescent="0.2">
      <c r="A3" t="s">
        <v>160</v>
      </c>
      <c r="B3">
        <f>Css</f>
        <v>0</v>
      </c>
      <c r="C3">
        <f>Cc1ea</f>
        <v>3.2559467793672513E-9</v>
      </c>
      <c r="D3">
        <f>Cc2ea</f>
        <v>-1.5464815101389138E-11</v>
      </c>
      <c r="E3">
        <f>Cout</f>
        <v>2.0000000000000001E-4</v>
      </c>
      <c r="F3">
        <f>Cin</f>
        <v>3.0000000000000001E-5</v>
      </c>
      <c r="G3">
        <f>Cres</f>
        <v>3.3333333333333335E-7</v>
      </c>
      <c r="H3">
        <f>Cdither_init</f>
        <v>2.0226537216828479E-9</v>
      </c>
      <c r="I3">
        <f>Cc3ea</f>
        <v>0</v>
      </c>
      <c r="J3">
        <f>Cc4ea</f>
        <v>0</v>
      </c>
      <c r="K3" s="30" t="e">
        <f>'Variable Management'!B292*0.000001</f>
        <v>#VALUE!</v>
      </c>
      <c r="L3" s="30" t="e">
        <f>K3*4</f>
        <v>#VALUE!</v>
      </c>
      <c r="M3" t="e">
        <f>Cinj_AEF*0.000001</f>
        <v>#VALUE!</v>
      </c>
      <c r="N3" t="e">
        <f>'Variable Management'!B295*0.000001</f>
        <v>#VALUE!</v>
      </c>
      <c r="Q3" t="s">
        <v>162</v>
      </c>
      <c r="R3" t="s">
        <v>163</v>
      </c>
      <c r="S3" s="2" t="s">
        <v>159</v>
      </c>
    </row>
    <row r="4" spans="1:20" x14ac:dyDescent="0.2">
      <c r="A4" s="7" t="s">
        <v>159</v>
      </c>
      <c r="B4" s="7">
        <f>SUM(B6:B158)/1000000000000</f>
        <v>0</v>
      </c>
      <c r="C4" s="7">
        <f>IF(C3="OPEN","OPEN",SUM(C6:C158)/1000000000000)</f>
        <v>3.3000000000000002E-9</v>
      </c>
      <c r="D4" s="7">
        <f>SUM(D6:D158)/1000000000000</f>
        <v>0</v>
      </c>
      <c r="E4" s="7">
        <f>SUM(E6:E158)/1000000000000</f>
        <v>2.2000000000000001E-4</v>
      </c>
      <c r="F4" s="7">
        <f>SUM(F6:F158)/1000000000000</f>
        <v>3.3000000000000003E-5</v>
      </c>
      <c r="G4" s="7">
        <f>SUM(G6:G158)/1000000000000</f>
        <v>3.3000000000000002E-7</v>
      </c>
      <c r="H4" s="7">
        <f t="shared" ref="H4:N4" si="0">IF(H3="OPEN","OPEN",SUM(H6:H158)/1000000000000)</f>
        <v>2.1999999999999998E-9</v>
      </c>
      <c r="I4" s="7">
        <f t="shared" si="0"/>
        <v>0</v>
      </c>
      <c r="J4" s="7">
        <f t="shared" si="0"/>
        <v>0</v>
      </c>
      <c r="K4" s="7" t="e">
        <f t="shared" si="0"/>
        <v>#VALUE!</v>
      </c>
      <c r="L4" s="7" t="e">
        <f t="shared" si="0"/>
        <v>#VALUE!</v>
      </c>
      <c r="M4" s="7" t="e">
        <f t="shared" si="0"/>
        <v>#VALUE!</v>
      </c>
      <c r="N4" s="7" t="e">
        <f t="shared" si="0"/>
        <v>#VALUE!</v>
      </c>
      <c r="O4" s="7"/>
      <c r="Q4" s="113" t="s">
        <v>272</v>
      </c>
      <c r="R4">
        <f>Rfadj</f>
        <v>9.5299999999999994</v>
      </c>
      <c r="S4" s="2">
        <f>IF(R4&gt;(INT(0.5+100*POWER(10,IF(96*(LOG(R4)-INT(LOG(R4)))-ROUND(96*(LOG(R4)-INT(LOG(R4))),0)&lt;0,ROUND(96*(LOG(R4)-INT(LOG(R4))),0)-1,ROUND(96*(LOG(R4)-INT(LOG(R4))),0))/96))*POWER(10,INT(LOG(R4))-2)+INT(0.5+100*POWER(10,(IF(96*(LOG(R4)-INT(LOG(R4)))-ROUND(96*(LOG(R4)-INT(LOG(R4))),0)&lt;0,ROUND(96*(LOG(R4)-INT(LOG(R4))),0)-1,ROUND(96*(LOG(R4)-INT(LOG(R4))),0))+1)/96))*POWER(10,INT(LOG(R4))-2))/2,INT(0.5+100*POWER(10,(IF(96*(LOG(R4)-INT(LOG(R4)))-ROUND(96*(LOG(R4)-INT(LOG(R4))),0)&lt;0,ROUND(96*(LOG(R4)-INT(LOG(R4))),0)-1,ROUND(96*(LOG(R4)-INT(LOG(R4))),0))+1)/96))*POWER(10,INT(LOG(R4))-2),INT(0.5+100*POWER(10,IF(96*(LOG(R4)-INT(LOG(R4)))-ROUND(96*(LOG(R4)-INT(LOG(R4))),0)&lt;0,ROUND(96*(LOG(R4)-INT(LOG(R4))),0)-1,ROUND(96*(LOG(R4)-INT(LOG(R4))),0))/96))*POWER(10,INT(LOG(R4))-2))</f>
        <v>9.5299999999999994</v>
      </c>
      <c r="T4" s="45" t="s">
        <v>260</v>
      </c>
    </row>
    <row r="5" spans="1:20" x14ac:dyDescent="0.2">
      <c r="A5" t="s">
        <v>158</v>
      </c>
      <c r="S5" s="2"/>
      <c r="T5" s="45"/>
    </row>
    <row r="6" spans="1:20" x14ac:dyDescent="0.2">
      <c r="A6">
        <v>0.47</v>
      </c>
      <c r="B6">
        <f t="shared" ref="B6:N6" si="1">IF(IF((B$3*10^12-$A7)*(B$3*10^12-$A6)*-1&lt;0,0,1)*IF(ABS(B$3*10^12-$A7)&gt;(B$3*10^12-$A6),$A6,$A7)=B7,0,IF((B$3*10^12-$A7)*(B$3*10^12-$A6)*-1&lt;0,0,1)*IF(ABS(B$3*10^12-$A7)&gt;(B$3*10^12-$A6),$A6,$A7))</f>
        <v>0</v>
      </c>
      <c r="C6">
        <f t="shared" si="1"/>
        <v>0</v>
      </c>
      <c r="D6">
        <f t="shared" si="1"/>
        <v>0</v>
      </c>
      <c r="E6">
        <f t="shared" si="1"/>
        <v>0</v>
      </c>
      <c r="F6">
        <f t="shared" si="1"/>
        <v>0</v>
      </c>
      <c r="G6">
        <f t="shared" si="1"/>
        <v>0</v>
      </c>
      <c r="H6">
        <f t="shared" si="1"/>
        <v>0</v>
      </c>
      <c r="I6">
        <f t="shared" si="1"/>
        <v>0</v>
      </c>
      <c r="J6">
        <f t="shared" si="1"/>
        <v>0</v>
      </c>
      <c r="K6" t="e">
        <f t="shared" si="1"/>
        <v>#VALUE!</v>
      </c>
      <c r="L6" t="e">
        <f t="shared" si="1"/>
        <v>#VALUE!</v>
      </c>
      <c r="M6" t="e">
        <f t="shared" si="1"/>
        <v>#VALUE!</v>
      </c>
      <c r="N6" t="e">
        <f t="shared" si="1"/>
        <v>#VALUE!</v>
      </c>
      <c r="Q6" s="113"/>
      <c r="R6" s="53"/>
      <c r="S6" s="2"/>
      <c r="T6" s="45"/>
    </row>
    <row r="7" spans="1:20" x14ac:dyDescent="0.2">
      <c r="A7">
        <v>0.56000000000000005</v>
      </c>
      <c r="B7">
        <f t="shared" ref="B7:B70" si="2">IF(IF((B$3*10^12-$A8)*(B$3*10^12-$A7)*-1&lt;0,0,1)*IF(ABS(B$3*10^12-$A8)&gt;(B$3*10^12-$A7),$A7,$A8)=B8,0,IF((B$3*10^12-$A8)*(B$3*10^12-$A7)*-1&lt;0,0,1)*IF(ABS(B$3*10^12-$A8)&gt;(B$3*10^12-$A7),$A7,$A8))</f>
        <v>0</v>
      </c>
      <c r="C7">
        <f t="shared" ref="C7:C38" si="3">IF(IF((C$3*10^12-$A8)*(C$3*10^12-$A7)*-1&lt;0,0,1)*IF(ABS(C$3*10^12-$A8)&gt;(C$3*10^12-$A7),$A7,$A8)=C8,0,IF((C$3*10^12-$A8)*(C$3*10^12-$A7)*-1&lt;0,0,1)*IF(ABS(C$3*10^12-$A8)&gt;(C$3*10^12-$A7),$A7,$A8))</f>
        <v>0</v>
      </c>
      <c r="D7">
        <f t="shared" ref="D7:D69" si="4">IF(IF((D$3*10^12-$A8)*(D$3*10^12-$A7)*-1&lt;0,0,1)*IF(ABS(D$3*10^12-$A8)&gt;(D$3*10^12-$A7),$A7,$A8)=D8,0,IF((D$3*10^12-$A8)*(D$3*10^12-$A7)*-1&lt;0,0,1)*IF(ABS(D$3*10^12-$A8)&gt;(D$3*10^12-$A7),$A7,$A8))</f>
        <v>0</v>
      </c>
      <c r="E7">
        <f t="shared" ref="E7:E69" si="5">IF(IF((E$3*10^12-$A8)*(E$3*10^12-$A7)*-1&lt;0,0,1)*IF(ABS(E$3*10^12-$A8)&gt;(E$3*10^12-$A7),$A7,$A8)=E8,0,IF((E$3*10^12-$A8)*(E$3*10^12-$A7)*-1&lt;0,0,1)*IF(ABS(E$3*10^12-$A8)&gt;(E$3*10^12-$A7),$A7,$A8))</f>
        <v>0</v>
      </c>
      <c r="F7">
        <f t="shared" ref="F7:F69" si="6">IF(IF((F$3*10^12-$A8)*(F$3*10^12-$A7)*-1&lt;0,0,1)*IF(ABS(F$3*10^12-$A8)&gt;(F$3*10^12-$A7),$A7,$A8)=F8,0,IF((F$3*10^12-$A8)*(F$3*10^12-$A7)*-1&lt;0,0,1)*IF(ABS(F$3*10^12-$A8)&gt;(F$3*10^12-$A7),$A7,$A8))</f>
        <v>0</v>
      </c>
      <c r="G7">
        <f t="shared" ref="G7:N69" si="7">IF(IF((G$3*10^12-$A8)*(G$3*10^12-$A7)*-1&lt;0,0,1)*IF(ABS(G$3*10^12-$A8)&gt;(G$3*10^12-$A7),$A7,$A8)=G8,0,IF((G$3*10^12-$A8)*(G$3*10^12-$A7)*-1&lt;0,0,1)*IF(ABS(G$3*10^12-$A8)&gt;(G$3*10^12-$A7),$A7,$A8))</f>
        <v>0</v>
      </c>
      <c r="H7">
        <f t="shared" si="7"/>
        <v>0</v>
      </c>
      <c r="I7">
        <f t="shared" si="7"/>
        <v>0</v>
      </c>
      <c r="J7">
        <f t="shared" si="7"/>
        <v>0</v>
      </c>
      <c r="K7" t="e">
        <f t="shared" ref="K7:L13" si="8">IF(IF((K$3*10^12-$A8)*(K$3*10^12-$A7)*-1&lt;0,0,1)*IF(ABS(K$3*10^12-$A8)&gt;(K$3*10^12-$A7),$A7,$A8)=K8,0,IF((K$3*10^12-$A8)*(K$3*10^12-$A7)*-1&lt;0,0,1)*IF(ABS(K$3*10^12-$A8)&gt;(K$3*10^12-$A7),$A7,$A8))</f>
        <v>#VALUE!</v>
      </c>
      <c r="L7" t="e">
        <f t="shared" si="8"/>
        <v>#VALUE!</v>
      </c>
      <c r="M7" t="e">
        <f t="shared" si="7"/>
        <v>#VALUE!</v>
      </c>
      <c r="N7" t="e">
        <f t="shared" si="7"/>
        <v>#VALUE!</v>
      </c>
      <c r="Q7" t="s">
        <v>176</v>
      </c>
      <c r="R7">
        <f>Rcea1</f>
        <v>12220.327454545029</v>
      </c>
      <c r="S7" s="2">
        <f>IF(R7&gt;(INT(0.5+100*POWER(10,IF(96*(LOG(R7)-INT(LOG(R7)))-ROUND(96*(LOG(R7)-INT(LOG(R7))),0)&lt;0,ROUND(96*(LOG(R7)-INT(LOG(R7))),0)-1,ROUND(96*(LOG(R7)-INT(LOG(R7))),0))/96))*POWER(10,INT(LOG(R7))-2)+INT(0.5+100*POWER(10,(IF(96*(LOG(R7)-INT(LOG(R7)))-ROUND(96*(LOG(R7)-INT(LOG(R7))),0)&lt;0,ROUND(96*(LOG(R7)-INT(LOG(R7))),0)-1,ROUND(96*(LOG(R7)-INT(LOG(R7))),0))+1)/96))*POWER(10,INT(LOG(R7))-2))/2,INT(0.5+100*POWER(10,(IF(96*(LOG(R7)-INT(LOG(R7)))-ROUND(96*(LOG(R7)-INT(LOG(R7))),0)&lt;0,ROUND(96*(LOG(R7)-INT(LOG(R7))),0)-1,ROUND(96*(LOG(R7)-INT(LOG(R7))),0))+1)/96))*POWER(10,INT(LOG(R7))-2),INT(0.5+100*POWER(10,IF(96*(LOG(R7)-INT(LOG(R7)))-ROUND(96*(LOG(R7)-INT(LOG(R7))),0)&lt;0,ROUND(96*(LOG(R7)-INT(LOG(R7))),0)-1,ROUND(96*(LOG(R7)-INT(LOG(R7))),0))/96))*POWER(10,INT(LOG(R7))-2))</f>
        <v>12100</v>
      </c>
      <c r="T7" s="45" t="s">
        <v>260</v>
      </c>
    </row>
    <row r="8" spans="1:20" x14ac:dyDescent="0.2">
      <c r="A8">
        <v>0.68</v>
      </c>
      <c r="B8">
        <f t="shared" si="2"/>
        <v>0</v>
      </c>
      <c r="C8">
        <f t="shared" si="3"/>
        <v>0</v>
      </c>
      <c r="D8">
        <f t="shared" si="4"/>
        <v>0</v>
      </c>
      <c r="E8">
        <f t="shared" si="5"/>
        <v>0</v>
      </c>
      <c r="F8">
        <f t="shared" si="6"/>
        <v>0</v>
      </c>
      <c r="G8">
        <f t="shared" si="7"/>
        <v>0</v>
      </c>
      <c r="H8">
        <f t="shared" si="7"/>
        <v>0</v>
      </c>
      <c r="I8">
        <f t="shared" si="7"/>
        <v>0</v>
      </c>
      <c r="J8">
        <f t="shared" si="7"/>
        <v>0</v>
      </c>
      <c r="K8" t="e">
        <f t="shared" si="8"/>
        <v>#VALUE!</v>
      </c>
      <c r="L8" t="e">
        <f t="shared" si="8"/>
        <v>#VALUE!</v>
      </c>
      <c r="M8" t="e">
        <f t="shared" si="7"/>
        <v>#VALUE!</v>
      </c>
      <c r="N8" t="e">
        <f t="shared" si="7"/>
        <v>#VALUE!</v>
      </c>
      <c r="Q8" t="s">
        <v>176</v>
      </c>
      <c r="R8">
        <f>Rcea2</f>
        <v>0</v>
      </c>
      <c r="S8" s="2" t="e">
        <f>IF(R8&gt;(INT(0.5+100*POWER(10,IF(96*(LOG(R8)-INT(LOG(R8)))-ROUND(96*(LOG(R8)-INT(LOG(R8))),0)&lt;0,ROUND(96*(LOG(R8)-INT(LOG(R8))),0)-1,ROUND(96*(LOG(R8)-INT(LOG(R8))),0))/96))*POWER(10,INT(LOG(R8))-2)+INT(0.5+100*POWER(10,(IF(96*(LOG(R8)-INT(LOG(R8)))-ROUND(96*(LOG(R8)-INT(LOG(R8))),0)&lt;0,ROUND(96*(LOG(R8)-INT(LOG(R8))),0)-1,ROUND(96*(LOG(R8)-INT(LOG(R8))),0))+1)/96))*POWER(10,INT(LOG(R8))-2))/2,INT(0.5+100*POWER(10,(IF(96*(LOG(R8)-INT(LOG(R8)))-ROUND(96*(LOG(R8)-INT(LOG(R8))),0)&lt;0,ROUND(96*(LOG(R8)-INT(LOG(R8))),0)-1,ROUND(96*(LOG(R8)-INT(LOG(R8))),0))+1)/96))*POWER(10,INT(LOG(R8))-2),INT(0.5+100*POWER(10,IF(96*(LOG(R8)-INT(LOG(R8)))-ROUND(96*(LOG(R8)-INT(LOG(R8))),0)&lt;0,ROUND(96*(LOG(R8)-INT(LOG(R8))),0)-1,ROUND(96*(LOG(R8)-INT(LOG(R8))),0))/96))*POWER(10,INT(LOG(R8))-2))</f>
        <v>#NUM!</v>
      </c>
      <c r="T8" s="45" t="s">
        <v>260</v>
      </c>
    </row>
    <row r="9" spans="1:20" x14ac:dyDescent="0.2">
      <c r="A9">
        <v>0.82</v>
      </c>
      <c r="B9">
        <f t="shared" si="2"/>
        <v>0</v>
      </c>
      <c r="C9">
        <f t="shared" si="3"/>
        <v>0</v>
      </c>
      <c r="D9">
        <f t="shared" si="4"/>
        <v>0</v>
      </c>
      <c r="E9">
        <f t="shared" si="5"/>
        <v>0</v>
      </c>
      <c r="F9">
        <f t="shared" si="6"/>
        <v>0</v>
      </c>
      <c r="G9">
        <f t="shared" si="7"/>
        <v>0</v>
      </c>
      <c r="H9">
        <f t="shared" si="7"/>
        <v>0</v>
      </c>
      <c r="I9">
        <f t="shared" si="7"/>
        <v>0</v>
      </c>
      <c r="J9">
        <f t="shared" si="7"/>
        <v>0</v>
      </c>
      <c r="K9" t="e">
        <f t="shared" si="8"/>
        <v>#VALUE!</v>
      </c>
      <c r="L9" t="e">
        <f t="shared" si="8"/>
        <v>#VALUE!</v>
      </c>
      <c r="M9" t="e">
        <f t="shared" si="7"/>
        <v>#VALUE!</v>
      </c>
      <c r="N9" t="e">
        <f t="shared" si="7"/>
        <v>#VALUE!</v>
      </c>
    </row>
    <row r="10" spans="1:20" x14ac:dyDescent="0.2">
      <c r="A10">
        <v>1</v>
      </c>
      <c r="B10">
        <f t="shared" si="2"/>
        <v>0</v>
      </c>
      <c r="C10">
        <f t="shared" si="3"/>
        <v>0</v>
      </c>
      <c r="D10">
        <f t="shared" si="4"/>
        <v>0</v>
      </c>
      <c r="E10">
        <f t="shared" si="5"/>
        <v>0</v>
      </c>
      <c r="F10">
        <f t="shared" si="6"/>
        <v>0</v>
      </c>
      <c r="G10">
        <f t="shared" si="7"/>
        <v>0</v>
      </c>
      <c r="H10">
        <f t="shared" si="7"/>
        <v>0</v>
      </c>
      <c r="I10">
        <f t="shared" si="7"/>
        <v>0</v>
      </c>
      <c r="J10">
        <f t="shared" si="7"/>
        <v>0</v>
      </c>
      <c r="K10" t="e">
        <f t="shared" si="8"/>
        <v>#VALUE!</v>
      </c>
      <c r="L10" t="e">
        <f t="shared" si="8"/>
        <v>#VALUE!</v>
      </c>
      <c r="M10" t="e">
        <f t="shared" si="7"/>
        <v>#VALUE!</v>
      </c>
      <c r="N10" t="e">
        <f t="shared" si="7"/>
        <v>#VALUE!</v>
      </c>
      <c r="Q10" t="s">
        <v>29</v>
      </c>
      <c r="R10">
        <f>Rfb1_</f>
        <v>2500000</v>
      </c>
      <c r="S10" s="2">
        <f>IF(R10&gt;(INT(0.5+100*POWER(10,IF(96*(LOG(R10)-INT(LOG(R10)))-ROUND(96*(LOG(R10)-INT(LOG(R10))),0)&lt;0,ROUND(96*(LOG(R10)-INT(LOG(R10))),0)-1,ROUND(96*(LOG(R10)-INT(LOG(R10))),0))/96))*POWER(10,INT(LOG(R10))-2)+INT(0.5+100*POWER(10,(IF(96*(LOG(R10)-INT(LOG(R10)))-ROUND(96*(LOG(R10)-INT(LOG(R10))),0)&lt;0,ROUND(96*(LOG(R10)-INT(LOG(R10))),0)-1,ROUND(96*(LOG(R10)-INT(LOG(R10))),0))+1)/96))*POWER(10,INT(LOG(R10))-2))/2,INT(0.5+100*POWER(10,(IF(96*(LOG(R10)-INT(LOG(R10)))-ROUND(96*(LOG(R10)-INT(LOG(R10))),0)&lt;0,ROUND(96*(LOG(R10)-INT(LOG(R10))),0)-1,ROUND(96*(LOG(R10)-INT(LOG(R10))),0))+1)/96))*POWER(10,INT(LOG(R10))-2),INT(0.5+100*POWER(10,IF(96*(LOG(R10)-INT(LOG(R10)))-ROUND(96*(LOG(R10)-INT(LOG(R10))),0)&lt;0,ROUND(96*(LOG(R10)-INT(LOG(R10))),0)-1,ROUND(96*(LOG(R10)-INT(LOG(R10))),0))/96))*POWER(10,INT(LOG(R10))-2))</f>
        <v>2490000</v>
      </c>
      <c r="T10" s="45" t="s">
        <v>260</v>
      </c>
    </row>
    <row r="11" spans="1:20" x14ac:dyDescent="0.2">
      <c r="A11">
        <v>1.2</v>
      </c>
      <c r="B11">
        <f t="shared" si="2"/>
        <v>0</v>
      </c>
      <c r="C11">
        <f t="shared" si="3"/>
        <v>0</v>
      </c>
      <c r="D11">
        <f t="shared" si="4"/>
        <v>0</v>
      </c>
      <c r="E11">
        <f t="shared" si="5"/>
        <v>0</v>
      </c>
      <c r="F11">
        <f t="shared" si="6"/>
        <v>0</v>
      </c>
      <c r="G11">
        <f t="shared" si="7"/>
        <v>0</v>
      </c>
      <c r="H11">
        <f t="shared" si="7"/>
        <v>0</v>
      </c>
      <c r="I11">
        <f t="shared" si="7"/>
        <v>0</v>
      </c>
      <c r="J11">
        <f t="shared" si="7"/>
        <v>0</v>
      </c>
      <c r="K11" t="e">
        <f t="shared" si="8"/>
        <v>#VALUE!</v>
      </c>
      <c r="L11" t="e">
        <f t="shared" si="8"/>
        <v>#VALUE!</v>
      </c>
      <c r="M11" t="e">
        <f t="shared" ref="M11:N26" si="9">IF(IF((M$3*10^12-$A12)*(M$3*10^12-$A11)*-1&lt;0,0,1)*IF(ABS(M$3*10^12-$A12)&gt;(M$3*10^12-$A11),$A11,$A12)=M12,0,IF((M$3*10^12-$A12)*(M$3*10^12-$A11)*-1&lt;0,0,1)*IF(ABS(M$3*10^12-$A12)&gt;(M$3*10^12-$A11),$A11,$A12))</f>
        <v>#VALUE!</v>
      </c>
      <c r="N11" t="e">
        <f t="shared" si="9"/>
        <v>#VALUE!</v>
      </c>
      <c r="Q11" t="s">
        <v>40</v>
      </c>
      <c r="R11" s="48">
        <f>Rfb2_</f>
        <v>476190.47619047615</v>
      </c>
      <c r="S11" s="2">
        <f>IF(R11="OPEN","OPEN",IF(R11&gt;(INT(0.5+100*POWER(10,IF(96*(LOG(R11)-INT(LOG(R11)))-ROUND(96*(LOG(R11)-INT(LOG(R11))),0)&lt;0,ROUND(96*(LOG(R11)-INT(LOG(R11))),0)-1,ROUND(96*(LOG(R11)-INT(LOG(R11))),0))/96))*POWER(10,INT(LOG(R11))-2)+INT(0.5+100*POWER(10,(IF(96*(LOG(R11)-INT(LOG(R11)))-ROUND(96*(LOG(R11)-INT(LOG(R11))),0)&lt;0,ROUND(96*(LOG(R11)-INT(LOG(R11))),0)-1,ROUND(96*(LOG(R11)-INT(LOG(R11))),0))+1)/96))*POWER(10,INT(LOG(R11))-2))/2,INT(0.5+100*POWER(10,(IF(96*(LOG(R11)-INT(LOG(R11)))-ROUND(96*(LOG(R11)-INT(LOG(R11))),0)&lt;0,ROUND(96*(LOG(R11)-INT(LOG(R11))),0)-1,ROUND(96*(LOG(R11)-INT(LOG(R11))),0))+1)/96))*POWER(10,INT(LOG(R11))-2),INT(0.5+100*POWER(10,IF(96*(LOG(R11)-INT(LOG(R11)))-ROUND(96*(LOG(R11)-INT(LOG(R11))),0)&lt;0,ROUND(96*(LOG(R11)-INT(LOG(R11))),0)-1,ROUND(96*(LOG(R11)-INT(LOG(R11))),0))/96))*POWER(10,INT(LOG(R11))-2)))</f>
        <v>475000</v>
      </c>
      <c r="T11" s="45" t="s">
        <v>260</v>
      </c>
    </row>
    <row r="12" spans="1:20" x14ac:dyDescent="0.2">
      <c r="A12">
        <v>1.5</v>
      </c>
      <c r="B12">
        <f t="shared" si="2"/>
        <v>0</v>
      </c>
      <c r="C12">
        <f t="shared" si="3"/>
        <v>0</v>
      </c>
      <c r="D12">
        <f t="shared" si="4"/>
        <v>0</v>
      </c>
      <c r="E12">
        <f t="shared" si="5"/>
        <v>0</v>
      </c>
      <c r="F12">
        <f t="shared" si="6"/>
        <v>0</v>
      </c>
      <c r="G12">
        <f t="shared" si="7"/>
        <v>0</v>
      </c>
      <c r="H12">
        <f t="shared" si="7"/>
        <v>0</v>
      </c>
      <c r="I12">
        <f t="shared" si="7"/>
        <v>0</v>
      </c>
      <c r="J12">
        <f t="shared" si="7"/>
        <v>0</v>
      </c>
      <c r="K12" t="e">
        <f t="shared" si="8"/>
        <v>#VALUE!</v>
      </c>
      <c r="L12" t="e">
        <f t="shared" si="8"/>
        <v>#VALUE!</v>
      </c>
      <c r="M12" t="e">
        <f t="shared" si="9"/>
        <v>#VALUE!</v>
      </c>
      <c r="N12" t="e">
        <f t="shared" si="9"/>
        <v>#VALUE!</v>
      </c>
      <c r="Q12" s="113" t="s">
        <v>750</v>
      </c>
      <c r="R12" s="299">
        <f>'Variable Management'!B27*1000</f>
        <v>9504.2328042328045</v>
      </c>
      <c r="S12" s="2">
        <f>IF(R12&gt;(INT(0.5+100*POWER(10,IF(96*(LOG(R12)-INT(LOG(R12)))-ROUND(96*(LOG(R12)-INT(LOG(R12))),0)&lt;0,ROUND(96*(LOG(R12)-INT(LOG(R12))),0)-1,ROUND(96*(LOG(R12)-INT(LOG(R12))),0))/96))*POWER(10,INT(LOG(R12))-2)+INT(0.5+100*POWER(10,(IF(96*(LOG(R12)-INT(LOG(R12)))-ROUND(96*(LOG(R12)-INT(LOG(R12))),0)&lt;0,ROUND(96*(LOG(R12)-INT(LOG(R12))),0)-1,ROUND(96*(LOG(R12)-INT(LOG(R12))),0))+1)/96))*POWER(10,INT(LOG(R12))-2))/2,INT(0.5+100*POWER(10,(IF(96*(LOG(R12)-INT(LOG(R12)))-ROUND(96*(LOG(R12)-INT(LOG(R12))),0)&lt;0,ROUND(96*(LOG(R12)-INT(LOG(R12))),0)-1,ROUND(96*(LOG(R12)-INT(LOG(R12))),0))+1)/96))*POWER(10,INT(LOG(R12))-2),INT(0.5+100*POWER(10,IF(96*(LOG(R12)-INT(LOG(R12)))-ROUND(96*(LOG(R12)-INT(LOG(R12))),0)&lt;0,ROUND(96*(LOG(R12)-INT(LOG(R12))),0)-1,ROUND(96*(LOG(R12)-INT(LOG(R12))),0))/96))*POWER(10,INT(LOG(R12))-2))</f>
        <v>9530</v>
      </c>
      <c r="T12" s="45" t="s">
        <v>260</v>
      </c>
    </row>
    <row r="13" spans="1:20" x14ac:dyDescent="0.2">
      <c r="A13">
        <v>1.8</v>
      </c>
      <c r="B13">
        <f t="shared" si="2"/>
        <v>0</v>
      </c>
      <c r="C13">
        <f t="shared" si="3"/>
        <v>0</v>
      </c>
      <c r="D13">
        <f t="shared" si="4"/>
        <v>0</v>
      </c>
      <c r="E13">
        <f t="shared" si="5"/>
        <v>0</v>
      </c>
      <c r="F13">
        <f t="shared" si="6"/>
        <v>0</v>
      </c>
      <c r="G13">
        <f t="shared" si="7"/>
        <v>0</v>
      </c>
      <c r="H13">
        <f t="shared" si="7"/>
        <v>0</v>
      </c>
      <c r="I13">
        <f t="shared" si="7"/>
        <v>0</v>
      </c>
      <c r="J13">
        <f t="shared" si="7"/>
        <v>0</v>
      </c>
      <c r="K13" t="e">
        <f t="shared" si="8"/>
        <v>#VALUE!</v>
      </c>
      <c r="L13" t="e">
        <f t="shared" si="8"/>
        <v>#VALUE!</v>
      </c>
      <c r="M13" t="e">
        <f t="shared" si="9"/>
        <v>#VALUE!</v>
      </c>
      <c r="N13" t="e">
        <f t="shared" si="9"/>
        <v>#VALUE!</v>
      </c>
      <c r="Q13" s="113" t="s">
        <v>832</v>
      </c>
      <c r="R13" s="48">
        <f>'Variable Management'!B28*1000</f>
        <v>0</v>
      </c>
      <c r="S13" s="2" t="e">
        <f>IF(R13="OPEN","OPEN",IF(R13&gt;(INT(0.5+100*POWER(10,IF(96*(LOG(R13)-INT(LOG(R13)))-ROUND(96*(LOG(R13)-INT(LOG(R13))),0)&lt;0,ROUND(96*(LOG(R13)-INT(LOG(R13))),0)-1,ROUND(96*(LOG(R13)-INT(LOG(R13))),0))/96))*POWER(10,INT(LOG(R13))-2)+INT(0.5+100*POWER(10,(IF(96*(LOG(R13)-INT(LOG(R13)))-ROUND(96*(LOG(R13)-INT(LOG(R13))),0)&lt;0,ROUND(96*(LOG(R13)-INT(LOG(R13))),0)-1,ROUND(96*(LOG(R13)-INT(LOG(R13))),0))+1)/96))*POWER(10,INT(LOG(R13))-2))/2,INT(0.5+100*POWER(10,(IF(96*(LOG(R13)-INT(LOG(R13)))-ROUND(96*(LOG(R13)-INT(LOG(R13))),0)&lt;0,ROUND(96*(LOG(R13)-INT(LOG(R13))),0)-1,ROUND(96*(LOG(R13)-INT(LOG(R13))),0))+1)/96))*POWER(10,INT(LOG(R13))-2),INT(0.5+100*POWER(10,IF(96*(LOG(R13)-INT(LOG(R13)))-ROUND(96*(LOG(R13)-INT(LOG(R13))),0)&lt;0,ROUND(96*(LOG(R13)-INT(LOG(R13))),0)-1,ROUND(96*(LOG(R13)-INT(LOG(R13))),0))/96))*POWER(10,INT(LOG(R13))-2)))</f>
        <v>#NUM!</v>
      </c>
      <c r="T13" s="45" t="s">
        <v>260</v>
      </c>
    </row>
    <row r="14" spans="1:20" x14ac:dyDescent="0.2">
      <c r="A14">
        <v>2.2000000000000002</v>
      </c>
      <c r="B14">
        <f t="shared" ref="B14:N14" si="10">IF(IF((B$3*10^12-$A15)*(B$3*10^12-$A14)*-1&lt;0,0,1)*IF(ABS(B$3*10^12-$A15)&gt;(B$3*10^12-$A14),$A14,$A15)=B15,0,IF((B$3*10^12-$A15)*(B$3*10^12-$A14)*-1&lt;0,0,1)*IF(ABS(B$3*10^12-$A15)&gt;(B$3*10^12-$A14),$A14,$A15))</f>
        <v>0</v>
      </c>
      <c r="C14">
        <f t="shared" si="10"/>
        <v>0</v>
      </c>
      <c r="D14">
        <f t="shared" si="10"/>
        <v>0</v>
      </c>
      <c r="E14">
        <f t="shared" si="10"/>
        <v>0</v>
      </c>
      <c r="F14">
        <f t="shared" si="10"/>
        <v>0</v>
      </c>
      <c r="G14">
        <f t="shared" si="10"/>
        <v>0</v>
      </c>
      <c r="H14">
        <f t="shared" si="10"/>
        <v>0</v>
      </c>
      <c r="I14">
        <f t="shared" si="10"/>
        <v>0</v>
      </c>
      <c r="J14">
        <f t="shared" si="10"/>
        <v>0</v>
      </c>
      <c r="K14" t="e">
        <f t="shared" si="10"/>
        <v>#VALUE!</v>
      </c>
      <c r="L14" t="e">
        <f t="shared" si="10"/>
        <v>#VALUE!</v>
      </c>
      <c r="M14" t="e">
        <f t="shared" si="10"/>
        <v>#VALUE!</v>
      </c>
      <c r="N14" t="e">
        <f t="shared" si="10"/>
        <v>#VALUE!</v>
      </c>
      <c r="Q14" s="113" t="s">
        <v>908</v>
      </c>
      <c r="R14">
        <f>'Variable Management'!B301</f>
        <v>0.15055453054181619</v>
      </c>
      <c r="S14" s="2">
        <f>IF(R14="OPEN","OPEN",IF(R14&gt;(INT(0.5+100*POWER(10,IF(96*(LOG(R14)-INT(LOG(R14)))-ROUND(96*(LOG(R14)-INT(LOG(R14))),0)&lt;0,ROUND(96*(LOG(R14)-INT(LOG(R14))),0)-1,ROUND(96*(LOG(R14)-INT(LOG(R14))),0))/96))*POWER(10,INT(LOG(R14))-2)+INT(0.5+100*POWER(10,(IF(96*(LOG(R14)-INT(LOG(R14)))-ROUND(96*(LOG(R14)-INT(LOG(R14))),0)&lt;0,ROUND(96*(LOG(R14)-INT(LOG(R14))),0)-1,ROUND(96*(LOG(R14)-INT(LOG(R14))),0))+1)/96))*POWER(10,INT(LOG(R14))-2))/2,INT(0.5+100*POWER(10,(IF(96*(LOG(R14)-INT(LOG(R14)))-ROUND(96*(LOG(R14)-INT(LOG(R14))),0)&lt;0,ROUND(96*(LOG(R14)-INT(LOG(R14))),0)-1,ROUND(96*(LOG(R14)-INT(LOG(R14))),0))+1)/96))*POWER(10,INT(LOG(R14))-2),INT(0.5+100*POWER(10,IF(96*(LOG(R14)-INT(LOG(R14)))-ROUND(96*(LOG(R14)-INT(LOG(R14))),0)&lt;0,ROUND(96*(LOG(R14)-INT(LOG(R14))),0)-1,ROUND(96*(LOG(R14)-INT(LOG(R14))),0))/96))*POWER(10,INT(LOG(R14))-2)))</f>
        <v>0.15</v>
      </c>
      <c r="T14" s="45" t="s">
        <v>138</v>
      </c>
    </row>
    <row r="15" spans="1:20" x14ac:dyDescent="0.2">
      <c r="A15">
        <v>2.7</v>
      </c>
      <c r="B15">
        <f t="shared" si="2"/>
        <v>0</v>
      </c>
      <c r="C15">
        <f t="shared" si="3"/>
        <v>0</v>
      </c>
      <c r="D15">
        <f t="shared" si="4"/>
        <v>0</v>
      </c>
      <c r="E15">
        <f t="shared" si="5"/>
        <v>0</v>
      </c>
      <c r="F15">
        <f t="shared" si="6"/>
        <v>0</v>
      </c>
      <c r="G15">
        <f t="shared" si="7"/>
        <v>0</v>
      </c>
      <c r="H15">
        <f t="shared" si="7"/>
        <v>0</v>
      </c>
      <c r="I15">
        <f t="shared" si="7"/>
        <v>0</v>
      </c>
      <c r="J15">
        <f t="shared" si="7"/>
        <v>0</v>
      </c>
      <c r="K15" t="e">
        <f t="shared" ref="K15:L21" si="11">IF(IF((K$3*10^12-$A16)*(K$3*10^12-$A15)*-1&lt;0,0,1)*IF(ABS(K$3*10^12-$A16)&gt;(K$3*10^12-$A15),$A15,$A16)=K16,0,IF((K$3*10^12-$A16)*(K$3*10^12-$A15)*-1&lt;0,0,1)*IF(ABS(K$3*10^12-$A16)&gt;(K$3*10^12-$A15),$A15,$A16))</f>
        <v>#VALUE!</v>
      </c>
      <c r="L15" t="e">
        <f t="shared" si="11"/>
        <v>#VALUE!</v>
      </c>
      <c r="M15" t="e">
        <f t="shared" si="9"/>
        <v>#VALUE!</v>
      </c>
      <c r="N15" t="e">
        <f t="shared" si="9"/>
        <v>#VALUE!</v>
      </c>
    </row>
    <row r="16" spans="1:20" x14ac:dyDescent="0.2">
      <c r="A16">
        <v>3.3</v>
      </c>
      <c r="B16">
        <f t="shared" si="2"/>
        <v>0</v>
      </c>
      <c r="C16">
        <f t="shared" si="3"/>
        <v>0</v>
      </c>
      <c r="D16">
        <f t="shared" si="4"/>
        <v>0</v>
      </c>
      <c r="E16">
        <f t="shared" si="5"/>
        <v>0</v>
      </c>
      <c r="F16">
        <f t="shared" si="6"/>
        <v>0</v>
      </c>
      <c r="G16">
        <f t="shared" si="7"/>
        <v>0</v>
      </c>
      <c r="H16">
        <f t="shared" si="7"/>
        <v>0</v>
      </c>
      <c r="I16">
        <f t="shared" si="7"/>
        <v>0</v>
      </c>
      <c r="J16">
        <f t="shared" si="7"/>
        <v>0</v>
      </c>
      <c r="K16" t="e">
        <f t="shared" si="11"/>
        <v>#VALUE!</v>
      </c>
      <c r="L16" t="e">
        <f t="shared" si="11"/>
        <v>#VALUE!</v>
      </c>
      <c r="M16" t="e">
        <f t="shared" si="9"/>
        <v>#VALUE!</v>
      </c>
      <c r="N16" t="e">
        <f t="shared" si="9"/>
        <v>#VALUE!</v>
      </c>
      <c r="Q16" s="113" t="s">
        <v>164</v>
      </c>
      <c r="R16" s="348">
        <f>Rs_ideal*1000</f>
        <v>8.1980989575665379</v>
      </c>
      <c r="S16" s="2">
        <f>IF(R16=0,0,IF(R16&gt;(INT(0.5+100*POWER(10,IF(96*(LOG(R16)-INT(LOG(R16)))-ROUND(96*(LOG(R16)-INT(LOG(R16))),0)&lt;0,ROUND(96*(LOG(R16)-INT(LOG(R16))),0)-1,ROUND(96*(LOG(R16)-INT(LOG(R16))),0))/96))*POWER(10,INT(LOG(R16))-2)+INT(0.5+100*POWER(10,(IF(96*(LOG(R16)-INT(LOG(R16)))-ROUND(96*(LOG(R16)-INT(LOG(R16))),0)&lt;0,ROUND(96*(LOG(R16)-INT(LOG(R16))),0)-1,ROUND(96*(LOG(R16)-INT(LOG(R16))),0))+1)/96))*POWER(10,INT(LOG(R16))-2))/2,INT(0.5+100*POWER(10,(IF(96*(LOG(R16)-INT(LOG(R16)))-ROUND(96*(LOG(R16)-INT(LOG(R16))),0)&lt;0,ROUND(96*(LOG(R16)-INT(LOG(R16))),0)-1,ROUND(96*(LOG(R16)-INT(LOG(R16))),0))+1)/96))*POWER(10,INT(LOG(R16))-2),INT(0.5+100*POWER(10,IF(96*(LOG(R16)-INT(LOG(R16)))-ROUND(96*(LOG(R16)-INT(LOG(R16))),0)&lt;0,ROUND(96*(LOG(R16)-INT(LOG(R16))),0)-1,ROUND(96*(LOG(R16)-INT(LOG(R16))),0))/96))*POWER(10,INT(LOG(R16))-2)))</f>
        <v>8.25</v>
      </c>
      <c r="T16" s="45" t="s">
        <v>305</v>
      </c>
    </row>
    <row r="17" spans="1:20" x14ac:dyDescent="0.2">
      <c r="A17">
        <v>3.9</v>
      </c>
      <c r="B17">
        <f t="shared" si="2"/>
        <v>0</v>
      </c>
      <c r="C17">
        <f t="shared" si="3"/>
        <v>0</v>
      </c>
      <c r="D17">
        <f t="shared" si="4"/>
        <v>0</v>
      </c>
      <c r="E17">
        <f t="shared" si="5"/>
        <v>0</v>
      </c>
      <c r="F17">
        <f t="shared" si="6"/>
        <v>0</v>
      </c>
      <c r="G17">
        <f t="shared" si="7"/>
        <v>0</v>
      </c>
      <c r="H17">
        <f t="shared" si="7"/>
        <v>0</v>
      </c>
      <c r="I17">
        <f t="shared" si="7"/>
        <v>0</v>
      </c>
      <c r="J17">
        <f t="shared" si="7"/>
        <v>0</v>
      </c>
      <c r="K17" t="e">
        <f t="shared" si="11"/>
        <v>#VALUE!</v>
      </c>
      <c r="L17" t="e">
        <f t="shared" si="11"/>
        <v>#VALUE!</v>
      </c>
      <c r="M17" t="e">
        <f t="shared" si="9"/>
        <v>#VALUE!</v>
      </c>
      <c r="N17" t="e">
        <f t="shared" si="9"/>
        <v>#VALUE!</v>
      </c>
      <c r="Q17" s="113" t="s">
        <v>630</v>
      </c>
      <c r="R17">
        <f>Cres</f>
        <v>3.3333333333333335E-7</v>
      </c>
      <c r="S17">
        <f>G4*1000000000000</f>
        <v>330000</v>
      </c>
      <c r="T17" s="113" t="s">
        <v>30</v>
      </c>
    </row>
    <row r="18" spans="1:20" x14ac:dyDescent="0.2">
      <c r="A18">
        <v>4.7</v>
      </c>
      <c r="B18">
        <f t="shared" si="2"/>
        <v>0</v>
      </c>
      <c r="C18">
        <f t="shared" si="3"/>
        <v>0</v>
      </c>
      <c r="D18">
        <f t="shared" si="4"/>
        <v>0</v>
      </c>
      <c r="E18">
        <f t="shared" si="5"/>
        <v>0</v>
      </c>
      <c r="F18">
        <f t="shared" si="6"/>
        <v>0</v>
      </c>
      <c r="G18">
        <f t="shared" si="7"/>
        <v>0</v>
      </c>
      <c r="H18">
        <f t="shared" si="7"/>
        <v>0</v>
      </c>
      <c r="I18">
        <f t="shared" si="7"/>
        <v>0</v>
      </c>
      <c r="J18">
        <f t="shared" si="7"/>
        <v>0</v>
      </c>
      <c r="K18" t="e">
        <f t="shared" si="11"/>
        <v>#VALUE!</v>
      </c>
      <c r="L18" t="e">
        <f t="shared" si="11"/>
        <v>#VALUE!</v>
      </c>
      <c r="M18" t="e">
        <f t="shared" si="9"/>
        <v>#VALUE!</v>
      </c>
      <c r="N18" t="e">
        <f t="shared" si="9"/>
        <v>#VALUE!</v>
      </c>
    </row>
    <row r="19" spans="1:20" x14ac:dyDescent="0.2">
      <c r="A19">
        <v>5.6</v>
      </c>
      <c r="B19">
        <f t="shared" si="2"/>
        <v>0</v>
      </c>
      <c r="C19">
        <f t="shared" si="3"/>
        <v>0</v>
      </c>
      <c r="D19">
        <f t="shared" si="4"/>
        <v>0</v>
      </c>
      <c r="E19">
        <f t="shared" si="5"/>
        <v>0</v>
      </c>
      <c r="F19">
        <f t="shared" si="6"/>
        <v>0</v>
      </c>
      <c r="G19">
        <f t="shared" si="7"/>
        <v>0</v>
      </c>
      <c r="H19">
        <f t="shared" si="7"/>
        <v>0</v>
      </c>
      <c r="I19">
        <f t="shared" si="7"/>
        <v>0</v>
      </c>
      <c r="J19">
        <f t="shared" si="7"/>
        <v>0</v>
      </c>
      <c r="K19" t="e">
        <f t="shared" si="11"/>
        <v>#VALUE!</v>
      </c>
      <c r="L19" t="e">
        <f t="shared" si="11"/>
        <v>#VALUE!</v>
      </c>
      <c r="M19" t="e">
        <f t="shared" si="9"/>
        <v>#VALUE!</v>
      </c>
      <c r="N19" t="e">
        <f t="shared" si="9"/>
        <v>#VALUE!</v>
      </c>
      <c r="Q19" s="113"/>
      <c r="S19" s="2"/>
      <c r="T19" s="45"/>
    </row>
    <row r="20" spans="1:20" x14ac:dyDescent="0.2">
      <c r="A20">
        <v>6.8</v>
      </c>
      <c r="B20">
        <f t="shared" si="2"/>
        <v>0</v>
      </c>
      <c r="C20">
        <f t="shared" si="3"/>
        <v>0</v>
      </c>
      <c r="D20">
        <f t="shared" si="4"/>
        <v>0</v>
      </c>
      <c r="E20">
        <f t="shared" si="5"/>
        <v>0</v>
      </c>
      <c r="F20">
        <f t="shared" si="6"/>
        <v>0</v>
      </c>
      <c r="G20">
        <f t="shared" si="7"/>
        <v>0</v>
      </c>
      <c r="H20">
        <f t="shared" si="7"/>
        <v>0</v>
      </c>
      <c r="I20">
        <f t="shared" si="7"/>
        <v>0</v>
      </c>
      <c r="J20">
        <f t="shared" si="7"/>
        <v>0</v>
      </c>
      <c r="K20" t="e">
        <f t="shared" si="11"/>
        <v>#VALUE!</v>
      </c>
      <c r="L20" t="e">
        <f t="shared" si="11"/>
        <v>#VALUE!</v>
      </c>
      <c r="M20" t="e">
        <f t="shared" si="9"/>
        <v>#VALUE!</v>
      </c>
      <c r="N20" t="e">
        <f t="shared" si="9"/>
        <v>#VALUE!</v>
      </c>
      <c r="Q20" s="113"/>
      <c r="S20" s="2"/>
      <c r="T20" s="45"/>
    </row>
    <row r="21" spans="1:20" x14ac:dyDescent="0.2">
      <c r="A21">
        <v>8.1999999999999993</v>
      </c>
      <c r="B21">
        <f t="shared" si="2"/>
        <v>0</v>
      </c>
      <c r="C21">
        <f t="shared" si="3"/>
        <v>0</v>
      </c>
      <c r="D21">
        <f t="shared" si="4"/>
        <v>0</v>
      </c>
      <c r="E21">
        <f t="shared" si="5"/>
        <v>0</v>
      </c>
      <c r="F21">
        <f t="shared" si="6"/>
        <v>0</v>
      </c>
      <c r="G21">
        <f t="shared" si="7"/>
        <v>0</v>
      </c>
      <c r="H21">
        <f t="shared" si="7"/>
        <v>0</v>
      </c>
      <c r="I21">
        <f t="shared" si="7"/>
        <v>0</v>
      </c>
      <c r="J21">
        <f t="shared" si="7"/>
        <v>0</v>
      </c>
      <c r="K21" t="e">
        <f t="shared" si="11"/>
        <v>#VALUE!</v>
      </c>
      <c r="L21" t="e">
        <f t="shared" si="11"/>
        <v>#VALUE!</v>
      </c>
      <c r="M21" t="e">
        <f t="shared" si="9"/>
        <v>#VALUE!</v>
      </c>
      <c r="N21" t="e">
        <f t="shared" si="9"/>
        <v>#VALUE!</v>
      </c>
      <c r="Q21" s="113" t="s">
        <v>310</v>
      </c>
      <c r="R21">
        <f>Cdither_init</f>
        <v>2.0226537216828479E-9</v>
      </c>
      <c r="S21" s="2">
        <f>H4</f>
        <v>2.1999999999999998E-9</v>
      </c>
    </row>
    <row r="22" spans="1:20" x14ac:dyDescent="0.2">
      <c r="A22">
        <v>10</v>
      </c>
      <c r="B22">
        <f t="shared" si="2"/>
        <v>0</v>
      </c>
      <c r="C22">
        <f t="shared" si="3"/>
        <v>0</v>
      </c>
      <c r="D22">
        <f t="shared" si="4"/>
        <v>0</v>
      </c>
      <c r="E22">
        <f t="shared" si="5"/>
        <v>0</v>
      </c>
      <c r="F22">
        <f t="shared" si="6"/>
        <v>0</v>
      </c>
      <c r="G22">
        <f t="shared" si="7"/>
        <v>0</v>
      </c>
      <c r="H22">
        <f t="shared" si="7"/>
        <v>0</v>
      </c>
      <c r="I22">
        <f t="shared" si="7"/>
        <v>0</v>
      </c>
      <c r="J22">
        <f t="shared" si="7"/>
        <v>0</v>
      </c>
      <c r="K22" t="e">
        <f t="shared" ref="K22:L84" si="12">IF(IF((K$3*10^12-$A23)*(K$3*10^12-$A22)*-1&lt;0,0,1)*IF(ABS(K$3*10^12-$A23)&gt;(K$3*10^12-$A22),$A22,$A23)=K23,0,IF((K$3*10^12-$A23)*(K$3*10^12-$A22)*-1&lt;0,0,1)*IF(ABS(K$3*10^12-$A23)&gt;(K$3*10^12-$A22),$A22,$A23))</f>
        <v>#VALUE!</v>
      </c>
      <c r="L22" t="e">
        <f t="shared" si="12"/>
        <v>#VALUE!</v>
      </c>
      <c r="M22" t="e">
        <f t="shared" si="9"/>
        <v>#VALUE!</v>
      </c>
      <c r="N22" t="e">
        <f t="shared" si="9"/>
        <v>#VALUE!</v>
      </c>
    </row>
    <row r="23" spans="1:20" x14ac:dyDescent="0.2">
      <c r="A23">
        <v>12</v>
      </c>
      <c r="B23">
        <f t="shared" si="2"/>
        <v>0</v>
      </c>
      <c r="C23">
        <f t="shared" si="3"/>
        <v>0</v>
      </c>
      <c r="D23">
        <f t="shared" si="4"/>
        <v>0</v>
      </c>
      <c r="E23">
        <f t="shared" si="5"/>
        <v>0</v>
      </c>
      <c r="F23">
        <f t="shared" si="6"/>
        <v>0</v>
      </c>
      <c r="G23">
        <f t="shared" si="7"/>
        <v>0</v>
      </c>
      <c r="H23">
        <f t="shared" si="7"/>
        <v>0</v>
      </c>
      <c r="I23">
        <f t="shared" si="7"/>
        <v>0</v>
      </c>
      <c r="J23">
        <f t="shared" si="7"/>
        <v>0</v>
      </c>
      <c r="K23" t="e">
        <f t="shared" si="12"/>
        <v>#VALUE!</v>
      </c>
      <c r="L23" t="e">
        <f t="shared" si="12"/>
        <v>#VALUE!</v>
      </c>
      <c r="M23" t="e">
        <f t="shared" si="9"/>
        <v>#VALUE!</v>
      </c>
      <c r="N23" t="e">
        <f t="shared" si="9"/>
        <v>#VALUE!</v>
      </c>
      <c r="Q23" s="113" t="s">
        <v>798</v>
      </c>
      <c r="R23" t="e">
        <f>K4</f>
        <v>#VALUE!</v>
      </c>
      <c r="S23" s="2" t="e">
        <f>R23*1000000</f>
        <v>#VALUE!</v>
      </c>
      <c r="T23" s="113" t="s">
        <v>23</v>
      </c>
    </row>
    <row r="24" spans="1:20" x14ac:dyDescent="0.2">
      <c r="A24">
        <v>15</v>
      </c>
      <c r="B24">
        <f t="shared" si="2"/>
        <v>0</v>
      </c>
      <c r="C24">
        <f t="shared" si="3"/>
        <v>0</v>
      </c>
      <c r="D24">
        <f t="shared" si="4"/>
        <v>0</v>
      </c>
      <c r="E24">
        <f t="shared" si="5"/>
        <v>0</v>
      </c>
      <c r="F24">
        <f t="shared" si="6"/>
        <v>0</v>
      </c>
      <c r="G24">
        <f t="shared" si="7"/>
        <v>0</v>
      </c>
      <c r="H24">
        <f t="shared" si="7"/>
        <v>0</v>
      </c>
      <c r="I24">
        <f t="shared" si="7"/>
        <v>0</v>
      </c>
      <c r="J24">
        <f t="shared" si="7"/>
        <v>0</v>
      </c>
      <c r="K24" t="e">
        <f t="shared" si="12"/>
        <v>#VALUE!</v>
      </c>
      <c r="L24" t="e">
        <f t="shared" si="12"/>
        <v>#VALUE!</v>
      </c>
      <c r="M24" t="e">
        <f t="shared" si="9"/>
        <v>#VALUE!</v>
      </c>
      <c r="N24" t="e">
        <f t="shared" si="9"/>
        <v>#VALUE!</v>
      </c>
      <c r="Q24" s="113" t="s">
        <v>765</v>
      </c>
      <c r="R24" s="300" t="e">
        <f>Cinj_AEF</f>
        <v>#VALUE!</v>
      </c>
      <c r="S24" s="2" t="e">
        <f>M4*1000000</f>
        <v>#VALUE!</v>
      </c>
      <c r="T24" t="s">
        <v>23</v>
      </c>
    </row>
    <row r="25" spans="1:20" x14ac:dyDescent="0.2">
      <c r="A25">
        <v>18</v>
      </c>
      <c r="B25">
        <f t="shared" si="2"/>
        <v>0</v>
      </c>
      <c r="C25">
        <f t="shared" si="3"/>
        <v>0</v>
      </c>
      <c r="D25">
        <f t="shared" si="4"/>
        <v>0</v>
      </c>
      <c r="E25">
        <f t="shared" si="5"/>
        <v>0</v>
      </c>
      <c r="F25">
        <f t="shared" si="6"/>
        <v>0</v>
      </c>
      <c r="G25">
        <f t="shared" si="7"/>
        <v>0</v>
      </c>
      <c r="H25">
        <f t="shared" si="7"/>
        <v>0</v>
      </c>
      <c r="I25">
        <f t="shared" si="7"/>
        <v>0</v>
      </c>
      <c r="J25">
        <f t="shared" si="7"/>
        <v>0</v>
      </c>
      <c r="K25" t="e">
        <f t="shared" si="12"/>
        <v>#VALUE!</v>
      </c>
      <c r="L25" t="e">
        <f t="shared" si="12"/>
        <v>#VALUE!</v>
      </c>
      <c r="M25" t="e">
        <f t="shared" si="9"/>
        <v>#VALUE!</v>
      </c>
      <c r="N25" t="e">
        <f t="shared" si="9"/>
        <v>#VALUE!</v>
      </c>
      <c r="Q25" t="s">
        <v>769</v>
      </c>
      <c r="R25" s="348" t="e">
        <f>'Variable Management'!B295</f>
        <v>#VALUE!</v>
      </c>
      <c r="S25" t="e">
        <f>N4*1000000</f>
        <v>#VALUE!</v>
      </c>
      <c r="T25" t="s">
        <v>23</v>
      </c>
    </row>
    <row r="26" spans="1:20" x14ac:dyDescent="0.2">
      <c r="A26">
        <v>22</v>
      </c>
      <c r="B26">
        <f t="shared" si="2"/>
        <v>0</v>
      </c>
      <c r="C26">
        <f t="shared" si="3"/>
        <v>0</v>
      </c>
      <c r="D26">
        <f t="shared" si="4"/>
        <v>0</v>
      </c>
      <c r="E26">
        <f t="shared" si="5"/>
        <v>0</v>
      </c>
      <c r="F26">
        <f t="shared" si="6"/>
        <v>0</v>
      </c>
      <c r="G26">
        <f t="shared" si="7"/>
        <v>0</v>
      </c>
      <c r="H26">
        <f t="shared" si="7"/>
        <v>0</v>
      </c>
      <c r="I26">
        <f t="shared" si="7"/>
        <v>0</v>
      </c>
      <c r="J26">
        <f t="shared" si="7"/>
        <v>0</v>
      </c>
      <c r="K26" t="e">
        <f t="shared" si="12"/>
        <v>#VALUE!</v>
      </c>
      <c r="L26" t="e">
        <f t="shared" si="12"/>
        <v>#VALUE!</v>
      </c>
      <c r="M26" t="e">
        <f t="shared" si="9"/>
        <v>#VALUE!</v>
      </c>
      <c r="N26" t="e">
        <f t="shared" si="9"/>
        <v>#VALUE!</v>
      </c>
      <c r="Q26" s="113" t="s">
        <v>766</v>
      </c>
      <c r="R26" s="348" t="e">
        <f>'Variable Management'!B296</f>
        <v>#VALUE!</v>
      </c>
      <c r="S26" s="2" t="e">
        <f>IF(R26="OPEN","OPEN",IF(R26&gt;(INT(0.5+100*POWER(10,IF(96*(LOG(R26)-INT(LOG(R26)))-ROUND(96*(LOG(R26)-INT(LOG(R26))),0)&lt;0,ROUND(96*(LOG(R26)-INT(LOG(R26))),0)-1,ROUND(96*(LOG(R26)-INT(LOG(R26))),0))/96))*POWER(10,INT(LOG(R26))-2)+INT(0.5+100*POWER(10,(IF(96*(LOG(R26)-INT(LOG(R26)))-ROUND(96*(LOG(R26)-INT(LOG(R26))),0)&lt;0,ROUND(96*(LOG(R26)-INT(LOG(R26))),0)-1,ROUND(96*(LOG(R26)-INT(LOG(R26))),0))+1)/96))*POWER(10,INT(LOG(R26))-2))/2,INT(0.5+100*POWER(10,(IF(96*(LOG(R26)-INT(LOG(R26)))-ROUND(96*(LOG(R26)-INT(LOG(R26))),0)&lt;0,ROUND(96*(LOG(R26)-INT(LOG(R26))),0)-1,ROUND(96*(LOG(R26)-INT(LOG(R26))),0))+1)/96))*POWER(10,INT(LOG(R26))-2),INT(0.5+100*POWER(10,IF(96*(LOG(R26)-INT(LOG(R26)))-ROUND(96*(LOG(R26)-INT(LOG(R26))),0)&lt;0,ROUND(96*(LOG(R26)-INT(LOG(R26))),0)-1,ROUND(96*(LOG(R26)-INT(LOG(R26))),0))/96))*POWER(10,INT(LOG(R26))-2)))</f>
        <v>#VALUE!</v>
      </c>
      <c r="T26" s="45" t="s">
        <v>260</v>
      </c>
    </row>
    <row r="27" spans="1:20" x14ac:dyDescent="0.2">
      <c r="A27">
        <v>27</v>
      </c>
      <c r="B27">
        <f t="shared" si="2"/>
        <v>0</v>
      </c>
      <c r="C27">
        <f t="shared" si="3"/>
        <v>0</v>
      </c>
      <c r="D27">
        <f t="shared" si="4"/>
        <v>0</v>
      </c>
      <c r="E27">
        <f t="shared" si="5"/>
        <v>0</v>
      </c>
      <c r="F27">
        <f t="shared" si="6"/>
        <v>0</v>
      </c>
      <c r="G27">
        <f t="shared" si="7"/>
        <v>0</v>
      </c>
      <c r="H27">
        <f t="shared" si="7"/>
        <v>0</v>
      </c>
      <c r="I27">
        <f t="shared" si="7"/>
        <v>0</v>
      </c>
      <c r="J27">
        <f t="shared" si="7"/>
        <v>0</v>
      </c>
      <c r="K27" t="e">
        <f t="shared" si="12"/>
        <v>#VALUE!</v>
      </c>
      <c r="L27" t="e">
        <f t="shared" si="12"/>
        <v>#VALUE!</v>
      </c>
      <c r="M27" t="e">
        <f t="shared" ref="M27:N42" si="13">IF(IF((M$3*10^12-$A28)*(M$3*10^12-$A27)*-1&lt;0,0,1)*IF(ABS(M$3*10^12-$A28)&gt;(M$3*10^12-$A27),$A27,$A28)=M28,0,IF((M$3*10^12-$A28)*(M$3*10^12-$A27)*-1&lt;0,0,1)*IF(ABS(M$3*10^12-$A28)&gt;(M$3*10^12-$A27),$A27,$A28))</f>
        <v>#VALUE!</v>
      </c>
      <c r="N27" t="e">
        <f t="shared" si="13"/>
        <v>#VALUE!</v>
      </c>
      <c r="Q27" s="113" t="s">
        <v>799</v>
      </c>
      <c r="R27" t="e">
        <f>SQRT(L_infilterStd/K4)</f>
        <v>#VALUE!</v>
      </c>
      <c r="S27" s="2" t="e">
        <f>IF(R27="OPEN","OPEN",IF(R27&gt;(INT(0.5+100*POWER(10,IF(96*(LOG(R27)-INT(LOG(R27)))-ROUND(96*(LOG(R27)-INT(LOG(R27))),0)&lt;0,ROUND(96*(LOG(R27)-INT(LOG(R27))),0)-1,ROUND(96*(LOG(R27)-INT(LOG(R27))),0))/96))*POWER(10,INT(LOG(R27))-2)+INT(0.5+100*POWER(10,(IF(96*(LOG(R27)-INT(LOG(R27)))-ROUND(96*(LOG(R27)-INT(LOG(R27))),0)&lt;0,ROUND(96*(LOG(R27)-INT(LOG(R27))),0)-1,ROUND(96*(LOG(R27)-INT(LOG(R27))),0))+1)/96))*POWER(10,INT(LOG(R27))-2))/2,INT(0.5+100*POWER(10,(IF(96*(LOG(R27)-INT(LOG(R27)))-ROUND(96*(LOG(R27)-INT(LOG(R27))),0)&lt;0,ROUND(96*(LOG(R27)-INT(LOG(R27))),0)-1,ROUND(96*(LOG(R27)-INT(LOG(R27))),0))+1)/96))*POWER(10,INT(LOG(R27))-2),INT(0.5+100*POWER(10,IF(96*(LOG(R27)-INT(LOG(R27)))-ROUND(96*(LOG(R27)-INT(LOG(R27))),0)&lt;0,ROUND(96*(LOG(R27)-INT(LOG(R27))),0)-1,ROUND(96*(LOG(R27)-INT(LOG(R27))),0))/96))*POWER(10,INT(LOG(R27))-2)))</f>
        <v>#VALUE!</v>
      </c>
      <c r="T27" s="45" t="s">
        <v>260</v>
      </c>
    </row>
    <row r="28" spans="1:20" x14ac:dyDescent="0.2">
      <c r="A28">
        <v>33</v>
      </c>
      <c r="B28">
        <f t="shared" si="2"/>
        <v>0</v>
      </c>
      <c r="C28">
        <f t="shared" si="3"/>
        <v>0</v>
      </c>
      <c r="D28">
        <f t="shared" si="4"/>
        <v>0</v>
      </c>
      <c r="E28">
        <f t="shared" si="5"/>
        <v>0</v>
      </c>
      <c r="F28">
        <f t="shared" si="6"/>
        <v>0</v>
      </c>
      <c r="G28">
        <f t="shared" si="7"/>
        <v>0</v>
      </c>
      <c r="H28">
        <f t="shared" si="7"/>
        <v>0</v>
      </c>
      <c r="I28">
        <f t="shared" si="7"/>
        <v>0</v>
      </c>
      <c r="J28">
        <f t="shared" si="7"/>
        <v>0</v>
      </c>
      <c r="K28" t="e">
        <f t="shared" si="12"/>
        <v>#VALUE!</v>
      </c>
      <c r="L28" t="e">
        <f t="shared" si="12"/>
        <v>#VALUE!</v>
      </c>
      <c r="M28" t="e">
        <f t="shared" si="13"/>
        <v>#VALUE!</v>
      </c>
      <c r="N28" t="e">
        <f t="shared" si="13"/>
        <v>#VALUE!</v>
      </c>
      <c r="Q28" s="113" t="s">
        <v>801</v>
      </c>
      <c r="R28" t="e">
        <f>L4</f>
        <v>#VALUE!</v>
      </c>
      <c r="S28" t="e">
        <f>R28*1000000</f>
        <v>#VALUE!</v>
      </c>
      <c r="T28" t="s">
        <v>23</v>
      </c>
    </row>
    <row r="29" spans="1:20" x14ac:dyDescent="0.2">
      <c r="A29">
        <v>39</v>
      </c>
      <c r="B29">
        <f t="shared" si="2"/>
        <v>0</v>
      </c>
      <c r="C29">
        <f t="shared" si="3"/>
        <v>0</v>
      </c>
      <c r="D29">
        <f t="shared" si="4"/>
        <v>0</v>
      </c>
      <c r="E29">
        <f t="shared" si="5"/>
        <v>0</v>
      </c>
      <c r="F29">
        <f t="shared" si="6"/>
        <v>0</v>
      </c>
      <c r="G29">
        <f t="shared" si="7"/>
        <v>0</v>
      </c>
      <c r="H29">
        <f t="shared" si="7"/>
        <v>0</v>
      </c>
      <c r="I29">
        <f t="shared" si="7"/>
        <v>0</v>
      </c>
      <c r="J29">
        <f t="shared" si="7"/>
        <v>0</v>
      </c>
      <c r="K29" t="e">
        <f t="shared" si="12"/>
        <v>#VALUE!</v>
      </c>
      <c r="L29" t="e">
        <f t="shared" si="12"/>
        <v>#VALUE!</v>
      </c>
      <c r="M29" t="e">
        <f t="shared" si="13"/>
        <v>#VALUE!</v>
      </c>
      <c r="N29" t="e">
        <f t="shared" si="13"/>
        <v>#VALUE!</v>
      </c>
      <c r="Q29" s="113"/>
    </row>
    <row r="30" spans="1:20" x14ac:dyDescent="0.2">
      <c r="A30">
        <v>47</v>
      </c>
      <c r="B30">
        <f t="shared" si="2"/>
        <v>0</v>
      </c>
      <c r="C30">
        <f t="shared" si="3"/>
        <v>0</v>
      </c>
      <c r="D30">
        <f t="shared" si="4"/>
        <v>0</v>
      </c>
      <c r="E30">
        <f t="shared" si="5"/>
        <v>0</v>
      </c>
      <c r="F30">
        <f t="shared" si="6"/>
        <v>0</v>
      </c>
      <c r="G30">
        <f t="shared" si="7"/>
        <v>0</v>
      </c>
      <c r="H30">
        <f t="shared" si="7"/>
        <v>0</v>
      </c>
      <c r="I30">
        <f t="shared" si="7"/>
        <v>0</v>
      </c>
      <c r="J30">
        <f t="shared" si="7"/>
        <v>0</v>
      </c>
      <c r="K30" t="e">
        <f t="shared" si="12"/>
        <v>#VALUE!</v>
      </c>
      <c r="L30" t="e">
        <f t="shared" si="12"/>
        <v>#VALUE!</v>
      </c>
      <c r="M30" t="e">
        <f t="shared" si="13"/>
        <v>#VALUE!</v>
      </c>
      <c r="N30" t="e">
        <f t="shared" si="13"/>
        <v>#VALUE!</v>
      </c>
    </row>
    <row r="31" spans="1:20" x14ac:dyDescent="0.2">
      <c r="A31">
        <v>56</v>
      </c>
      <c r="B31">
        <f t="shared" si="2"/>
        <v>0</v>
      </c>
      <c r="C31">
        <f t="shared" si="3"/>
        <v>0</v>
      </c>
      <c r="D31">
        <f t="shared" si="4"/>
        <v>0</v>
      </c>
      <c r="E31">
        <f t="shared" si="5"/>
        <v>0</v>
      </c>
      <c r="F31">
        <f t="shared" si="6"/>
        <v>0</v>
      </c>
      <c r="G31">
        <f t="shared" si="7"/>
        <v>0</v>
      </c>
      <c r="H31">
        <f t="shared" si="7"/>
        <v>0</v>
      </c>
      <c r="I31">
        <f t="shared" si="7"/>
        <v>0</v>
      </c>
      <c r="J31">
        <f t="shared" si="7"/>
        <v>0</v>
      </c>
      <c r="K31" t="e">
        <f t="shared" si="12"/>
        <v>#VALUE!</v>
      </c>
      <c r="L31" t="e">
        <f t="shared" si="12"/>
        <v>#VALUE!</v>
      </c>
      <c r="M31" t="e">
        <f t="shared" si="13"/>
        <v>#VALUE!</v>
      </c>
      <c r="N31" t="e">
        <f t="shared" si="13"/>
        <v>#VALUE!</v>
      </c>
    </row>
    <row r="32" spans="1:20" x14ac:dyDescent="0.2">
      <c r="A32">
        <v>68</v>
      </c>
      <c r="B32">
        <f t="shared" si="2"/>
        <v>0</v>
      </c>
      <c r="C32">
        <f t="shared" si="3"/>
        <v>0</v>
      </c>
      <c r="D32">
        <f t="shared" si="4"/>
        <v>0</v>
      </c>
      <c r="E32">
        <f t="shared" si="5"/>
        <v>0</v>
      </c>
      <c r="F32">
        <f t="shared" si="6"/>
        <v>0</v>
      </c>
      <c r="G32">
        <f t="shared" si="7"/>
        <v>0</v>
      </c>
      <c r="H32">
        <f t="shared" si="7"/>
        <v>0</v>
      </c>
      <c r="I32">
        <f t="shared" si="7"/>
        <v>0</v>
      </c>
      <c r="J32">
        <f t="shared" si="7"/>
        <v>0</v>
      </c>
      <c r="K32" t="e">
        <f t="shared" si="12"/>
        <v>#VALUE!</v>
      </c>
      <c r="L32" t="e">
        <f t="shared" si="12"/>
        <v>#VALUE!</v>
      </c>
      <c r="M32" t="e">
        <f t="shared" si="13"/>
        <v>#VALUE!</v>
      </c>
      <c r="N32" t="e">
        <f t="shared" si="13"/>
        <v>#VALUE!</v>
      </c>
      <c r="Q32" s="3" t="s">
        <v>168</v>
      </c>
      <c r="R32" t="str">
        <f>S7/1000&amp;" kΩ"</f>
        <v>12.1 kΩ</v>
      </c>
      <c r="S32">
        <f>S7/1000</f>
        <v>12.1</v>
      </c>
      <c r="T32" s="45" t="s">
        <v>237</v>
      </c>
    </row>
    <row r="33" spans="1:20" x14ac:dyDescent="0.2">
      <c r="A33">
        <v>82</v>
      </c>
      <c r="B33">
        <f t="shared" si="2"/>
        <v>0</v>
      </c>
      <c r="C33">
        <f t="shared" si="3"/>
        <v>0</v>
      </c>
      <c r="D33">
        <f t="shared" si="4"/>
        <v>0</v>
      </c>
      <c r="E33">
        <f t="shared" si="5"/>
        <v>0</v>
      </c>
      <c r="F33">
        <f t="shared" si="6"/>
        <v>0</v>
      </c>
      <c r="G33">
        <f t="shared" si="7"/>
        <v>0</v>
      </c>
      <c r="H33">
        <f t="shared" si="7"/>
        <v>0</v>
      </c>
      <c r="I33">
        <f t="shared" si="7"/>
        <v>0</v>
      </c>
      <c r="J33">
        <f t="shared" si="7"/>
        <v>0</v>
      </c>
      <c r="K33" t="e">
        <f t="shared" si="12"/>
        <v>#VALUE!</v>
      </c>
      <c r="L33" t="e">
        <f t="shared" si="12"/>
        <v>#VALUE!</v>
      </c>
      <c r="M33" t="e">
        <f t="shared" si="13"/>
        <v>#VALUE!</v>
      </c>
      <c r="N33" t="e">
        <f t="shared" si="13"/>
        <v>#VALUE!</v>
      </c>
      <c r="Q33" s="3" t="s">
        <v>166</v>
      </c>
      <c r="R33" t="str">
        <f>C4*1000000000&amp;" nF"</f>
        <v>3.3 nF</v>
      </c>
      <c r="S33">
        <f>C4*1000000000</f>
        <v>3.3000000000000003</v>
      </c>
      <c r="T33" s="113" t="s">
        <v>141</v>
      </c>
    </row>
    <row r="34" spans="1:20" x14ac:dyDescent="0.2">
      <c r="A34">
        <f>A22*10</f>
        <v>100</v>
      </c>
      <c r="B34">
        <f t="shared" si="2"/>
        <v>0</v>
      </c>
      <c r="C34">
        <f t="shared" si="3"/>
        <v>0</v>
      </c>
      <c r="D34">
        <f t="shared" si="4"/>
        <v>0</v>
      </c>
      <c r="E34">
        <f t="shared" si="5"/>
        <v>0</v>
      </c>
      <c r="F34">
        <f t="shared" si="6"/>
        <v>0</v>
      </c>
      <c r="G34">
        <f t="shared" si="7"/>
        <v>0</v>
      </c>
      <c r="H34">
        <f t="shared" si="7"/>
        <v>0</v>
      </c>
      <c r="I34">
        <f t="shared" si="7"/>
        <v>0</v>
      </c>
      <c r="J34">
        <f t="shared" si="7"/>
        <v>0</v>
      </c>
      <c r="K34" t="e">
        <f t="shared" si="12"/>
        <v>#VALUE!</v>
      </c>
      <c r="L34" t="e">
        <f t="shared" si="12"/>
        <v>#VALUE!</v>
      </c>
      <c r="M34" t="e">
        <f t="shared" si="13"/>
        <v>#VALUE!</v>
      </c>
      <c r="N34" t="e">
        <f t="shared" si="13"/>
        <v>#VALUE!</v>
      </c>
      <c r="Q34" s="3" t="s">
        <v>167</v>
      </c>
      <c r="R34" t="str">
        <f>D4*1000000000000&amp;" pF"</f>
        <v>0 pF</v>
      </c>
      <c r="S34">
        <f>D4*1000000000000</f>
        <v>0</v>
      </c>
      <c r="T34" s="113" t="s">
        <v>30</v>
      </c>
    </row>
    <row r="35" spans="1:20" x14ac:dyDescent="0.2">
      <c r="A35">
        <f t="shared" ref="A35:A98" si="14">A23*10</f>
        <v>120</v>
      </c>
      <c r="B35">
        <f t="shared" si="2"/>
        <v>0</v>
      </c>
      <c r="C35">
        <f t="shared" si="3"/>
        <v>0</v>
      </c>
      <c r="D35">
        <f t="shared" si="4"/>
        <v>0</v>
      </c>
      <c r="E35">
        <f t="shared" si="5"/>
        <v>0</v>
      </c>
      <c r="F35">
        <f t="shared" si="6"/>
        <v>0</v>
      </c>
      <c r="G35">
        <f t="shared" si="7"/>
        <v>0</v>
      </c>
      <c r="H35">
        <f t="shared" si="7"/>
        <v>0</v>
      </c>
      <c r="I35">
        <f t="shared" si="7"/>
        <v>0</v>
      </c>
      <c r="J35">
        <f t="shared" si="7"/>
        <v>0</v>
      </c>
      <c r="K35" t="e">
        <f t="shared" si="12"/>
        <v>#VALUE!</v>
      </c>
      <c r="L35" t="e">
        <f t="shared" si="12"/>
        <v>#VALUE!</v>
      </c>
      <c r="M35" t="e">
        <f t="shared" si="13"/>
        <v>#VALUE!</v>
      </c>
      <c r="N35" t="e">
        <f t="shared" si="13"/>
        <v>#VALUE!</v>
      </c>
      <c r="Q35" s="3"/>
      <c r="T35" s="45"/>
    </row>
    <row r="36" spans="1:20" x14ac:dyDescent="0.2">
      <c r="A36">
        <f t="shared" si="14"/>
        <v>150</v>
      </c>
      <c r="B36">
        <f t="shared" si="2"/>
        <v>0</v>
      </c>
      <c r="C36">
        <f t="shared" si="3"/>
        <v>0</v>
      </c>
      <c r="D36">
        <f t="shared" si="4"/>
        <v>0</v>
      </c>
      <c r="E36">
        <f t="shared" si="5"/>
        <v>0</v>
      </c>
      <c r="F36">
        <f t="shared" si="6"/>
        <v>0</v>
      </c>
      <c r="G36">
        <f t="shared" si="7"/>
        <v>0</v>
      </c>
      <c r="H36">
        <f t="shared" si="7"/>
        <v>0</v>
      </c>
      <c r="I36">
        <f t="shared" si="7"/>
        <v>0</v>
      </c>
      <c r="J36">
        <f t="shared" si="7"/>
        <v>0</v>
      </c>
      <c r="K36" t="e">
        <f t="shared" si="12"/>
        <v>#VALUE!</v>
      </c>
      <c r="L36" t="e">
        <f t="shared" si="12"/>
        <v>#VALUE!</v>
      </c>
      <c r="M36" t="e">
        <f t="shared" si="13"/>
        <v>#VALUE!</v>
      </c>
      <c r="N36" t="e">
        <f t="shared" si="13"/>
        <v>#VALUE!</v>
      </c>
      <c r="Q36" s="113" t="s">
        <v>658</v>
      </c>
      <c r="R36" t="e">
        <f>S8/1000&amp;" kΩ"</f>
        <v>#NUM!</v>
      </c>
      <c r="S36" t="e">
        <f>S8/1000</f>
        <v>#NUM!</v>
      </c>
      <c r="T36" s="45" t="s">
        <v>237</v>
      </c>
    </row>
    <row r="37" spans="1:20" x14ac:dyDescent="0.2">
      <c r="A37">
        <f t="shared" si="14"/>
        <v>180</v>
      </c>
      <c r="B37">
        <f t="shared" si="2"/>
        <v>0</v>
      </c>
      <c r="C37">
        <f t="shared" si="3"/>
        <v>0</v>
      </c>
      <c r="D37">
        <f t="shared" si="4"/>
        <v>0</v>
      </c>
      <c r="E37">
        <f t="shared" si="5"/>
        <v>0</v>
      </c>
      <c r="F37">
        <f t="shared" si="6"/>
        <v>0</v>
      </c>
      <c r="G37">
        <f t="shared" si="7"/>
        <v>0</v>
      </c>
      <c r="H37">
        <f t="shared" si="7"/>
        <v>0</v>
      </c>
      <c r="I37">
        <f t="shared" si="7"/>
        <v>0</v>
      </c>
      <c r="J37">
        <f t="shared" si="7"/>
        <v>0</v>
      </c>
      <c r="K37" t="e">
        <f t="shared" si="12"/>
        <v>#VALUE!</v>
      </c>
      <c r="L37" t="e">
        <f t="shared" si="12"/>
        <v>#VALUE!</v>
      </c>
      <c r="M37" t="e">
        <f t="shared" si="13"/>
        <v>#VALUE!</v>
      </c>
      <c r="N37" t="e">
        <f t="shared" si="13"/>
        <v>#VALUE!</v>
      </c>
      <c r="Q37" s="113" t="s">
        <v>659</v>
      </c>
      <c r="R37" t="str">
        <f>I4*1000000000&amp;" nF"</f>
        <v>0 nF</v>
      </c>
      <c r="S37">
        <f>I4*1000000000</f>
        <v>0</v>
      </c>
      <c r="T37" s="113" t="s">
        <v>141</v>
      </c>
    </row>
    <row r="38" spans="1:20" x14ac:dyDescent="0.2">
      <c r="A38">
        <f t="shared" si="14"/>
        <v>220</v>
      </c>
      <c r="B38">
        <f t="shared" si="2"/>
        <v>0</v>
      </c>
      <c r="C38">
        <f t="shared" si="3"/>
        <v>0</v>
      </c>
      <c r="D38">
        <f t="shared" si="4"/>
        <v>0</v>
      </c>
      <c r="E38">
        <f t="shared" si="5"/>
        <v>0</v>
      </c>
      <c r="F38">
        <f t="shared" si="6"/>
        <v>0</v>
      </c>
      <c r="G38">
        <f t="shared" si="7"/>
        <v>0</v>
      </c>
      <c r="H38">
        <f t="shared" si="7"/>
        <v>0</v>
      </c>
      <c r="I38">
        <f t="shared" si="7"/>
        <v>0</v>
      </c>
      <c r="J38">
        <f t="shared" si="7"/>
        <v>0</v>
      </c>
      <c r="K38" t="e">
        <f t="shared" si="12"/>
        <v>#VALUE!</v>
      </c>
      <c r="L38" t="e">
        <f t="shared" si="12"/>
        <v>#VALUE!</v>
      </c>
      <c r="M38" t="e">
        <f t="shared" si="13"/>
        <v>#VALUE!</v>
      </c>
      <c r="N38" t="e">
        <f t="shared" si="13"/>
        <v>#VALUE!</v>
      </c>
      <c r="Q38" s="113" t="s">
        <v>660</v>
      </c>
      <c r="R38" t="str">
        <f>J4*1000000000000&amp;" pF"</f>
        <v>0 pF</v>
      </c>
      <c r="S38">
        <f>J4*1000000000000</f>
        <v>0</v>
      </c>
      <c r="T38" s="113" t="s">
        <v>30</v>
      </c>
    </row>
    <row r="39" spans="1:20" x14ac:dyDescent="0.2">
      <c r="A39">
        <f t="shared" si="14"/>
        <v>270</v>
      </c>
      <c r="B39">
        <f t="shared" si="2"/>
        <v>0</v>
      </c>
      <c r="C39">
        <f t="shared" ref="C39:C70" si="15">IF(IF((C$3*10^12-$A40)*(C$3*10^12-$A39)*-1&lt;0,0,1)*IF(ABS(C$3*10^12-$A40)&gt;(C$3*10^12-$A39),$A39,$A40)=C40,0,IF((C$3*10^12-$A40)*(C$3*10^12-$A39)*-1&lt;0,0,1)*IF(ABS(C$3*10^12-$A40)&gt;(C$3*10^12-$A39),$A39,$A40))</f>
        <v>0</v>
      </c>
      <c r="D39">
        <f t="shared" si="4"/>
        <v>0</v>
      </c>
      <c r="E39">
        <f t="shared" si="5"/>
        <v>0</v>
      </c>
      <c r="F39">
        <f t="shared" si="6"/>
        <v>0</v>
      </c>
      <c r="G39">
        <f t="shared" si="7"/>
        <v>0</v>
      </c>
      <c r="H39">
        <f t="shared" si="7"/>
        <v>0</v>
      </c>
      <c r="I39">
        <f t="shared" si="7"/>
        <v>0</v>
      </c>
      <c r="J39">
        <f t="shared" si="7"/>
        <v>0</v>
      </c>
      <c r="K39" t="e">
        <f t="shared" si="12"/>
        <v>#VALUE!</v>
      </c>
      <c r="L39" t="e">
        <f t="shared" si="12"/>
        <v>#VALUE!</v>
      </c>
      <c r="M39" t="e">
        <f t="shared" si="13"/>
        <v>#VALUE!</v>
      </c>
      <c r="N39" t="e">
        <f t="shared" si="13"/>
        <v>#VALUE!</v>
      </c>
    </row>
    <row r="40" spans="1:20" x14ac:dyDescent="0.2">
      <c r="A40">
        <f t="shared" si="14"/>
        <v>330</v>
      </c>
      <c r="B40">
        <f t="shared" si="2"/>
        <v>0</v>
      </c>
      <c r="C40">
        <f t="shared" si="15"/>
        <v>0</v>
      </c>
      <c r="D40">
        <f t="shared" si="4"/>
        <v>0</v>
      </c>
      <c r="E40">
        <f t="shared" si="5"/>
        <v>0</v>
      </c>
      <c r="F40">
        <f t="shared" si="6"/>
        <v>0</v>
      </c>
      <c r="G40">
        <f t="shared" si="7"/>
        <v>0</v>
      </c>
      <c r="H40">
        <f t="shared" si="7"/>
        <v>0</v>
      </c>
      <c r="I40">
        <f t="shared" si="7"/>
        <v>0</v>
      </c>
      <c r="J40">
        <f t="shared" si="7"/>
        <v>0</v>
      </c>
      <c r="K40" t="e">
        <f t="shared" si="12"/>
        <v>#VALUE!</v>
      </c>
      <c r="L40" t="e">
        <f t="shared" si="12"/>
        <v>#VALUE!</v>
      </c>
      <c r="M40" t="e">
        <f t="shared" si="13"/>
        <v>#VALUE!</v>
      </c>
      <c r="N40" t="e">
        <f t="shared" si="13"/>
        <v>#VALUE!</v>
      </c>
      <c r="Q40" s="113" t="s">
        <v>867</v>
      </c>
      <c r="R40" s="4">
        <f>'Variable Management'!B186/1000</f>
        <v>199.99999999999997</v>
      </c>
      <c r="S40" s="2">
        <f>IF(R40&gt;(INT(0.5+100*POWER(10,IF(96*(LOG(R40)-INT(LOG(R40)))-ROUND(96*(LOG(R40)-INT(LOG(R40))),0)&lt;0,ROUND(96*(LOG(R40)-INT(LOG(R40))),0)-1,ROUND(96*(LOG(R40)-INT(LOG(R40))),0))/96))*POWER(10,INT(LOG(R40))-2)+INT(0.5+100*POWER(10,(IF(96*(LOG(R40)-INT(LOG(R40)))-ROUND(96*(LOG(R40)-INT(LOG(R40))),0)&lt;0,ROUND(96*(LOG(R40)-INT(LOG(R40))),0)-1,ROUND(96*(LOG(R40)-INT(LOG(R40))),0))+1)/96))*POWER(10,INT(LOG(R40))-2))/2,INT(0.5+100*POWER(10,(IF(96*(LOG(R40)-INT(LOG(R40)))-ROUND(96*(LOG(R40)-INT(LOG(R40))),0)&lt;0,ROUND(96*(LOG(R40)-INT(LOG(R40))),0)-1,ROUND(96*(LOG(R40)-INT(LOG(R40))),0))+1)/96))*POWER(10,INT(LOG(R40))-2),INT(0.5+100*POWER(10,IF(96*(LOG(R40)-INT(LOG(R40)))-ROUND(96*(LOG(R40)-INT(LOG(R40))),0)&lt;0,ROUND(96*(LOG(R40)-INT(LOG(R40))),0)-1,ROUND(96*(LOG(R40)-INT(LOG(R40))),0))/96))*POWER(10,INT(LOG(R40))-2))</f>
        <v>200</v>
      </c>
      <c r="T40" s="45" t="s">
        <v>237</v>
      </c>
    </row>
    <row r="41" spans="1:20" x14ac:dyDescent="0.2">
      <c r="A41">
        <f t="shared" si="14"/>
        <v>390</v>
      </c>
      <c r="B41">
        <f t="shared" si="2"/>
        <v>0</v>
      </c>
      <c r="C41">
        <f t="shared" si="15"/>
        <v>0</v>
      </c>
      <c r="D41">
        <f t="shared" si="4"/>
        <v>0</v>
      </c>
      <c r="E41">
        <f t="shared" si="5"/>
        <v>0</v>
      </c>
      <c r="F41">
        <f t="shared" si="6"/>
        <v>0</v>
      </c>
      <c r="G41">
        <f t="shared" si="7"/>
        <v>0</v>
      </c>
      <c r="H41">
        <f t="shared" si="7"/>
        <v>0</v>
      </c>
      <c r="I41">
        <f t="shared" si="7"/>
        <v>0</v>
      </c>
      <c r="J41">
        <f t="shared" si="7"/>
        <v>0</v>
      </c>
      <c r="K41" t="e">
        <f t="shared" si="12"/>
        <v>#VALUE!</v>
      </c>
      <c r="L41" t="e">
        <f t="shared" si="12"/>
        <v>#VALUE!</v>
      </c>
      <c r="M41" t="e">
        <f t="shared" si="13"/>
        <v>#VALUE!</v>
      </c>
      <c r="N41" t="e">
        <f t="shared" si="13"/>
        <v>#VALUE!</v>
      </c>
      <c r="Q41" s="113" t="s">
        <v>868</v>
      </c>
      <c r="R41">
        <f>'Variable Management'!B187/1000</f>
        <v>9.5238095238095237</v>
      </c>
      <c r="S41" s="2">
        <f>IF(R41&gt;(INT(0.5+100*POWER(10,IF(96*(LOG(R41)-INT(LOG(R41)))-ROUND(96*(LOG(R41)-INT(LOG(R41))),0)&lt;0,ROUND(96*(LOG(R41)-INT(LOG(R41))),0)-1,ROUND(96*(LOG(R41)-INT(LOG(R41))),0))/96))*POWER(10,INT(LOG(R41))-2)+INT(0.5+100*POWER(10,(IF(96*(LOG(R41)-INT(LOG(R41)))-ROUND(96*(LOG(R41)-INT(LOG(R41))),0)&lt;0,ROUND(96*(LOG(R41)-INT(LOG(R41))),0)-1,ROUND(96*(LOG(R41)-INT(LOG(R41))),0))+1)/96))*POWER(10,INT(LOG(R41))-2))/2,INT(0.5+100*POWER(10,(IF(96*(LOG(R41)-INT(LOG(R41)))-ROUND(96*(LOG(R41)-INT(LOG(R41))),0)&lt;0,ROUND(96*(LOG(R41)-INT(LOG(R41))),0)-1,ROUND(96*(LOG(R41)-INT(LOG(R41))),0))+1)/96))*POWER(10,INT(LOG(R41))-2),INT(0.5+100*POWER(10,IF(96*(LOG(R41)-INT(LOG(R41)))-ROUND(96*(LOG(R41)-INT(LOG(R41))),0)&lt;0,ROUND(96*(LOG(R41)-INT(LOG(R41))),0)-1,ROUND(96*(LOG(R41)-INT(LOG(R41))),0))/96))*POWER(10,INT(LOG(R41))-2))</f>
        <v>9.5299999999999994</v>
      </c>
      <c r="T41" s="45" t="s">
        <v>237</v>
      </c>
    </row>
    <row r="42" spans="1:20" x14ac:dyDescent="0.2">
      <c r="A42">
        <f t="shared" si="14"/>
        <v>470</v>
      </c>
      <c r="B42">
        <f t="shared" si="2"/>
        <v>0</v>
      </c>
      <c r="C42">
        <f t="shared" si="15"/>
        <v>0</v>
      </c>
      <c r="D42">
        <f t="shared" si="4"/>
        <v>0</v>
      </c>
      <c r="E42">
        <f t="shared" si="5"/>
        <v>0</v>
      </c>
      <c r="F42">
        <f t="shared" si="6"/>
        <v>0</v>
      </c>
      <c r="G42">
        <f t="shared" si="7"/>
        <v>0</v>
      </c>
      <c r="H42">
        <f t="shared" si="7"/>
        <v>0</v>
      </c>
      <c r="I42">
        <f t="shared" si="7"/>
        <v>0</v>
      </c>
      <c r="J42">
        <f t="shared" si="7"/>
        <v>0</v>
      </c>
      <c r="K42" t="e">
        <f t="shared" si="12"/>
        <v>#VALUE!</v>
      </c>
      <c r="L42" t="e">
        <f t="shared" si="12"/>
        <v>#VALUE!</v>
      </c>
      <c r="M42" t="e">
        <f t="shared" si="13"/>
        <v>#VALUE!</v>
      </c>
      <c r="N42" t="e">
        <f t="shared" si="13"/>
        <v>#VALUE!</v>
      </c>
    </row>
    <row r="43" spans="1:20" x14ac:dyDescent="0.2">
      <c r="A43">
        <f t="shared" si="14"/>
        <v>560</v>
      </c>
      <c r="B43">
        <f t="shared" si="2"/>
        <v>0</v>
      </c>
      <c r="C43">
        <f t="shared" si="15"/>
        <v>0</v>
      </c>
      <c r="D43">
        <f t="shared" si="4"/>
        <v>0</v>
      </c>
      <c r="E43">
        <f t="shared" si="5"/>
        <v>0</v>
      </c>
      <c r="F43">
        <f t="shared" si="6"/>
        <v>0</v>
      </c>
      <c r="G43">
        <f t="shared" si="7"/>
        <v>0</v>
      </c>
      <c r="H43">
        <f t="shared" si="7"/>
        <v>0</v>
      </c>
      <c r="I43">
        <f t="shared" si="7"/>
        <v>0</v>
      </c>
      <c r="J43">
        <f t="shared" si="7"/>
        <v>0</v>
      </c>
      <c r="K43" t="e">
        <f t="shared" si="12"/>
        <v>#VALUE!</v>
      </c>
      <c r="L43" t="e">
        <f t="shared" si="12"/>
        <v>#VALUE!</v>
      </c>
      <c r="M43" t="e">
        <f t="shared" ref="M43:N58" si="16">IF(IF((M$3*10^12-$A44)*(M$3*10^12-$A43)*-1&lt;0,0,1)*IF(ABS(M$3*10^12-$A44)&gt;(M$3*10^12-$A43),$A43,$A44)=M44,0,IF((M$3*10^12-$A44)*(M$3*10^12-$A43)*-1&lt;0,0,1)*IF(ABS(M$3*10^12-$A44)&gt;(M$3*10^12-$A43),$A43,$A44))</f>
        <v>#VALUE!</v>
      </c>
      <c r="N43" t="e">
        <f t="shared" si="16"/>
        <v>#VALUE!</v>
      </c>
    </row>
    <row r="44" spans="1:20" x14ac:dyDescent="0.2">
      <c r="A44">
        <f t="shared" si="14"/>
        <v>680</v>
      </c>
      <c r="B44">
        <f t="shared" si="2"/>
        <v>0</v>
      </c>
      <c r="C44">
        <f t="shared" si="15"/>
        <v>0</v>
      </c>
      <c r="D44">
        <f t="shared" si="4"/>
        <v>0</v>
      </c>
      <c r="E44">
        <f t="shared" si="5"/>
        <v>0</v>
      </c>
      <c r="F44">
        <f t="shared" si="6"/>
        <v>0</v>
      </c>
      <c r="G44">
        <f t="shared" si="7"/>
        <v>0</v>
      </c>
      <c r="H44">
        <f t="shared" si="7"/>
        <v>0</v>
      </c>
      <c r="I44">
        <f t="shared" si="7"/>
        <v>0</v>
      </c>
      <c r="J44">
        <f t="shared" si="7"/>
        <v>0</v>
      </c>
      <c r="K44" t="e">
        <f t="shared" si="12"/>
        <v>#VALUE!</v>
      </c>
      <c r="L44" t="e">
        <f t="shared" si="12"/>
        <v>#VALUE!</v>
      </c>
      <c r="M44" t="e">
        <f t="shared" si="16"/>
        <v>#VALUE!</v>
      </c>
      <c r="N44" t="e">
        <f t="shared" si="16"/>
        <v>#VALUE!</v>
      </c>
    </row>
    <row r="45" spans="1:20" x14ac:dyDescent="0.2">
      <c r="A45">
        <f>A33*10</f>
        <v>820</v>
      </c>
      <c r="B45">
        <f t="shared" si="2"/>
        <v>0</v>
      </c>
      <c r="C45">
        <f t="shared" si="15"/>
        <v>0</v>
      </c>
      <c r="D45">
        <f t="shared" si="4"/>
        <v>0</v>
      </c>
      <c r="E45">
        <f t="shared" si="5"/>
        <v>0</v>
      </c>
      <c r="F45">
        <f t="shared" si="6"/>
        <v>0</v>
      </c>
      <c r="G45">
        <f t="shared" si="7"/>
        <v>0</v>
      </c>
      <c r="H45">
        <f t="shared" si="7"/>
        <v>0</v>
      </c>
      <c r="I45">
        <f t="shared" si="7"/>
        <v>0</v>
      </c>
      <c r="J45">
        <f t="shared" si="7"/>
        <v>0</v>
      </c>
      <c r="K45" t="e">
        <f t="shared" si="12"/>
        <v>#VALUE!</v>
      </c>
      <c r="L45" t="e">
        <f t="shared" si="12"/>
        <v>#VALUE!</v>
      </c>
      <c r="M45" t="e">
        <f t="shared" si="16"/>
        <v>#VALUE!</v>
      </c>
      <c r="N45" t="e">
        <f t="shared" si="16"/>
        <v>#VALUE!</v>
      </c>
    </row>
    <row r="46" spans="1:20" x14ac:dyDescent="0.2">
      <c r="A46">
        <f t="shared" si="14"/>
        <v>1000</v>
      </c>
      <c r="B46">
        <f t="shared" si="2"/>
        <v>0</v>
      </c>
      <c r="C46">
        <f t="shared" si="15"/>
        <v>0</v>
      </c>
      <c r="D46">
        <f t="shared" si="4"/>
        <v>0</v>
      </c>
      <c r="E46">
        <f t="shared" si="5"/>
        <v>0</v>
      </c>
      <c r="F46">
        <f t="shared" si="6"/>
        <v>0</v>
      </c>
      <c r="G46">
        <f t="shared" si="7"/>
        <v>0</v>
      </c>
      <c r="H46">
        <f t="shared" si="7"/>
        <v>0</v>
      </c>
      <c r="I46">
        <f t="shared" si="7"/>
        <v>0</v>
      </c>
      <c r="J46">
        <f t="shared" si="7"/>
        <v>0</v>
      </c>
      <c r="K46" t="e">
        <f t="shared" si="12"/>
        <v>#VALUE!</v>
      </c>
      <c r="L46" t="e">
        <f t="shared" si="12"/>
        <v>#VALUE!</v>
      </c>
      <c r="M46" t="e">
        <f t="shared" si="16"/>
        <v>#VALUE!</v>
      </c>
      <c r="N46" t="e">
        <f t="shared" si="16"/>
        <v>#VALUE!</v>
      </c>
    </row>
    <row r="47" spans="1:20" x14ac:dyDescent="0.2">
      <c r="A47">
        <f t="shared" si="14"/>
        <v>1200</v>
      </c>
      <c r="B47">
        <f t="shared" si="2"/>
        <v>0</v>
      </c>
      <c r="C47">
        <f t="shared" si="15"/>
        <v>0</v>
      </c>
      <c r="D47">
        <f t="shared" si="4"/>
        <v>0</v>
      </c>
      <c r="E47">
        <f t="shared" si="5"/>
        <v>0</v>
      </c>
      <c r="F47">
        <f t="shared" si="6"/>
        <v>0</v>
      </c>
      <c r="G47">
        <f t="shared" si="7"/>
        <v>0</v>
      </c>
      <c r="H47">
        <f t="shared" si="7"/>
        <v>0</v>
      </c>
      <c r="I47">
        <f t="shared" si="7"/>
        <v>0</v>
      </c>
      <c r="J47">
        <f t="shared" si="7"/>
        <v>0</v>
      </c>
      <c r="K47" t="e">
        <f t="shared" si="12"/>
        <v>#VALUE!</v>
      </c>
      <c r="L47" t="e">
        <f t="shared" si="12"/>
        <v>#VALUE!</v>
      </c>
      <c r="M47" t="e">
        <f t="shared" si="16"/>
        <v>#VALUE!</v>
      </c>
      <c r="N47" t="e">
        <f t="shared" si="16"/>
        <v>#VALUE!</v>
      </c>
    </row>
    <row r="48" spans="1:20" x14ac:dyDescent="0.2">
      <c r="A48">
        <f t="shared" si="14"/>
        <v>1500</v>
      </c>
      <c r="B48">
        <f t="shared" si="2"/>
        <v>0</v>
      </c>
      <c r="C48">
        <f t="shared" si="15"/>
        <v>0</v>
      </c>
      <c r="D48">
        <f t="shared" si="4"/>
        <v>0</v>
      </c>
      <c r="E48">
        <f t="shared" si="5"/>
        <v>0</v>
      </c>
      <c r="F48">
        <f t="shared" si="6"/>
        <v>0</v>
      </c>
      <c r="G48">
        <f t="shared" si="7"/>
        <v>0</v>
      </c>
      <c r="H48">
        <f t="shared" si="7"/>
        <v>0</v>
      </c>
      <c r="I48">
        <f t="shared" si="7"/>
        <v>0</v>
      </c>
      <c r="J48">
        <f t="shared" si="7"/>
        <v>0</v>
      </c>
      <c r="K48" t="e">
        <f t="shared" si="12"/>
        <v>#VALUE!</v>
      </c>
      <c r="L48" t="e">
        <f t="shared" si="12"/>
        <v>#VALUE!</v>
      </c>
      <c r="M48" t="e">
        <f t="shared" si="16"/>
        <v>#VALUE!</v>
      </c>
      <c r="N48" t="e">
        <f t="shared" si="16"/>
        <v>#VALUE!</v>
      </c>
    </row>
    <row r="49" spans="1:14" x14ac:dyDescent="0.2">
      <c r="A49">
        <f t="shared" si="14"/>
        <v>1800</v>
      </c>
      <c r="B49">
        <f t="shared" si="2"/>
        <v>0</v>
      </c>
      <c r="C49">
        <f t="shared" si="15"/>
        <v>0</v>
      </c>
      <c r="D49">
        <f t="shared" si="4"/>
        <v>0</v>
      </c>
      <c r="E49">
        <f t="shared" si="5"/>
        <v>0</v>
      </c>
      <c r="F49">
        <f t="shared" si="6"/>
        <v>0</v>
      </c>
      <c r="G49">
        <f t="shared" si="7"/>
        <v>0</v>
      </c>
      <c r="H49">
        <f t="shared" si="7"/>
        <v>2200</v>
      </c>
      <c r="I49">
        <f t="shared" si="7"/>
        <v>0</v>
      </c>
      <c r="J49">
        <f t="shared" si="7"/>
        <v>0</v>
      </c>
      <c r="K49" t="e">
        <f t="shared" si="12"/>
        <v>#VALUE!</v>
      </c>
      <c r="L49" t="e">
        <f t="shared" si="12"/>
        <v>#VALUE!</v>
      </c>
      <c r="M49" t="e">
        <f t="shared" si="16"/>
        <v>#VALUE!</v>
      </c>
      <c r="N49" t="e">
        <f t="shared" si="16"/>
        <v>#VALUE!</v>
      </c>
    </row>
    <row r="50" spans="1:14" x14ac:dyDescent="0.2">
      <c r="A50">
        <f t="shared" si="14"/>
        <v>2200</v>
      </c>
      <c r="B50">
        <f t="shared" si="2"/>
        <v>0</v>
      </c>
      <c r="C50">
        <f t="shared" si="15"/>
        <v>0</v>
      </c>
      <c r="D50">
        <f t="shared" si="4"/>
        <v>0</v>
      </c>
      <c r="E50">
        <f t="shared" si="5"/>
        <v>0</v>
      </c>
      <c r="F50">
        <f t="shared" si="6"/>
        <v>0</v>
      </c>
      <c r="G50">
        <f t="shared" si="7"/>
        <v>0</v>
      </c>
      <c r="H50">
        <f t="shared" si="7"/>
        <v>0</v>
      </c>
      <c r="I50">
        <f t="shared" si="7"/>
        <v>0</v>
      </c>
      <c r="J50">
        <f t="shared" si="7"/>
        <v>0</v>
      </c>
      <c r="K50" t="e">
        <f t="shared" si="12"/>
        <v>#VALUE!</v>
      </c>
      <c r="L50" t="e">
        <f t="shared" si="12"/>
        <v>#VALUE!</v>
      </c>
      <c r="M50" t="e">
        <f t="shared" si="16"/>
        <v>#VALUE!</v>
      </c>
      <c r="N50" t="e">
        <f t="shared" si="16"/>
        <v>#VALUE!</v>
      </c>
    </row>
    <row r="51" spans="1:14" x14ac:dyDescent="0.2">
      <c r="A51">
        <f t="shared" si="14"/>
        <v>2700</v>
      </c>
      <c r="B51">
        <f t="shared" si="2"/>
        <v>0</v>
      </c>
      <c r="C51">
        <f t="shared" si="15"/>
        <v>3300</v>
      </c>
      <c r="D51">
        <f t="shared" si="4"/>
        <v>0</v>
      </c>
      <c r="E51">
        <f t="shared" si="5"/>
        <v>0</v>
      </c>
      <c r="F51">
        <f t="shared" si="6"/>
        <v>0</v>
      </c>
      <c r="G51">
        <f t="shared" si="7"/>
        <v>0</v>
      </c>
      <c r="H51">
        <f t="shared" si="7"/>
        <v>0</v>
      </c>
      <c r="I51">
        <f t="shared" si="7"/>
        <v>0</v>
      </c>
      <c r="J51">
        <f t="shared" si="7"/>
        <v>0</v>
      </c>
      <c r="K51" t="e">
        <f t="shared" si="12"/>
        <v>#VALUE!</v>
      </c>
      <c r="L51" t="e">
        <f t="shared" si="12"/>
        <v>#VALUE!</v>
      </c>
      <c r="M51" t="e">
        <f t="shared" si="16"/>
        <v>#VALUE!</v>
      </c>
      <c r="N51" t="e">
        <f t="shared" si="16"/>
        <v>#VALUE!</v>
      </c>
    </row>
    <row r="52" spans="1:14" x14ac:dyDescent="0.2">
      <c r="A52">
        <f t="shared" si="14"/>
        <v>3300</v>
      </c>
      <c r="B52">
        <f t="shared" si="2"/>
        <v>0</v>
      </c>
      <c r="C52">
        <f t="shared" si="15"/>
        <v>0</v>
      </c>
      <c r="D52">
        <f t="shared" si="4"/>
        <v>0</v>
      </c>
      <c r="E52">
        <f t="shared" si="5"/>
        <v>0</v>
      </c>
      <c r="F52">
        <f t="shared" si="6"/>
        <v>0</v>
      </c>
      <c r="G52">
        <f t="shared" si="7"/>
        <v>0</v>
      </c>
      <c r="H52">
        <f t="shared" si="7"/>
        <v>0</v>
      </c>
      <c r="I52">
        <f t="shared" si="7"/>
        <v>0</v>
      </c>
      <c r="J52">
        <f t="shared" si="7"/>
        <v>0</v>
      </c>
      <c r="K52" t="e">
        <f t="shared" si="12"/>
        <v>#VALUE!</v>
      </c>
      <c r="L52" t="e">
        <f t="shared" si="12"/>
        <v>#VALUE!</v>
      </c>
      <c r="M52" t="e">
        <f t="shared" si="16"/>
        <v>#VALUE!</v>
      </c>
      <c r="N52" t="e">
        <f t="shared" si="16"/>
        <v>#VALUE!</v>
      </c>
    </row>
    <row r="53" spans="1:14" x14ac:dyDescent="0.2">
      <c r="A53">
        <f t="shared" si="14"/>
        <v>3900</v>
      </c>
      <c r="B53">
        <f t="shared" si="2"/>
        <v>0</v>
      </c>
      <c r="C53">
        <f t="shared" si="15"/>
        <v>0</v>
      </c>
      <c r="D53">
        <f t="shared" si="4"/>
        <v>0</v>
      </c>
      <c r="E53">
        <f t="shared" si="5"/>
        <v>0</v>
      </c>
      <c r="F53">
        <f t="shared" si="6"/>
        <v>0</v>
      </c>
      <c r="G53">
        <f t="shared" si="7"/>
        <v>0</v>
      </c>
      <c r="H53">
        <f t="shared" si="7"/>
        <v>0</v>
      </c>
      <c r="I53">
        <f t="shared" si="7"/>
        <v>0</v>
      </c>
      <c r="J53">
        <f t="shared" si="7"/>
        <v>0</v>
      </c>
      <c r="K53" t="e">
        <f t="shared" si="12"/>
        <v>#VALUE!</v>
      </c>
      <c r="L53" t="e">
        <f t="shared" si="12"/>
        <v>#VALUE!</v>
      </c>
      <c r="M53" t="e">
        <f t="shared" si="16"/>
        <v>#VALUE!</v>
      </c>
      <c r="N53" t="e">
        <f t="shared" si="16"/>
        <v>#VALUE!</v>
      </c>
    </row>
    <row r="54" spans="1:14" x14ac:dyDescent="0.2">
      <c r="A54">
        <f t="shared" si="14"/>
        <v>4700</v>
      </c>
      <c r="B54">
        <f t="shared" si="2"/>
        <v>0</v>
      </c>
      <c r="C54">
        <f t="shared" si="15"/>
        <v>0</v>
      </c>
      <c r="D54">
        <f t="shared" si="4"/>
        <v>0</v>
      </c>
      <c r="E54">
        <f t="shared" si="5"/>
        <v>0</v>
      </c>
      <c r="F54">
        <f t="shared" si="6"/>
        <v>0</v>
      </c>
      <c r="G54">
        <f t="shared" si="7"/>
        <v>0</v>
      </c>
      <c r="H54">
        <f t="shared" si="7"/>
        <v>0</v>
      </c>
      <c r="I54">
        <f t="shared" si="7"/>
        <v>0</v>
      </c>
      <c r="J54">
        <f t="shared" si="7"/>
        <v>0</v>
      </c>
      <c r="K54" t="e">
        <f t="shared" si="12"/>
        <v>#VALUE!</v>
      </c>
      <c r="L54" t="e">
        <f t="shared" si="12"/>
        <v>#VALUE!</v>
      </c>
      <c r="M54" t="e">
        <f t="shared" si="16"/>
        <v>#VALUE!</v>
      </c>
      <c r="N54" t="e">
        <f t="shared" si="16"/>
        <v>#VALUE!</v>
      </c>
    </row>
    <row r="55" spans="1:14" x14ac:dyDescent="0.2">
      <c r="A55">
        <f t="shared" si="14"/>
        <v>5600</v>
      </c>
      <c r="B55">
        <f t="shared" si="2"/>
        <v>0</v>
      </c>
      <c r="C55">
        <f t="shared" si="15"/>
        <v>0</v>
      </c>
      <c r="D55">
        <f t="shared" si="4"/>
        <v>0</v>
      </c>
      <c r="E55">
        <f t="shared" si="5"/>
        <v>0</v>
      </c>
      <c r="F55">
        <f t="shared" si="6"/>
        <v>0</v>
      </c>
      <c r="G55">
        <f t="shared" si="7"/>
        <v>0</v>
      </c>
      <c r="H55">
        <f t="shared" si="7"/>
        <v>0</v>
      </c>
      <c r="I55">
        <f t="shared" si="7"/>
        <v>0</v>
      </c>
      <c r="J55">
        <f t="shared" si="7"/>
        <v>0</v>
      </c>
      <c r="K55" t="e">
        <f t="shared" si="12"/>
        <v>#VALUE!</v>
      </c>
      <c r="L55" t="e">
        <f t="shared" si="12"/>
        <v>#VALUE!</v>
      </c>
      <c r="M55" t="e">
        <f t="shared" si="16"/>
        <v>#VALUE!</v>
      </c>
      <c r="N55" t="e">
        <f t="shared" si="16"/>
        <v>#VALUE!</v>
      </c>
    </row>
    <row r="56" spans="1:14" x14ac:dyDescent="0.2">
      <c r="A56">
        <f t="shared" si="14"/>
        <v>6800</v>
      </c>
      <c r="B56">
        <f t="shared" si="2"/>
        <v>0</v>
      </c>
      <c r="C56">
        <f t="shared" si="15"/>
        <v>0</v>
      </c>
      <c r="D56">
        <f t="shared" si="4"/>
        <v>0</v>
      </c>
      <c r="E56">
        <f t="shared" si="5"/>
        <v>0</v>
      </c>
      <c r="F56">
        <f t="shared" si="6"/>
        <v>0</v>
      </c>
      <c r="G56">
        <f t="shared" si="7"/>
        <v>0</v>
      </c>
      <c r="H56">
        <f t="shared" si="7"/>
        <v>0</v>
      </c>
      <c r="I56">
        <f t="shared" si="7"/>
        <v>0</v>
      </c>
      <c r="J56">
        <f t="shared" si="7"/>
        <v>0</v>
      </c>
      <c r="K56" t="e">
        <f t="shared" si="12"/>
        <v>#VALUE!</v>
      </c>
      <c r="L56" t="e">
        <f t="shared" si="12"/>
        <v>#VALUE!</v>
      </c>
      <c r="M56" t="e">
        <f t="shared" si="16"/>
        <v>#VALUE!</v>
      </c>
      <c r="N56" t="e">
        <f t="shared" si="16"/>
        <v>#VALUE!</v>
      </c>
    </row>
    <row r="57" spans="1:14" x14ac:dyDescent="0.2">
      <c r="A57">
        <f t="shared" si="14"/>
        <v>8200</v>
      </c>
      <c r="B57">
        <f t="shared" si="2"/>
        <v>0</v>
      </c>
      <c r="C57">
        <f t="shared" si="15"/>
        <v>0</v>
      </c>
      <c r="D57">
        <f t="shared" si="4"/>
        <v>0</v>
      </c>
      <c r="E57">
        <f t="shared" si="5"/>
        <v>0</v>
      </c>
      <c r="F57">
        <f t="shared" si="6"/>
        <v>0</v>
      </c>
      <c r="G57">
        <f t="shared" si="7"/>
        <v>0</v>
      </c>
      <c r="H57">
        <f t="shared" si="7"/>
        <v>0</v>
      </c>
      <c r="I57">
        <f t="shared" si="7"/>
        <v>0</v>
      </c>
      <c r="J57">
        <f t="shared" si="7"/>
        <v>0</v>
      </c>
      <c r="K57" t="e">
        <f t="shared" si="12"/>
        <v>#VALUE!</v>
      </c>
      <c r="L57" t="e">
        <f t="shared" si="12"/>
        <v>#VALUE!</v>
      </c>
      <c r="M57" t="e">
        <f t="shared" si="16"/>
        <v>#VALUE!</v>
      </c>
      <c r="N57" t="e">
        <f t="shared" si="16"/>
        <v>#VALUE!</v>
      </c>
    </row>
    <row r="58" spans="1:14" x14ac:dyDescent="0.2">
      <c r="A58">
        <f t="shared" si="14"/>
        <v>10000</v>
      </c>
      <c r="B58">
        <f t="shared" si="2"/>
        <v>0</v>
      </c>
      <c r="C58">
        <f t="shared" si="15"/>
        <v>0</v>
      </c>
      <c r="D58">
        <f t="shared" si="4"/>
        <v>0</v>
      </c>
      <c r="E58">
        <f t="shared" si="5"/>
        <v>0</v>
      </c>
      <c r="F58">
        <f t="shared" si="6"/>
        <v>0</v>
      </c>
      <c r="G58">
        <f t="shared" si="7"/>
        <v>0</v>
      </c>
      <c r="H58">
        <f t="shared" si="7"/>
        <v>0</v>
      </c>
      <c r="I58">
        <f t="shared" si="7"/>
        <v>0</v>
      </c>
      <c r="J58">
        <f t="shared" si="7"/>
        <v>0</v>
      </c>
      <c r="K58" t="e">
        <f t="shared" si="12"/>
        <v>#VALUE!</v>
      </c>
      <c r="L58" t="e">
        <f t="shared" si="12"/>
        <v>#VALUE!</v>
      </c>
      <c r="M58" t="e">
        <f t="shared" si="16"/>
        <v>#VALUE!</v>
      </c>
      <c r="N58" t="e">
        <f t="shared" si="16"/>
        <v>#VALUE!</v>
      </c>
    </row>
    <row r="59" spans="1:14" x14ac:dyDescent="0.2">
      <c r="A59">
        <f t="shared" si="14"/>
        <v>12000</v>
      </c>
      <c r="B59">
        <f t="shared" si="2"/>
        <v>0</v>
      </c>
      <c r="C59">
        <f t="shared" si="15"/>
        <v>0</v>
      </c>
      <c r="D59">
        <f t="shared" si="4"/>
        <v>0</v>
      </c>
      <c r="E59">
        <f t="shared" si="5"/>
        <v>0</v>
      </c>
      <c r="F59">
        <f t="shared" si="6"/>
        <v>0</v>
      </c>
      <c r="G59">
        <f t="shared" si="7"/>
        <v>0</v>
      </c>
      <c r="H59">
        <f t="shared" si="7"/>
        <v>0</v>
      </c>
      <c r="I59">
        <f t="shared" si="7"/>
        <v>0</v>
      </c>
      <c r="J59">
        <f t="shared" si="7"/>
        <v>0</v>
      </c>
      <c r="K59" t="e">
        <f t="shared" si="12"/>
        <v>#VALUE!</v>
      </c>
      <c r="L59" t="e">
        <f t="shared" si="12"/>
        <v>#VALUE!</v>
      </c>
      <c r="M59" t="e">
        <f t="shared" ref="M59:N68" si="17">IF(IF((M$3*10^12-$A60)*(M$3*10^12-$A59)*-1&lt;0,0,1)*IF(ABS(M$3*10^12-$A60)&gt;(M$3*10^12-$A59),$A59,$A60)=M60,0,IF((M$3*10^12-$A60)*(M$3*10^12-$A59)*-1&lt;0,0,1)*IF(ABS(M$3*10^12-$A60)&gt;(M$3*10^12-$A59),$A59,$A60))</f>
        <v>#VALUE!</v>
      </c>
      <c r="N59" t="e">
        <f t="shared" si="17"/>
        <v>#VALUE!</v>
      </c>
    </row>
    <row r="60" spans="1:14" x14ac:dyDescent="0.2">
      <c r="A60">
        <f t="shared" si="14"/>
        <v>15000</v>
      </c>
      <c r="B60">
        <f t="shared" si="2"/>
        <v>0</v>
      </c>
      <c r="C60">
        <f t="shared" si="15"/>
        <v>0</v>
      </c>
      <c r="D60">
        <f t="shared" si="4"/>
        <v>0</v>
      </c>
      <c r="E60">
        <f t="shared" si="5"/>
        <v>0</v>
      </c>
      <c r="F60">
        <f t="shared" si="6"/>
        <v>0</v>
      </c>
      <c r="G60">
        <f t="shared" si="7"/>
        <v>0</v>
      </c>
      <c r="H60">
        <f t="shared" si="7"/>
        <v>0</v>
      </c>
      <c r="I60">
        <f t="shared" si="7"/>
        <v>0</v>
      </c>
      <c r="J60">
        <f t="shared" si="7"/>
        <v>0</v>
      </c>
      <c r="K60" t="e">
        <f t="shared" si="12"/>
        <v>#VALUE!</v>
      </c>
      <c r="L60" t="e">
        <f t="shared" si="12"/>
        <v>#VALUE!</v>
      </c>
      <c r="M60" t="e">
        <f t="shared" si="17"/>
        <v>#VALUE!</v>
      </c>
      <c r="N60" t="e">
        <f t="shared" si="17"/>
        <v>#VALUE!</v>
      </c>
    </row>
    <row r="61" spans="1:14" x14ac:dyDescent="0.2">
      <c r="A61">
        <f t="shared" si="14"/>
        <v>18000</v>
      </c>
      <c r="B61">
        <f t="shared" si="2"/>
        <v>0</v>
      </c>
      <c r="C61">
        <f t="shared" si="15"/>
        <v>0</v>
      </c>
      <c r="D61">
        <f t="shared" si="4"/>
        <v>0</v>
      </c>
      <c r="E61">
        <f t="shared" si="5"/>
        <v>0</v>
      </c>
      <c r="F61">
        <f t="shared" si="6"/>
        <v>0</v>
      </c>
      <c r="G61">
        <f t="shared" si="7"/>
        <v>0</v>
      </c>
      <c r="H61">
        <f t="shared" si="7"/>
        <v>0</v>
      </c>
      <c r="I61">
        <f t="shared" si="7"/>
        <v>0</v>
      </c>
      <c r="J61">
        <f t="shared" si="7"/>
        <v>0</v>
      </c>
      <c r="K61" t="e">
        <f t="shared" si="12"/>
        <v>#VALUE!</v>
      </c>
      <c r="L61" t="e">
        <f t="shared" si="12"/>
        <v>#VALUE!</v>
      </c>
      <c r="M61" t="e">
        <f t="shared" si="17"/>
        <v>#VALUE!</v>
      </c>
      <c r="N61" t="e">
        <f t="shared" si="17"/>
        <v>#VALUE!</v>
      </c>
    </row>
    <row r="62" spans="1:14" x14ac:dyDescent="0.2">
      <c r="A62">
        <f t="shared" si="14"/>
        <v>22000</v>
      </c>
      <c r="B62">
        <f t="shared" si="2"/>
        <v>0</v>
      </c>
      <c r="C62">
        <f t="shared" si="15"/>
        <v>0</v>
      </c>
      <c r="D62">
        <f t="shared" si="4"/>
        <v>0</v>
      </c>
      <c r="E62">
        <f t="shared" si="5"/>
        <v>0</v>
      </c>
      <c r="F62">
        <f t="shared" si="6"/>
        <v>0</v>
      </c>
      <c r="G62">
        <f t="shared" si="7"/>
        <v>0</v>
      </c>
      <c r="H62">
        <f t="shared" si="7"/>
        <v>0</v>
      </c>
      <c r="I62">
        <f t="shared" si="7"/>
        <v>0</v>
      </c>
      <c r="J62">
        <f t="shared" si="7"/>
        <v>0</v>
      </c>
      <c r="K62" t="e">
        <f t="shared" si="12"/>
        <v>#VALUE!</v>
      </c>
      <c r="L62" t="e">
        <f t="shared" si="12"/>
        <v>#VALUE!</v>
      </c>
      <c r="M62" t="e">
        <f t="shared" si="17"/>
        <v>#VALUE!</v>
      </c>
      <c r="N62" t="e">
        <f t="shared" si="17"/>
        <v>#VALUE!</v>
      </c>
    </row>
    <row r="63" spans="1:14" x14ac:dyDescent="0.2">
      <c r="A63">
        <f t="shared" si="14"/>
        <v>27000</v>
      </c>
      <c r="B63">
        <f t="shared" si="2"/>
        <v>0</v>
      </c>
      <c r="C63">
        <f t="shared" si="15"/>
        <v>0</v>
      </c>
      <c r="D63">
        <f t="shared" si="4"/>
        <v>0</v>
      </c>
      <c r="E63">
        <f t="shared" si="5"/>
        <v>0</v>
      </c>
      <c r="F63">
        <f t="shared" si="6"/>
        <v>0</v>
      </c>
      <c r="G63">
        <f t="shared" si="7"/>
        <v>0</v>
      </c>
      <c r="H63">
        <f t="shared" si="7"/>
        <v>0</v>
      </c>
      <c r="I63">
        <f t="shared" si="7"/>
        <v>0</v>
      </c>
      <c r="J63">
        <f t="shared" si="7"/>
        <v>0</v>
      </c>
      <c r="K63" t="e">
        <f t="shared" si="12"/>
        <v>#VALUE!</v>
      </c>
      <c r="L63" t="e">
        <f t="shared" si="12"/>
        <v>#VALUE!</v>
      </c>
      <c r="M63" t="e">
        <f t="shared" si="17"/>
        <v>#VALUE!</v>
      </c>
      <c r="N63" t="e">
        <f t="shared" si="17"/>
        <v>#VALUE!</v>
      </c>
    </row>
    <row r="64" spans="1:14" x14ac:dyDescent="0.2">
      <c r="A64">
        <f t="shared" si="14"/>
        <v>33000</v>
      </c>
      <c r="B64">
        <f t="shared" si="2"/>
        <v>0</v>
      </c>
      <c r="C64">
        <f t="shared" si="15"/>
        <v>0</v>
      </c>
      <c r="D64">
        <f t="shared" si="4"/>
        <v>0</v>
      </c>
      <c r="E64">
        <f t="shared" si="5"/>
        <v>0</v>
      </c>
      <c r="F64">
        <f t="shared" si="6"/>
        <v>0</v>
      </c>
      <c r="G64">
        <f t="shared" si="7"/>
        <v>0</v>
      </c>
      <c r="H64">
        <f t="shared" si="7"/>
        <v>0</v>
      </c>
      <c r="I64">
        <f t="shared" si="7"/>
        <v>0</v>
      </c>
      <c r="J64">
        <f t="shared" si="7"/>
        <v>0</v>
      </c>
      <c r="K64" t="e">
        <f t="shared" si="12"/>
        <v>#VALUE!</v>
      </c>
      <c r="L64" t="e">
        <f t="shared" si="12"/>
        <v>#VALUE!</v>
      </c>
      <c r="M64" t="e">
        <f t="shared" si="17"/>
        <v>#VALUE!</v>
      </c>
      <c r="N64" t="e">
        <f t="shared" si="17"/>
        <v>#VALUE!</v>
      </c>
    </row>
    <row r="65" spans="1:14" x14ac:dyDescent="0.2">
      <c r="A65">
        <f t="shared" si="14"/>
        <v>39000</v>
      </c>
      <c r="B65">
        <f t="shared" si="2"/>
        <v>0</v>
      </c>
      <c r="C65">
        <f t="shared" si="15"/>
        <v>0</v>
      </c>
      <c r="D65">
        <f t="shared" si="4"/>
        <v>0</v>
      </c>
      <c r="E65">
        <f t="shared" si="5"/>
        <v>0</v>
      </c>
      <c r="F65">
        <f t="shared" si="6"/>
        <v>0</v>
      </c>
      <c r="G65">
        <f t="shared" si="7"/>
        <v>0</v>
      </c>
      <c r="H65">
        <f t="shared" si="7"/>
        <v>0</v>
      </c>
      <c r="I65">
        <f t="shared" si="7"/>
        <v>0</v>
      </c>
      <c r="J65">
        <f t="shared" si="7"/>
        <v>0</v>
      </c>
      <c r="K65" t="e">
        <f t="shared" si="12"/>
        <v>#VALUE!</v>
      </c>
      <c r="L65" t="e">
        <f t="shared" si="12"/>
        <v>#VALUE!</v>
      </c>
      <c r="M65" t="e">
        <f t="shared" si="17"/>
        <v>#VALUE!</v>
      </c>
      <c r="N65" t="e">
        <f t="shared" si="17"/>
        <v>#VALUE!</v>
      </c>
    </row>
    <row r="66" spans="1:14" x14ac:dyDescent="0.2">
      <c r="A66">
        <f t="shared" si="14"/>
        <v>47000</v>
      </c>
      <c r="B66">
        <f t="shared" si="2"/>
        <v>0</v>
      </c>
      <c r="C66">
        <f t="shared" si="15"/>
        <v>0</v>
      </c>
      <c r="D66">
        <f t="shared" si="4"/>
        <v>0</v>
      </c>
      <c r="E66">
        <f t="shared" si="5"/>
        <v>0</v>
      </c>
      <c r="F66">
        <f t="shared" si="6"/>
        <v>0</v>
      </c>
      <c r="G66">
        <f t="shared" si="7"/>
        <v>0</v>
      </c>
      <c r="H66">
        <f t="shared" si="7"/>
        <v>0</v>
      </c>
      <c r="I66">
        <f t="shared" si="7"/>
        <v>0</v>
      </c>
      <c r="J66">
        <f t="shared" si="7"/>
        <v>0</v>
      </c>
      <c r="K66" t="e">
        <f t="shared" si="12"/>
        <v>#VALUE!</v>
      </c>
      <c r="L66" t="e">
        <f t="shared" si="12"/>
        <v>#VALUE!</v>
      </c>
      <c r="M66" t="e">
        <f t="shared" si="17"/>
        <v>#VALUE!</v>
      </c>
      <c r="N66" t="e">
        <f t="shared" si="17"/>
        <v>#VALUE!</v>
      </c>
    </row>
    <row r="67" spans="1:14" x14ac:dyDescent="0.2">
      <c r="A67">
        <f t="shared" si="14"/>
        <v>56000</v>
      </c>
      <c r="B67">
        <f t="shared" si="2"/>
        <v>0</v>
      </c>
      <c r="C67">
        <f t="shared" si="15"/>
        <v>0</v>
      </c>
      <c r="D67">
        <f t="shared" si="4"/>
        <v>0</v>
      </c>
      <c r="E67">
        <f t="shared" si="5"/>
        <v>0</v>
      </c>
      <c r="F67">
        <f t="shared" si="6"/>
        <v>0</v>
      </c>
      <c r="G67">
        <f t="shared" si="7"/>
        <v>0</v>
      </c>
      <c r="H67">
        <f t="shared" si="7"/>
        <v>0</v>
      </c>
      <c r="I67">
        <f t="shared" si="7"/>
        <v>0</v>
      </c>
      <c r="J67">
        <f t="shared" si="7"/>
        <v>0</v>
      </c>
      <c r="K67" t="e">
        <f t="shared" si="12"/>
        <v>#VALUE!</v>
      </c>
      <c r="L67" t="e">
        <f t="shared" si="12"/>
        <v>#VALUE!</v>
      </c>
      <c r="M67" t="e">
        <f t="shared" si="17"/>
        <v>#VALUE!</v>
      </c>
      <c r="N67" t="e">
        <f t="shared" si="17"/>
        <v>#VALUE!</v>
      </c>
    </row>
    <row r="68" spans="1:14" x14ac:dyDescent="0.2">
      <c r="A68">
        <f t="shared" si="14"/>
        <v>68000</v>
      </c>
      <c r="B68">
        <f t="shared" si="2"/>
        <v>0</v>
      </c>
      <c r="C68">
        <f t="shared" si="15"/>
        <v>0</v>
      </c>
      <c r="D68">
        <f t="shared" si="4"/>
        <v>0</v>
      </c>
      <c r="E68">
        <f t="shared" si="5"/>
        <v>0</v>
      </c>
      <c r="F68">
        <f t="shared" si="6"/>
        <v>0</v>
      </c>
      <c r="G68">
        <f t="shared" si="7"/>
        <v>0</v>
      </c>
      <c r="H68">
        <f t="shared" si="7"/>
        <v>0</v>
      </c>
      <c r="I68">
        <f t="shared" si="7"/>
        <v>0</v>
      </c>
      <c r="J68">
        <f t="shared" si="7"/>
        <v>0</v>
      </c>
      <c r="K68" t="e">
        <f t="shared" si="12"/>
        <v>#VALUE!</v>
      </c>
      <c r="L68" t="e">
        <f t="shared" si="12"/>
        <v>#VALUE!</v>
      </c>
      <c r="M68" t="e">
        <f t="shared" si="17"/>
        <v>#VALUE!</v>
      </c>
      <c r="N68" t="e">
        <f t="shared" si="17"/>
        <v>#VALUE!</v>
      </c>
    </row>
    <row r="69" spans="1:14" x14ac:dyDescent="0.2">
      <c r="A69">
        <f t="shared" si="14"/>
        <v>82000</v>
      </c>
      <c r="B69">
        <f t="shared" si="2"/>
        <v>0</v>
      </c>
      <c r="C69">
        <f t="shared" si="15"/>
        <v>0</v>
      </c>
      <c r="D69">
        <f t="shared" si="4"/>
        <v>0</v>
      </c>
      <c r="E69">
        <f t="shared" si="5"/>
        <v>0</v>
      </c>
      <c r="F69">
        <f t="shared" si="6"/>
        <v>0</v>
      </c>
      <c r="G69">
        <f t="shared" si="7"/>
        <v>0</v>
      </c>
      <c r="H69">
        <f t="shared" si="7"/>
        <v>0</v>
      </c>
      <c r="I69">
        <f t="shared" si="7"/>
        <v>0</v>
      </c>
      <c r="J69">
        <f t="shared" ref="J69:N132" si="18">IF(IF((J$3*10^12-$A70)*(J$3*10^12-$A69)*-1&lt;0,0,1)*IF(ABS(J$3*10^12-$A70)&gt;(J$3*10^12-$A69),$A69,$A70)=J70,0,IF((J$3*10^12-$A70)*(J$3*10^12-$A69)*-1&lt;0,0,1)*IF(ABS(J$3*10^12-$A70)&gt;(J$3*10^12-$A69),$A69,$A70))</f>
        <v>0</v>
      </c>
      <c r="K69" t="e">
        <f t="shared" si="18"/>
        <v>#VALUE!</v>
      </c>
      <c r="L69" t="e">
        <f t="shared" si="12"/>
        <v>#VALUE!</v>
      </c>
      <c r="M69" t="e">
        <f t="shared" si="18"/>
        <v>#VALUE!</v>
      </c>
      <c r="N69" t="e">
        <f t="shared" si="18"/>
        <v>#VALUE!</v>
      </c>
    </row>
    <row r="70" spans="1:14" x14ac:dyDescent="0.2">
      <c r="A70">
        <f t="shared" si="14"/>
        <v>100000</v>
      </c>
      <c r="B70">
        <f t="shared" si="2"/>
        <v>0</v>
      </c>
      <c r="C70">
        <f t="shared" si="15"/>
        <v>0</v>
      </c>
      <c r="D70">
        <f t="shared" ref="D70:I70" si="19">IF(IF((D$3*10^12-$A71)*(D$3*10^12-$A70)*-1&lt;0,0,1)*IF(ABS(D$3*10^12-$A71)&gt;(D$3*10^12-$A70),$A70,$A71)=D71,0,IF((D$3*10^12-$A71)*(D$3*10^12-$A70)*-1&lt;0,0,1)*IF(ABS(D$3*10^12-$A71)&gt;(D$3*10^12-$A70),$A70,$A71))</f>
        <v>0</v>
      </c>
      <c r="E70">
        <f t="shared" si="19"/>
        <v>0</v>
      </c>
      <c r="F70">
        <f t="shared" si="19"/>
        <v>0</v>
      </c>
      <c r="G70">
        <f t="shared" si="19"/>
        <v>0</v>
      </c>
      <c r="H70">
        <f t="shared" si="19"/>
        <v>0</v>
      </c>
      <c r="I70">
        <f t="shared" si="19"/>
        <v>0</v>
      </c>
      <c r="J70">
        <f t="shared" si="18"/>
        <v>0</v>
      </c>
      <c r="K70" t="e">
        <f t="shared" si="18"/>
        <v>#VALUE!</v>
      </c>
      <c r="L70" t="e">
        <f t="shared" si="12"/>
        <v>#VALUE!</v>
      </c>
      <c r="M70" t="e">
        <f t="shared" si="18"/>
        <v>#VALUE!</v>
      </c>
      <c r="N70" t="e">
        <f t="shared" si="18"/>
        <v>#VALUE!</v>
      </c>
    </row>
    <row r="71" spans="1:14" x14ac:dyDescent="0.2">
      <c r="A71">
        <f t="shared" si="14"/>
        <v>120000</v>
      </c>
      <c r="B71">
        <f t="shared" ref="B71:B134" si="20">IF(IF((B$3*10^12-$A72)*(B$3*10^12-$A71)*-1&lt;0,0,1)*IF(ABS(B$3*10^12-$A72)&gt;(B$3*10^12-$A71),$A71,$A72)=B72,0,IF((B$3*10^12-$A72)*(B$3*10^12-$A71)*-1&lt;0,0,1)*IF(ABS(B$3*10^12-$A72)&gt;(B$3*10^12-$A71),$A71,$A72))</f>
        <v>0</v>
      </c>
      <c r="C71">
        <f t="shared" ref="C71:E134" si="21">IF(IF((C$3*10^12-$A72)*(C$3*10^12-$A71)*-1&lt;0,0,1)*IF(ABS(C$3*10^12-$A72)&gt;(C$3*10^12-$A71),$A71,$A72)=C72,0,IF((C$3*10^12-$A72)*(C$3*10^12-$A71)*-1&lt;0,0,1)*IF(ABS(C$3*10^12-$A72)&gt;(C$3*10^12-$A71),$A71,$A72))</f>
        <v>0</v>
      </c>
      <c r="D71">
        <f t="shared" si="21"/>
        <v>0</v>
      </c>
      <c r="E71">
        <f t="shared" si="21"/>
        <v>0</v>
      </c>
      <c r="F71">
        <f t="shared" ref="F71:F102" si="22">IF(IF((F$3*10^12-$A72)*(F$3*10^12-$A71)*-1&lt;0,0,1)*IF(ABS(F$3*10^12-$A72)&gt;(F$3*10^12-$A71),$A71,$A72)=F72,0,IF((F$3*10^12-$A72)*(F$3*10^12-$A71)*-1&lt;0,0,1)*IF(ABS(F$3*10^12-$A72)&gt;(F$3*10^12-$A71),$A71,$A72))</f>
        <v>0</v>
      </c>
      <c r="G71">
        <f t="shared" ref="G71:G102" si="23">IF(IF((G$3*10^12-$A72)*(G$3*10^12-$A71)*-1&lt;0,0,1)*IF(ABS(G$3*10^12-$A72)&gt;(G$3*10^12-$A71),$A71,$A72)=G72,0,IF((G$3*10^12-$A72)*(G$3*10^12-$A71)*-1&lt;0,0,1)*IF(ABS(G$3*10^12-$A72)&gt;(G$3*10^12-$A71),$A71,$A72))</f>
        <v>0</v>
      </c>
      <c r="H71">
        <f t="shared" ref="H71:H102" si="24">IF(IF((H$3*10^12-$A72)*(H$3*10^12-$A71)*-1&lt;0,0,1)*IF(ABS(H$3*10^12-$A72)&gt;(H$3*10^12-$A71),$A71,$A72)=H72,0,IF((H$3*10^12-$A72)*(H$3*10^12-$A71)*-1&lt;0,0,1)*IF(ABS(H$3*10^12-$A72)&gt;(H$3*10^12-$A71),$A71,$A72))</f>
        <v>0</v>
      </c>
      <c r="I71">
        <f t="shared" ref="I71:I102" si="25">IF(IF((I$3*10^12-$A72)*(I$3*10^12-$A71)*-1&lt;0,0,1)*IF(ABS(I$3*10^12-$A72)&gt;(I$3*10^12-$A71),$A71,$A72)=I72,0,IF((I$3*10^12-$A72)*(I$3*10^12-$A71)*-1&lt;0,0,1)*IF(ABS(I$3*10^12-$A72)&gt;(I$3*10^12-$A71),$A71,$A72))</f>
        <v>0</v>
      </c>
      <c r="J71">
        <f t="shared" si="18"/>
        <v>0</v>
      </c>
      <c r="K71" t="e">
        <f t="shared" si="18"/>
        <v>#VALUE!</v>
      </c>
      <c r="L71" t="e">
        <f t="shared" si="12"/>
        <v>#VALUE!</v>
      </c>
      <c r="M71" t="e">
        <f t="shared" si="18"/>
        <v>#VALUE!</v>
      </c>
      <c r="N71" t="e">
        <f t="shared" si="18"/>
        <v>#VALUE!</v>
      </c>
    </row>
    <row r="72" spans="1:14" x14ac:dyDescent="0.2">
      <c r="A72">
        <f t="shared" si="14"/>
        <v>150000</v>
      </c>
      <c r="B72">
        <f t="shared" si="20"/>
        <v>0</v>
      </c>
      <c r="C72">
        <f t="shared" si="21"/>
        <v>0</v>
      </c>
      <c r="D72">
        <f t="shared" si="21"/>
        <v>0</v>
      </c>
      <c r="E72">
        <f t="shared" si="21"/>
        <v>0</v>
      </c>
      <c r="F72">
        <f t="shared" si="22"/>
        <v>0</v>
      </c>
      <c r="G72">
        <f t="shared" si="23"/>
        <v>0</v>
      </c>
      <c r="H72">
        <f t="shared" si="24"/>
        <v>0</v>
      </c>
      <c r="I72">
        <f t="shared" si="25"/>
        <v>0</v>
      </c>
      <c r="J72">
        <f t="shared" si="18"/>
        <v>0</v>
      </c>
      <c r="K72" t="e">
        <f t="shared" si="18"/>
        <v>#VALUE!</v>
      </c>
      <c r="L72" t="e">
        <f t="shared" si="12"/>
        <v>#VALUE!</v>
      </c>
      <c r="M72" t="e">
        <f t="shared" si="18"/>
        <v>#VALUE!</v>
      </c>
      <c r="N72" t="e">
        <f t="shared" si="18"/>
        <v>#VALUE!</v>
      </c>
    </row>
    <row r="73" spans="1:14" x14ac:dyDescent="0.2">
      <c r="A73">
        <f t="shared" si="14"/>
        <v>180000</v>
      </c>
      <c r="B73">
        <f t="shared" si="20"/>
        <v>0</v>
      </c>
      <c r="C73">
        <f t="shared" si="21"/>
        <v>0</v>
      </c>
      <c r="D73">
        <f t="shared" si="21"/>
        <v>0</v>
      </c>
      <c r="E73">
        <f t="shared" si="21"/>
        <v>0</v>
      </c>
      <c r="F73">
        <f t="shared" si="22"/>
        <v>0</v>
      </c>
      <c r="G73">
        <f t="shared" si="23"/>
        <v>0</v>
      </c>
      <c r="H73">
        <f t="shared" si="24"/>
        <v>0</v>
      </c>
      <c r="I73">
        <f t="shared" si="25"/>
        <v>0</v>
      </c>
      <c r="J73">
        <f t="shared" si="18"/>
        <v>0</v>
      </c>
      <c r="K73" t="e">
        <f t="shared" si="18"/>
        <v>#VALUE!</v>
      </c>
      <c r="L73" t="e">
        <f t="shared" si="12"/>
        <v>#VALUE!</v>
      </c>
      <c r="M73" t="e">
        <f t="shared" si="18"/>
        <v>#VALUE!</v>
      </c>
      <c r="N73" t="e">
        <f t="shared" si="18"/>
        <v>#VALUE!</v>
      </c>
    </row>
    <row r="74" spans="1:14" x14ac:dyDescent="0.2">
      <c r="A74">
        <f t="shared" si="14"/>
        <v>220000</v>
      </c>
      <c r="B74">
        <f t="shared" si="20"/>
        <v>0</v>
      </c>
      <c r="C74">
        <f t="shared" si="21"/>
        <v>0</v>
      </c>
      <c r="D74">
        <f t="shared" si="21"/>
        <v>0</v>
      </c>
      <c r="E74">
        <f t="shared" si="21"/>
        <v>0</v>
      </c>
      <c r="F74">
        <f t="shared" si="22"/>
        <v>0</v>
      </c>
      <c r="G74">
        <f t="shared" si="23"/>
        <v>0</v>
      </c>
      <c r="H74">
        <f t="shared" si="24"/>
        <v>0</v>
      </c>
      <c r="I74">
        <f t="shared" si="25"/>
        <v>0</v>
      </c>
      <c r="J74">
        <f t="shared" si="18"/>
        <v>0</v>
      </c>
      <c r="K74" t="e">
        <f t="shared" si="18"/>
        <v>#VALUE!</v>
      </c>
      <c r="L74" t="e">
        <f t="shared" si="12"/>
        <v>#VALUE!</v>
      </c>
      <c r="M74" t="e">
        <f t="shared" si="18"/>
        <v>#VALUE!</v>
      </c>
      <c r="N74" t="e">
        <f t="shared" si="18"/>
        <v>#VALUE!</v>
      </c>
    </row>
    <row r="75" spans="1:14" x14ac:dyDescent="0.2">
      <c r="A75">
        <f t="shared" si="14"/>
        <v>270000</v>
      </c>
      <c r="B75">
        <f t="shared" si="20"/>
        <v>0</v>
      </c>
      <c r="C75">
        <f t="shared" si="21"/>
        <v>0</v>
      </c>
      <c r="D75">
        <f t="shared" si="21"/>
        <v>0</v>
      </c>
      <c r="E75">
        <f t="shared" si="21"/>
        <v>0</v>
      </c>
      <c r="F75">
        <f t="shared" si="22"/>
        <v>0</v>
      </c>
      <c r="G75">
        <f t="shared" si="23"/>
        <v>0</v>
      </c>
      <c r="H75">
        <f t="shared" si="24"/>
        <v>0</v>
      </c>
      <c r="I75">
        <f t="shared" si="25"/>
        <v>0</v>
      </c>
      <c r="J75">
        <f t="shared" si="18"/>
        <v>0</v>
      </c>
      <c r="K75" t="e">
        <f t="shared" si="18"/>
        <v>#VALUE!</v>
      </c>
      <c r="L75" t="e">
        <f t="shared" si="12"/>
        <v>#VALUE!</v>
      </c>
      <c r="M75" t="e">
        <f t="shared" si="18"/>
        <v>#VALUE!</v>
      </c>
      <c r="N75" t="e">
        <f t="shared" si="18"/>
        <v>#VALUE!</v>
      </c>
    </row>
    <row r="76" spans="1:14" x14ac:dyDescent="0.2">
      <c r="A76">
        <f t="shared" si="14"/>
        <v>330000</v>
      </c>
      <c r="B76">
        <f t="shared" si="20"/>
        <v>0</v>
      </c>
      <c r="C76">
        <f t="shared" si="21"/>
        <v>0</v>
      </c>
      <c r="D76">
        <f t="shared" si="21"/>
        <v>0</v>
      </c>
      <c r="E76">
        <f t="shared" si="21"/>
        <v>0</v>
      </c>
      <c r="F76">
        <f t="shared" si="22"/>
        <v>0</v>
      </c>
      <c r="G76">
        <f t="shared" si="23"/>
        <v>330000</v>
      </c>
      <c r="H76">
        <f t="shared" si="24"/>
        <v>0</v>
      </c>
      <c r="I76">
        <f t="shared" si="25"/>
        <v>0</v>
      </c>
      <c r="J76">
        <f t="shared" si="18"/>
        <v>0</v>
      </c>
      <c r="K76" t="e">
        <f t="shared" si="18"/>
        <v>#VALUE!</v>
      </c>
      <c r="L76" t="e">
        <f t="shared" si="12"/>
        <v>#VALUE!</v>
      </c>
      <c r="M76" t="e">
        <f t="shared" si="18"/>
        <v>#VALUE!</v>
      </c>
      <c r="N76" t="e">
        <f t="shared" si="18"/>
        <v>#VALUE!</v>
      </c>
    </row>
    <row r="77" spans="1:14" x14ac:dyDescent="0.2">
      <c r="A77">
        <f t="shared" si="14"/>
        <v>390000</v>
      </c>
      <c r="B77">
        <f t="shared" si="20"/>
        <v>0</v>
      </c>
      <c r="C77">
        <f t="shared" si="21"/>
        <v>0</v>
      </c>
      <c r="D77">
        <f t="shared" si="21"/>
        <v>0</v>
      </c>
      <c r="E77">
        <f t="shared" si="21"/>
        <v>0</v>
      </c>
      <c r="F77">
        <f t="shared" si="22"/>
        <v>0</v>
      </c>
      <c r="G77">
        <f t="shared" si="23"/>
        <v>0</v>
      </c>
      <c r="H77">
        <f t="shared" si="24"/>
        <v>0</v>
      </c>
      <c r="I77">
        <f t="shared" si="25"/>
        <v>0</v>
      </c>
      <c r="J77">
        <f t="shared" si="18"/>
        <v>0</v>
      </c>
      <c r="K77" t="e">
        <f t="shared" si="18"/>
        <v>#VALUE!</v>
      </c>
      <c r="L77" t="e">
        <f t="shared" si="12"/>
        <v>#VALUE!</v>
      </c>
      <c r="M77" t="e">
        <f t="shared" si="18"/>
        <v>#VALUE!</v>
      </c>
      <c r="N77" t="e">
        <f t="shared" si="18"/>
        <v>#VALUE!</v>
      </c>
    </row>
    <row r="78" spans="1:14" x14ac:dyDescent="0.2">
      <c r="A78">
        <f t="shared" si="14"/>
        <v>470000</v>
      </c>
      <c r="B78">
        <f t="shared" si="20"/>
        <v>0</v>
      </c>
      <c r="C78">
        <f t="shared" si="21"/>
        <v>0</v>
      </c>
      <c r="D78">
        <f t="shared" si="21"/>
        <v>0</v>
      </c>
      <c r="E78">
        <f t="shared" si="21"/>
        <v>0</v>
      </c>
      <c r="F78">
        <f t="shared" si="22"/>
        <v>0</v>
      </c>
      <c r="G78">
        <f t="shared" si="23"/>
        <v>0</v>
      </c>
      <c r="H78">
        <f t="shared" si="24"/>
        <v>0</v>
      </c>
      <c r="I78">
        <f t="shared" si="25"/>
        <v>0</v>
      </c>
      <c r="J78">
        <f t="shared" si="18"/>
        <v>0</v>
      </c>
      <c r="K78" t="e">
        <f t="shared" si="18"/>
        <v>#VALUE!</v>
      </c>
      <c r="L78" t="e">
        <f t="shared" si="12"/>
        <v>#VALUE!</v>
      </c>
      <c r="M78" t="e">
        <f t="shared" si="18"/>
        <v>#VALUE!</v>
      </c>
      <c r="N78" t="e">
        <f t="shared" si="18"/>
        <v>#VALUE!</v>
      </c>
    </row>
    <row r="79" spans="1:14" x14ac:dyDescent="0.2">
      <c r="A79">
        <f t="shared" si="14"/>
        <v>560000</v>
      </c>
      <c r="B79">
        <f t="shared" si="20"/>
        <v>0</v>
      </c>
      <c r="C79">
        <f t="shared" si="21"/>
        <v>0</v>
      </c>
      <c r="D79">
        <f t="shared" si="21"/>
        <v>0</v>
      </c>
      <c r="E79">
        <f t="shared" si="21"/>
        <v>0</v>
      </c>
      <c r="F79">
        <f t="shared" si="22"/>
        <v>0</v>
      </c>
      <c r="G79">
        <f t="shared" si="23"/>
        <v>0</v>
      </c>
      <c r="H79">
        <f t="shared" si="24"/>
        <v>0</v>
      </c>
      <c r="I79">
        <f t="shared" si="25"/>
        <v>0</v>
      </c>
      <c r="J79">
        <f t="shared" si="18"/>
        <v>0</v>
      </c>
      <c r="K79" t="e">
        <f t="shared" si="18"/>
        <v>#VALUE!</v>
      </c>
      <c r="L79" t="e">
        <f t="shared" si="12"/>
        <v>#VALUE!</v>
      </c>
      <c r="M79" t="e">
        <f t="shared" si="18"/>
        <v>#VALUE!</v>
      </c>
      <c r="N79" t="e">
        <f t="shared" si="18"/>
        <v>#VALUE!</v>
      </c>
    </row>
    <row r="80" spans="1:14" x14ac:dyDescent="0.2">
      <c r="A80">
        <f t="shared" si="14"/>
        <v>680000</v>
      </c>
      <c r="B80">
        <f t="shared" si="20"/>
        <v>0</v>
      </c>
      <c r="C80">
        <f t="shared" si="21"/>
        <v>0</v>
      </c>
      <c r="D80">
        <f t="shared" si="21"/>
        <v>0</v>
      </c>
      <c r="E80">
        <f t="shared" si="21"/>
        <v>0</v>
      </c>
      <c r="F80">
        <f t="shared" si="22"/>
        <v>0</v>
      </c>
      <c r="G80">
        <f t="shared" si="23"/>
        <v>0</v>
      </c>
      <c r="H80">
        <f t="shared" si="24"/>
        <v>0</v>
      </c>
      <c r="I80">
        <f t="shared" si="25"/>
        <v>0</v>
      </c>
      <c r="J80">
        <f t="shared" si="18"/>
        <v>0</v>
      </c>
      <c r="K80" t="e">
        <f t="shared" si="18"/>
        <v>#VALUE!</v>
      </c>
      <c r="L80" t="e">
        <f t="shared" si="12"/>
        <v>#VALUE!</v>
      </c>
      <c r="M80" t="e">
        <f t="shared" si="18"/>
        <v>#VALUE!</v>
      </c>
      <c r="N80" t="e">
        <f t="shared" si="18"/>
        <v>#VALUE!</v>
      </c>
    </row>
    <row r="81" spans="1:14" x14ac:dyDescent="0.2">
      <c r="A81">
        <f t="shared" si="14"/>
        <v>820000</v>
      </c>
      <c r="B81">
        <f t="shared" si="20"/>
        <v>0</v>
      </c>
      <c r="C81">
        <f t="shared" si="21"/>
        <v>0</v>
      </c>
      <c r="D81">
        <f t="shared" si="21"/>
        <v>0</v>
      </c>
      <c r="E81">
        <f t="shared" si="21"/>
        <v>0</v>
      </c>
      <c r="F81">
        <f t="shared" si="22"/>
        <v>0</v>
      </c>
      <c r="G81">
        <f t="shared" si="23"/>
        <v>0</v>
      </c>
      <c r="H81">
        <f t="shared" si="24"/>
        <v>0</v>
      </c>
      <c r="I81">
        <f t="shared" si="25"/>
        <v>0</v>
      </c>
      <c r="J81">
        <f t="shared" si="18"/>
        <v>0</v>
      </c>
      <c r="K81" t="e">
        <f t="shared" si="18"/>
        <v>#VALUE!</v>
      </c>
      <c r="L81" t="e">
        <f t="shared" si="12"/>
        <v>#VALUE!</v>
      </c>
      <c r="M81" t="e">
        <f t="shared" si="18"/>
        <v>#VALUE!</v>
      </c>
      <c r="N81" t="e">
        <f t="shared" si="18"/>
        <v>#VALUE!</v>
      </c>
    </row>
    <row r="82" spans="1:14" x14ac:dyDescent="0.2">
      <c r="A82">
        <f t="shared" si="14"/>
        <v>1000000</v>
      </c>
      <c r="B82">
        <f t="shared" si="20"/>
        <v>0</v>
      </c>
      <c r="C82">
        <f t="shared" si="21"/>
        <v>0</v>
      </c>
      <c r="D82">
        <f t="shared" si="21"/>
        <v>0</v>
      </c>
      <c r="E82">
        <f t="shared" si="21"/>
        <v>0</v>
      </c>
      <c r="F82">
        <f t="shared" si="22"/>
        <v>0</v>
      </c>
      <c r="G82">
        <f t="shared" si="23"/>
        <v>0</v>
      </c>
      <c r="H82">
        <f t="shared" si="24"/>
        <v>0</v>
      </c>
      <c r="I82">
        <f t="shared" si="25"/>
        <v>0</v>
      </c>
      <c r="J82">
        <f t="shared" si="18"/>
        <v>0</v>
      </c>
      <c r="K82" t="e">
        <f t="shared" si="18"/>
        <v>#VALUE!</v>
      </c>
      <c r="L82" t="e">
        <f t="shared" si="12"/>
        <v>#VALUE!</v>
      </c>
      <c r="M82" t="e">
        <f t="shared" si="18"/>
        <v>#VALUE!</v>
      </c>
      <c r="N82" t="e">
        <f t="shared" si="18"/>
        <v>#VALUE!</v>
      </c>
    </row>
    <row r="83" spans="1:14" x14ac:dyDescent="0.2">
      <c r="A83">
        <f t="shared" si="14"/>
        <v>1200000</v>
      </c>
      <c r="B83">
        <f t="shared" si="20"/>
        <v>0</v>
      </c>
      <c r="C83">
        <f t="shared" si="21"/>
        <v>0</v>
      </c>
      <c r="D83">
        <f t="shared" si="21"/>
        <v>0</v>
      </c>
      <c r="E83">
        <f t="shared" si="21"/>
        <v>0</v>
      </c>
      <c r="F83">
        <f t="shared" si="22"/>
        <v>0</v>
      </c>
      <c r="G83">
        <f t="shared" si="23"/>
        <v>0</v>
      </c>
      <c r="H83">
        <f t="shared" si="24"/>
        <v>0</v>
      </c>
      <c r="I83">
        <f t="shared" si="25"/>
        <v>0</v>
      </c>
      <c r="J83">
        <f t="shared" si="18"/>
        <v>0</v>
      </c>
      <c r="K83" t="e">
        <f t="shared" si="18"/>
        <v>#VALUE!</v>
      </c>
      <c r="L83" t="e">
        <f t="shared" si="12"/>
        <v>#VALUE!</v>
      </c>
      <c r="M83" t="e">
        <f t="shared" si="18"/>
        <v>#VALUE!</v>
      </c>
      <c r="N83" t="e">
        <f t="shared" si="18"/>
        <v>#VALUE!</v>
      </c>
    </row>
    <row r="84" spans="1:14" x14ac:dyDescent="0.2">
      <c r="A84">
        <f t="shared" si="14"/>
        <v>1500000</v>
      </c>
      <c r="B84">
        <f t="shared" si="20"/>
        <v>0</v>
      </c>
      <c r="C84">
        <f t="shared" si="21"/>
        <v>0</v>
      </c>
      <c r="D84">
        <f t="shared" si="21"/>
        <v>0</v>
      </c>
      <c r="E84">
        <f t="shared" si="21"/>
        <v>0</v>
      </c>
      <c r="F84">
        <f t="shared" si="22"/>
        <v>0</v>
      </c>
      <c r="G84">
        <f t="shared" si="23"/>
        <v>0</v>
      </c>
      <c r="H84">
        <f t="shared" si="24"/>
        <v>0</v>
      </c>
      <c r="I84">
        <f t="shared" si="25"/>
        <v>0</v>
      </c>
      <c r="J84">
        <f t="shared" si="18"/>
        <v>0</v>
      </c>
      <c r="K84" t="e">
        <f t="shared" si="18"/>
        <v>#VALUE!</v>
      </c>
      <c r="L84" t="e">
        <f t="shared" si="12"/>
        <v>#VALUE!</v>
      </c>
      <c r="M84" t="e">
        <f t="shared" si="18"/>
        <v>#VALUE!</v>
      </c>
      <c r="N84" t="e">
        <f t="shared" si="18"/>
        <v>#VALUE!</v>
      </c>
    </row>
    <row r="85" spans="1:14" x14ac:dyDescent="0.2">
      <c r="A85">
        <f t="shared" si="14"/>
        <v>1800000</v>
      </c>
      <c r="B85">
        <f t="shared" si="20"/>
        <v>0</v>
      </c>
      <c r="C85">
        <f t="shared" si="21"/>
        <v>0</v>
      </c>
      <c r="D85">
        <f t="shared" si="21"/>
        <v>0</v>
      </c>
      <c r="E85">
        <f t="shared" si="21"/>
        <v>0</v>
      </c>
      <c r="F85">
        <f t="shared" si="22"/>
        <v>0</v>
      </c>
      <c r="G85">
        <f t="shared" si="23"/>
        <v>0</v>
      </c>
      <c r="H85">
        <f t="shared" si="24"/>
        <v>0</v>
      </c>
      <c r="I85">
        <f t="shared" si="25"/>
        <v>0</v>
      </c>
      <c r="J85">
        <f t="shared" si="18"/>
        <v>0</v>
      </c>
      <c r="K85" t="e">
        <f t="shared" si="18"/>
        <v>#VALUE!</v>
      </c>
      <c r="L85" t="e">
        <f t="shared" ref="L85:L131" si="26">IF(IF((L$3*10^12-$A86)*(L$3*10^12-$A85)*-1&lt;0,0,1)*IF(ABS(L$3*10^12-$A86)&gt;(L$3*10^12-$A85),$A85,$A86)=L86,0,IF((L$3*10^12-$A86)*(L$3*10^12-$A85)*-1&lt;0,0,1)*IF(ABS(L$3*10^12-$A86)&gt;(L$3*10^12-$A85),$A85,$A86))</f>
        <v>#VALUE!</v>
      </c>
      <c r="M85" t="e">
        <f t="shared" si="18"/>
        <v>#VALUE!</v>
      </c>
      <c r="N85" t="e">
        <f t="shared" si="18"/>
        <v>#VALUE!</v>
      </c>
    </row>
    <row r="86" spans="1:14" x14ac:dyDescent="0.2">
      <c r="A86">
        <f t="shared" si="14"/>
        <v>2200000</v>
      </c>
      <c r="B86">
        <f t="shared" si="20"/>
        <v>0</v>
      </c>
      <c r="C86">
        <f t="shared" si="21"/>
        <v>0</v>
      </c>
      <c r="D86">
        <f t="shared" si="21"/>
        <v>0</v>
      </c>
      <c r="E86">
        <f t="shared" si="21"/>
        <v>0</v>
      </c>
      <c r="F86">
        <f t="shared" si="22"/>
        <v>0</v>
      </c>
      <c r="G86">
        <f t="shared" si="23"/>
        <v>0</v>
      </c>
      <c r="H86">
        <f t="shared" si="24"/>
        <v>0</v>
      </c>
      <c r="I86">
        <f t="shared" si="25"/>
        <v>0</v>
      </c>
      <c r="J86">
        <f t="shared" si="18"/>
        <v>0</v>
      </c>
      <c r="K86" t="e">
        <f t="shared" si="18"/>
        <v>#VALUE!</v>
      </c>
      <c r="L86" t="e">
        <f t="shared" si="26"/>
        <v>#VALUE!</v>
      </c>
      <c r="M86" t="e">
        <f t="shared" si="18"/>
        <v>#VALUE!</v>
      </c>
      <c r="N86" t="e">
        <f t="shared" si="18"/>
        <v>#VALUE!</v>
      </c>
    </row>
    <row r="87" spans="1:14" x14ac:dyDescent="0.2">
      <c r="A87">
        <f t="shared" si="14"/>
        <v>2700000</v>
      </c>
      <c r="B87">
        <f t="shared" si="20"/>
        <v>0</v>
      </c>
      <c r="C87">
        <f t="shared" si="21"/>
        <v>0</v>
      </c>
      <c r="D87">
        <f t="shared" si="21"/>
        <v>0</v>
      </c>
      <c r="E87">
        <f t="shared" si="21"/>
        <v>0</v>
      </c>
      <c r="F87">
        <f t="shared" si="22"/>
        <v>0</v>
      </c>
      <c r="G87">
        <f t="shared" si="23"/>
        <v>0</v>
      </c>
      <c r="H87">
        <f t="shared" si="24"/>
        <v>0</v>
      </c>
      <c r="I87">
        <f t="shared" si="25"/>
        <v>0</v>
      </c>
      <c r="J87">
        <f t="shared" si="18"/>
        <v>0</v>
      </c>
      <c r="K87" t="e">
        <f t="shared" si="18"/>
        <v>#VALUE!</v>
      </c>
      <c r="L87" t="e">
        <f t="shared" si="26"/>
        <v>#VALUE!</v>
      </c>
      <c r="M87" t="e">
        <f t="shared" si="18"/>
        <v>#VALUE!</v>
      </c>
      <c r="N87" t="e">
        <f t="shared" si="18"/>
        <v>#VALUE!</v>
      </c>
    </row>
    <row r="88" spans="1:14" x14ac:dyDescent="0.2">
      <c r="A88">
        <f t="shared" si="14"/>
        <v>3300000</v>
      </c>
      <c r="B88">
        <f t="shared" si="20"/>
        <v>0</v>
      </c>
      <c r="C88">
        <f t="shared" si="21"/>
        <v>0</v>
      </c>
      <c r="D88">
        <f t="shared" si="21"/>
        <v>0</v>
      </c>
      <c r="E88">
        <f t="shared" si="21"/>
        <v>0</v>
      </c>
      <c r="F88">
        <f t="shared" si="22"/>
        <v>0</v>
      </c>
      <c r="G88">
        <f t="shared" si="23"/>
        <v>0</v>
      </c>
      <c r="H88">
        <f t="shared" si="24"/>
        <v>0</v>
      </c>
      <c r="I88">
        <f t="shared" si="25"/>
        <v>0</v>
      </c>
      <c r="J88">
        <f t="shared" si="18"/>
        <v>0</v>
      </c>
      <c r="K88" t="e">
        <f t="shared" si="18"/>
        <v>#VALUE!</v>
      </c>
      <c r="L88" t="e">
        <f t="shared" si="26"/>
        <v>#VALUE!</v>
      </c>
      <c r="M88" t="e">
        <f t="shared" si="18"/>
        <v>#VALUE!</v>
      </c>
      <c r="N88" t="e">
        <f t="shared" si="18"/>
        <v>#VALUE!</v>
      </c>
    </row>
    <row r="89" spans="1:14" x14ac:dyDescent="0.2">
      <c r="A89">
        <f t="shared" si="14"/>
        <v>3900000</v>
      </c>
      <c r="B89">
        <f t="shared" si="20"/>
        <v>0</v>
      </c>
      <c r="C89">
        <f t="shared" si="21"/>
        <v>0</v>
      </c>
      <c r="D89">
        <f t="shared" si="21"/>
        <v>0</v>
      </c>
      <c r="E89">
        <f t="shared" si="21"/>
        <v>0</v>
      </c>
      <c r="F89">
        <f t="shared" si="22"/>
        <v>0</v>
      </c>
      <c r="G89">
        <f t="shared" si="23"/>
        <v>0</v>
      </c>
      <c r="H89">
        <f t="shared" si="24"/>
        <v>0</v>
      </c>
      <c r="I89">
        <f t="shared" si="25"/>
        <v>0</v>
      </c>
      <c r="J89">
        <f t="shared" si="18"/>
        <v>0</v>
      </c>
      <c r="K89" t="e">
        <f t="shared" si="18"/>
        <v>#VALUE!</v>
      </c>
      <c r="L89" t="e">
        <f t="shared" si="26"/>
        <v>#VALUE!</v>
      </c>
      <c r="M89" t="e">
        <f t="shared" si="18"/>
        <v>#VALUE!</v>
      </c>
      <c r="N89" t="e">
        <f t="shared" si="18"/>
        <v>#VALUE!</v>
      </c>
    </row>
    <row r="90" spans="1:14" x14ac:dyDescent="0.2">
      <c r="A90">
        <f t="shared" si="14"/>
        <v>4700000</v>
      </c>
      <c r="B90">
        <f t="shared" si="20"/>
        <v>0</v>
      </c>
      <c r="C90">
        <f t="shared" si="21"/>
        <v>0</v>
      </c>
      <c r="D90">
        <f t="shared" si="21"/>
        <v>0</v>
      </c>
      <c r="E90">
        <f t="shared" si="21"/>
        <v>0</v>
      </c>
      <c r="F90">
        <f t="shared" si="22"/>
        <v>0</v>
      </c>
      <c r="G90">
        <f t="shared" si="23"/>
        <v>0</v>
      </c>
      <c r="H90">
        <f t="shared" si="24"/>
        <v>0</v>
      </c>
      <c r="I90">
        <f t="shared" si="25"/>
        <v>0</v>
      </c>
      <c r="J90">
        <f t="shared" si="18"/>
        <v>0</v>
      </c>
      <c r="K90" t="e">
        <f t="shared" si="18"/>
        <v>#VALUE!</v>
      </c>
      <c r="L90" t="e">
        <f t="shared" si="26"/>
        <v>#VALUE!</v>
      </c>
      <c r="M90" t="e">
        <f t="shared" si="18"/>
        <v>#VALUE!</v>
      </c>
      <c r="N90" t="e">
        <f t="shared" si="18"/>
        <v>#VALUE!</v>
      </c>
    </row>
    <row r="91" spans="1:14" x14ac:dyDescent="0.2">
      <c r="A91">
        <f t="shared" si="14"/>
        <v>5600000</v>
      </c>
      <c r="B91">
        <f t="shared" si="20"/>
        <v>0</v>
      </c>
      <c r="C91">
        <f t="shared" si="21"/>
        <v>0</v>
      </c>
      <c r="D91">
        <f t="shared" si="21"/>
        <v>0</v>
      </c>
      <c r="E91">
        <f t="shared" si="21"/>
        <v>0</v>
      </c>
      <c r="F91">
        <f t="shared" si="22"/>
        <v>0</v>
      </c>
      <c r="G91">
        <f t="shared" si="23"/>
        <v>0</v>
      </c>
      <c r="H91">
        <f t="shared" si="24"/>
        <v>0</v>
      </c>
      <c r="I91">
        <f t="shared" si="25"/>
        <v>0</v>
      </c>
      <c r="J91">
        <f t="shared" si="18"/>
        <v>0</v>
      </c>
      <c r="K91" t="e">
        <f t="shared" si="18"/>
        <v>#VALUE!</v>
      </c>
      <c r="L91" t="e">
        <f t="shared" si="26"/>
        <v>#VALUE!</v>
      </c>
      <c r="M91" t="e">
        <f t="shared" si="18"/>
        <v>#VALUE!</v>
      </c>
      <c r="N91" t="e">
        <f t="shared" si="18"/>
        <v>#VALUE!</v>
      </c>
    </row>
    <row r="92" spans="1:14" x14ac:dyDescent="0.2">
      <c r="A92">
        <f t="shared" si="14"/>
        <v>6800000</v>
      </c>
      <c r="B92">
        <f t="shared" si="20"/>
        <v>0</v>
      </c>
      <c r="C92">
        <f t="shared" si="21"/>
        <v>0</v>
      </c>
      <c r="D92">
        <f t="shared" si="21"/>
        <v>0</v>
      </c>
      <c r="E92">
        <f t="shared" si="21"/>
        <v>0</v>
      </c>
      <c r="F92">
        <f t="shared" si="22"/>
        <v>0</v>
      </c>
      <c r="G92">
        <f t="shared" si="23"/>
        <v>0</v>
      </c>
      <c r="H92">
        <f t="shared" si="24"/>
        <v>0</v>
      </c>
      <c r="I92">
        <f t="shared" si="25"/>
        <v>0</v>
      </c>
      <c r="J92">
        <f t="shared" si="18"/>
        <v>0</v>
      </c>
      <c r="K92" t="e">
        <f t="shared" si="18"/>
        <v>#VALUE!</v>
      </c>
      <c r="L92" t="e">
        <f t="shared" si="26"/>
        <v>#VALUE!</v>
      </c>
      <c r="M92" t="e">
        <f t="shared" si="18"/>
        <v>#VALUE!</v>
      </c>
      <c r="N92" t="e">
        <f t="shared" si="18"/>
        <v>#VALUE!</v>
      </c>
    </row>
    <row r="93" spans="1:14" x14ac:dyDescent="0.2">
      <c r="A93">
        <f t="shared" si="14"/>
        <v>8200000</v>
      </c>
      <c r="B93">
        <f t="shared" si="20"/>
        <v>0</v>
      </c>
      <c r="C93">
        <f t="shared" si="21"/>
        <v>0</v>
      </c>
      <c r="D93">
        <f t="shared" si="21"/>
        <v>0</v>
      </c>
      <c r="E93">
        <f t="shared" si="21"/>
        <v>0</v>
      </c>
      <c r="F93">
        <f t="shared" si="22"/>
        <v>0</v>
      </c>
      <c r="G93">
        <f t="shared" si="23"/>
        <v>0</v>
      </c>
      <c r="H93">
        <f t="shared" si="24"/>
        <v>0</v>
      </c>
      <c r="I93">
        <f t="shared" si="25"/>
        <v>0</v>
      </c>
      <c r="J93">
        <f t="shared" si="18"/>
        <v>0</v>
      </c>
      <c r="K93" t="e">
        <f t="shared" si="18"/>
        <v>#VALUE!</v>
      </c>
      <c r="L93" t="e">
        <f t="shared" si="26"/>
        <v>#VALUE!</v>
      </c>
      <c r="M93" t="e">
        <f t="shared" si="18"/>
        <v>#VALUE!</v>
      </c>
      <c r="N93" t="e">
        <f t="shared" si="18"/>
        <v>#VALUE!</v>
      </c>
    </row>
    <row r="94" spans="1:14" x14ac:dyDescent="0.2">
      <c r="A94">
        <f t="shared" si="14"/>
        <v>10000000</v>
      </c>
      <c r="B94">
        <f t="shared" si="20"/>
        <v>0</v>
      </c>
      <c r="C94">
        <f t="shared" si="21"/>
        <v>0</v>
      </c>
      <c r="D94">
        <f t="shared" si="21"/>
        <v>0</v>
      </c>
      <c r="E94">
        <f t="shared" si="21"/>
        <v>0</v>
      </c>
      <c r="F94">
        <f t="shared" si="22"/>
        <v>0</v>
      </c>
      <c r="G94">
        <f t="shared" si="23"/>
        <v>0</v>
      </c>
      <c r="H94">
        <f t="shared" si="24"/>
        <v>0</v>
      </c>
      <c r="I94">
        <f t="shared" si="25"/>
        <v>0</v>
      </c>
      <c r="J94">
        <f t="shared" si="18"/>
        <v>0</v>
      </c>
      <c r="K94" t="e">
        <f t="shared" si="18"/>
        <v>#VALUE!</v>
      </c>
      <c r="L94" t="e">
        <f t="shared" si="26"/>
        <v>#VALUE!</v>
      </c>
      <c r="M94" t="e">
        <f t="shared" si="18"/>
        <v>#VALUE!</v>
      </c>
      <c r="N94" t="e">
        <f t="shared" si="18"/>
        <v>#VALUE!</v>
      </c>
    </row>
    <row r="95" spans="1:14" x14ac:dyDescent="0.2">
      <c r="A95">
        <f t="shared" si="14"/>
        <v>12000000</v>
      </c>
      <c r="B95">
        <f t="shared" si="20"/>
        <v>0</v>
      </c>
      <c r="C95">
        <f t="shared" si="21"/>
        <v>0</v>
      </c>
      <c r="D95">
        <f t="shared" si="21"/>
        <v>0</v>
      </c>
      <c r="E95">
        <f t="shared" si="21"/>
        <v>0</v>
      </c>
      <c r="F95">
        <f t="shared" si="22"/>
        <v>0</v>
      </c>
      <c r="G95">
        <f t="shared" si="23"/>
        <v>0</v>
      </c>
      <c r="H95">
        <f t="shared" si="24"/>
        <v>0</v>
      </c>
      <c r="I95">
        <f t="shared" si="25"/>
        <v>0</v>
      </c>
      <c r="J95">
        <f t="shared" si="18"/>
        <v>0</v>
      </c>
      <c r="K95" t="e">
        <f t="shared" si="18"/>
        <v>#VALUE!</v>
      </c>
      <c r="L95" t="e">
        <f t="shared" si="26"/>
        <v>#VALUE!</v>
      </c>
      <c r="M95" t="e">
        <f t="shared" si="18"/>
        <v>#VALUE!</v>
      </c>
      <c r="N95" t="e">
        <f t="shared" si="18"/>
        <v>#VALUE!</v>
      </c>
    </row>
    <row r="96" spans="1:14" x14ac:dyDescent="0.2">
      <c r="A96">
        <f t="shared" si="14"/>
        <v>15000000</v>
      </c>
      <c r="B96">
        <f t="shared" si="20"/>
        <v>0</v>
      </c>
      <c r="C96">
        <f t="shared" si="21"/>
        <v>0</v>
      </c>
      <c r="D96">
        <f t="shared" si="21"/>
        <v>0</v>
      </c>
      <c r="E96">
        <f t="shared" si="21"/>
        <v>0</v>
      </c>
      <c r="F96">
        <f t="shared" si="22"/>
        <v>0</v>
      </c>
      <c r="G96">
        <f t="shared" si="23"/>
        <v>0</v>
      </c>
      <c r="H96">
        <f t="shared" si="24"/>
        <v>0</v>
      </c>
      <c r="I96">
        <f t="shared" si="25"/>
        <v>0</v>
      </c>
      <c r="J96">
        <f t="shared" si="18"/>
        <v>0</v>
      </c>
      <c r="K96" t="e">
        <f t="shared" si="18"/>
        <v>#VALUE!</v>
      </c>
      <c r="L96" t="e">
        <f t="shared" si="26"/>
        <v>#VALUE!</v>
      </c>
      <c r="M96" t="e">
        <f t="shared" si="18"/>
        <v>#VALUE!</v>
      </c>
      <c r="N96" t="e">
        <f t="shared" si="18"/>
        <v>#VALUE!</v>
      </c>
    </row>
    <row r="97" spans="1:14" x14ac:dyDescent="0.2">
      <c r="A97">
        <f t="shared" si="14"/>
        <v>18000000</v>
      </c>
      <c r="B97">
        <f t="shared" si="20"/>
        <v>0</v>
      </c>
      <c r="C97">
        <f t="shared" si="21"/>
        <v>0</v>
      </c>
      <c r="D97">
        <f t="shared" si="21"/>
        <v>0</v>
      </c>
      <c r="E97">
        <f t="shared" si="21"/>
        <v>0</v>
      </c>
      <c r="F97">
        <f t="shared" si="22"/>
        <v>0</v>
      </c>
      <c r="G97">
        <f t="shared" si="23"/>
        <v>0</v>
      </c>
      <c r="H97">
        <f t="shared" si="24"/>
        <v>0</v>
      </c>
      <c r="I97">
        <f t="shared" si="25"/>
        <v>0</v>
      </c>
      <c r="J97">
        <f t="shared" si="18"/>
        <v>0</v>
      </c>
      <c r="K97" t="e">
        <f t="shared" si="18"/>
        <v>#VALUE!</v>
      </c>
      <c r="L97" t="e">
        <f t="shared" si="26"/>
        <v>#VALUE!</v>
      </c>
      <c r="M97" t="e">
        <f t="shared" si="18"/>
        <v>#VALUE!</v>
      </c>
      <c r="N97" t="e">
        <f t="shared" si="18"/>
        <v>#VALUE!</v>
      </c>
    </row>
    <row r="98" spans="1:14" x14ac:dyDescent="0.2">
      <c r="A98">
        <f t="shared" si="14"/>
        <v>22000000</v>
      </c>
      <c r="B98">
        <f t="shared" si="20"/>
        <v>0</v>
      </c>
      <c r="C98">
        <f t="shared" si="21"/>
        <v>0</v>
      </c>
      <c r="D98">
        <f t="shared" si="21"/>
        <v>0</v>
      </c>
      <c r="E98">
        <f t="shared" si="21"/>
        <v>0</v>
      </c>
      <c r="F98">
        <f t="shared" si="22"/>
        <v>0</v>
      </c>
      <c r="G98">
        <f t="shared" si="23"/>
        <v>0</v>
      </c>
      <c r="H98">
        <f t="shared" si="24"/>
        <v>0</v>
      </c>
      <c r="I98">
        <f t="shared" si="25"/>
        <v>0</v>
      </c>
      <c r="J98">
        <f t="shared" si="18"/>
        <v>0</v>
      </c>
      <c r="K98" t="e">
        <f t="shared" si="18"/>
        <v>#VALUE!</v>
      </c>
      <c r="L98" t="e">
        <f t="shared" si="26"/>
        <v>#VALUE!</v>
      </c>
      <c r="M98" t="e">
        <f t="shared" si="18"/>
        <v>#VALUE!</v>
      </c>
      <c r="N98" t="e">
        <f t="shared" si="18"/>
        <v>#VALUE!</v>
      </c>
    </row>
    <row r="99" spans="1:14" x14ac:dyDescent="0.2">
      <c r="A99">
        <f t="shared" ref="A99:A159" si="27">A87*10</f>
        <v>27000000</v>
      </c>
      <c r="B99">
        <f t="shared" si="20"/>
        <v>0</v>
      </c>
      <c r="C99">
        <f t="shared" si="21"/>
        <v>0</v>
      </c>
      <c r="D99">
        <f t="shared" si="21"/>
        <v>0</v>
      </c>
      <c r="E99">
        <f t="shared" si="21"/>
        <v>0</v>
      </c>
      <c r="F99">
        <f t="shared" si="22"/>
        <v>33000000</v>
      </c>
      <c r="G99">
        <f t="shared" si="23"/>
        <v>0</v>
      </c>
      <c r="H99">
        <f t="shared" si="24"/>
        <v>0</v>
      </c>
      <c r="I99">
        <f t="shared" si="25"/>
        <v>0</v>
      </c>
      <c r="J99">
        <f t="shared" si="18"/>
        <v>0</v>
      </c>
      <c r="K99" t="e">
        <f t="shared" si="18"/>
        <v>#VALUE!</v>
      </c>
      <c r="L99" t="e">
        <f t="shared" si="26"/>
        <v>#VALUE!</v>
      </c>
      <c r="M99" t="e">
        <f t="shared" si="18"/>
        <v>#VALUE!</v>
      </c>
      <c r="N99" t="e">
        <f t="shared" si="18"/>
        <v>#VALUE!</v>
      </c>
    </row>
    <row r="100" spans="1:14" x14ac:dyDescent="0.2">
      <c r="A100">
        <f t="shared" si="27"/>
        <v>33000000</v>
      </c>
      <c r="B100">
        <f t="shared" si="20"/>
        <v>0</v>
      </c>
      <c r="C100">
        <f t="shared" si="21"/>
        <v>0</v>
      </c>
      <c r="D100">
        <f t="shared" si="21"/>
        <v>0</v>
      </c>
      <c r="E100">
        <f t="shared" si="21"/>
        <v>0</v>
      </c>
      <c r="F100">
        <f t="shared" si="22"/>
        <v>0</v>
      </c>
      <c r="G100">
        <f t="shared" si="23"/>
        <v>0</v>
      </c>
      <c r="H100">
        <f t="shared" si="24"/>
        <v>0</v>
      </c>
      <c r="I100">
        <f t="shared" si="25"/>
        <v>0</v>
      </c>
      <c r="J100">
        <f t="shared" si="18"/>
        <v>0</v>
      </c>
      <c r="K100" t="e">
        <f t="shared" si="18"/>
        <v>#VALUE!</v>
      </c>
      <c r="L100" t="e">
        <f t="shared" si="26"/>
        <v>#VALUE!</v>
      </c>
      <c r="M100" t="e">
        <f t="shared" si="18"/>
        <v>#VALUE!</v>
      </c>
      <c r="N100" t="e">
        <f t="shared" si="18"/>
        <v>#VALUE!</v>
      </c>
    </row>
    <row r="101" spans="1:14" x14ac:dyDescent="0.2">
      <c r="A101">
        <f t="shared" si="27"/>
        <v>39000000</v>
      </c>
      <c r="B101">
        <f t="shared" si="20"/>
        <v>0</v>
      </c>
      <c r="C101">
        <f t="shared" si="21"/>
        <v>0</v>
      </c>
      <c r="D101">
        <f t="shared" si="21"/>
        <v>0</v>
      </c>
      <c r="E101">
        <f t="shared" si="21"/>
        <v>0</v>
      </c>
      <c r="F101">
        <f t="shared" si="22"/>
        <v>0</v>
      </c>
      <c r="G101">
        <f t="shared" si="23"/>
        <v>0</v>
      </c>
      <c r="H101">
        <f t="shared" si="24"/>
        <v>0</v>
      </c>
      <c r="I101">
        <f t="shared" si="25"/>
        <v>0</v>
      </c>
      <c r="J101">
        <f t="shared" si="18"/>
        <v>0</v>
      </c>
      <c r="K101" t="e">
        <f t="shared" si="18"/>
        <v>#VALUE!</v>
      </c>
      <c r="L101" t="e">
        <f t="shared" si="26"/>
        <v>#VALUE!</v>
      </c>
      <c r="M101" t="e">
        <f t="shared" si="18"/>
        <v>#VALUE!</v>
      </c>
      <c r="N101" t="e">
        <f t="shared" si="18"/>
        <v>#VALUE!</v>
      </c>
    </row>
    <row r="102" spans="1:14" x14ac:dyDescent="0.2">
      <c r="A102">
        <f t="shared" si="27"/>
        <v>47000000</v>
      </c>
      <c r="B102">
        <f t="shared" si="20"/>
        <v>0</v>
      </c>
      <c r="C102">
        <f t="shared" si="21"/>
        <v>0</v>
      </c>
      <c r="D102">
        <f t="shared" si="21"/>
        <v>0</v>
      </c>
      <c r="E102">
        <f t="shared" si="21"/>
        <v>0</v>
      </c>
      <c r="F102">
        <f t="shared" si="22"/>
        <v>0</v>
      </c>
      <c r="G102">
        <f t="shared" si="23"/>
        <v>0</v>
      </c>
      <c r="H102">
        <f t="shared" si="24"/>
        <v>0</v>
      </c>
      <c r="I102">
        <f t="shared" si="25"/>
        <v>0</v>
      </c>
      <c r="J102">
        <f t="shared" si="18"/>
        <v>0</v>
      </c>
      <c r="K102" t="e">
        <f t="shared" si="18"/>
        <v>#VALUE!</v>
      </c>
      <c r="L102" t="e">
        <f t="shared" si="26"/>
        <v>#VALUE!</v>
      </c>
      <c r="M102" t="e">
        <f t="shared" si="18"/>
        <v>#VALUE!</v>
      </c>
      <c r="N102" t="e">
        <f t="shared" si="18"/>
        <v>#VALUE!</v>
      </c>
    </row>
    <row r="103" spans="1:14" x14ac:dyDescent="0.2">
      <c r="A103">
        <f t="shared" si="27"/>
        <v>56000000</v>
      </c>
      <c r="B103">
        <f t="shared" si="20"/>
        <v>0</v>
      </c>
      <c r="C103">
        <f t="shared" si="21"/>
        <v>0</v>
      </c>
      <c r="D103">
        <f t="shared" si="21"/>
        <v>0</v>
      </c>
      <c r="E103">
        <f t="shared" si="21"/>
        <v>0</v>
      </c>
      <c r="F103">
        <f t="shared" ref="F103:F134" si="28">IF(IF((F$3*10^12-$A104)*(F$3*10^12-$A103)*-1&lt;0,0,1)*IF(ABS(F$3*10^12-$A104)&gt;(F$3*10^12-$A103),$A103,$A104)=F104,0,IF((F$3*10^12-$A104)*(F$3*10^12-$A103)*-1&lt;0,0,1)*IF(ABS(F$3*10^12-$A104)&gt;(F$3*10^12-$A103),$A103,$A104))</f>
        <v>0</v>
      </c>
      <c r="G103">
        <f t="shared" ref="G103:G134" si="29">IF(IF((G$3*10^12-$A104)*(G$3*10^12-$A103)*-1&lt;0,0,1)*IF(ABS(G$3*10^12-$A104)&gt;(G$3*10^12-$A103),$A103,$A104)=G104,0,IF((G$3*10^12-$A104)*(G$3*10^12-$A103)*-1&lt;0,0,1)*IF(ABS(G$3*10^12-$A104)&gt;(G$3*10^12-$A103),$A103,$A104))</f>
        <v>0</v>
      </c>
      <c r="H103">
        <f t="shared" ref="H103:H134" si="30">IF(IF((H$3*10^12-$A104)*(H$3*10^12-$A103)*-1&lt;0,0,1)*IF(ABS(H$3*10^12-$A104)&gt;(H$3*10^12-$A103),$A103,$A104)=H104,0,IF((H$3*10^12-$A104)*(H$3*10^12-$A103)*-1&lt;0,0,1)*IF(ABS(H$3*10^12-$A104)&gt;(H$3*10^12-$A103),$A103,$A104))</f>
        <v>0</v>
      </c>
      <c r="I103">
        <f t="shared" ref="I103:I134" si="31">IF(IF((I$3*10^12-$A104)*(I$3*10^12-$A103)*-1&lt;0,0,1)*IF(ABS(I$3*10^12-$A104)&gt;(I$3*10^12-$A103),$A103,$A104)=I104,0,IF((I$3*10^12-$A104)*(I$3*10^12-$A103)*-1&lt;0,0,1)*IF(ABS(I$3*10^12-$A104)&gt;(I$3*10^12-$A103),$A103,$A104))</f>
        <v>0</v>
      </c>
      <c r="J103">
        <f t="shared" si="18"/>
        <v>0</v>
      </c>
      <c r="K103" t="e">
        <f t="shared" si="18"/>
        <v>#VALUE!</v>
      </c>
      <c r="L103" t="e">
        <f t="shared" si="26"/>
        <v>#VALUE!</v>
      </c>
      <c r="M103" t="e">
        <f t="shared" si="18"/>
        <v>#VALUE!</v>
      </c>
      <c r="N103" t="e">
        <f t="shared" si="18"/>
        <v>#VALUE!</v>
      </c>
    </row>
    <row r="104" spans="1:14" x14ac:dyDescent="0.2">
      <c r="A104">
        <f t="shared" si="27"/>
        <v>68000000</v>
      </c>
      <c r="B104">
        <f t="shared" si="20"/>
        <v>0</v>
      </c>
      <c r="C104">
        <f t="shared" si="21"/>
        <v>0</v>
      </c>
      <c r="D104">
        <f t="shared" si="21"/>
        <v>0</v>
      </c>
      <c r="E104">
        <f t="shared" si="21"/>
        <v>0</v>
      </c>
      <c r="F104">
        <f t="shared" si="28"/>
        <v>0</v>
      </c>
      <c r="G104">
        <f t="shared" si="29"/>
        <v>0</v>
      </c>
      <c r="H104">
        <f t="shared" si="30"/>
        <v>0</v>
      </c>
      <c r="I104">
        <f t="shared" si="31"/>
        <v>0</v>
      </c>
      <c r="J104">
        <f t="shared" si="18"/>
        <v>0</v>
      </c>
      <c r="K104" t="e">
        <f t="shared" si="18"/>
        <v>#VALUE!</v>
      </c>
      <c r="L104" t="e">
        <f t="shared" si="26"/>
        <v>#VALUE!</v>
      </c>
      <c r="M104" t="e">
        <f t="shared" si="18"/>
        <v>#VALUE!</v>
      </c>
      <c r="N104" t="e">
        <f t="shared" si="18"/>
        <v>#VALUE!</v>
      </c>
    </row>
    <row r="105" spans="1:14" x14ac:dyDescent="0.2">
      <c r="A105">
        <f t="shared" si="27"/>
        <v>82000000</v>
      </c>
      <c r="B105">
        <f t="shared" si="20"/>
        <v>0</v>
      </c>
      <c r="C105">
        <f t="shared" si="21"/>
        <v>0</v>
      </c>
      <c r="D105">
        <f t="shared" si="21"/>
        <v>0</v>
      </c>
      <c r="E105">
        <f t="shared" si="21"/>
        <v>0</v>
      </c>
      <c r="F105">
        <f t="shared" si="28"/>
        <v>0</v>
      </c>
      <c r="G105">
        <f t="shared" si="29"/>
        <v>0</v>
      </c>
      <c r="H105">
        <f t="shared" si="30"/>
        <v>0</v>
      </c>
      <c r="I105">
        <f t="shared" si="31"/>
        <v>0</v>
      </c>
      <c r="J105">
        <f t="shared" si="18"/>
        <v>0</v>
      </c>
      <c r="K105" t="e">
        <f t="shared" si="18"/>
        <v>#VALUE!</v>
      </c>
      <c r="L105" t="e">
        <f t="shared" si="26"/>
        <v>#VALUE!</v>
      </c>
      <c r="M105" t="e">
        <f t="shared" si="18"/>
        <v>#VALUE!</v>
      </c>
      <c r="N105" t="e">
        <f t="shared" si="18"/>
        <v>#VALUE!</v>
      </c>
    </row>
    <row r="106" spans="1:14" x14ac:dyDescent="0.2">
      <c r="A106">
        <f t="shared" si="27"/>
        <v>100000000</v>
      </c>
      <c r="B106">
        <f t="shared" si="20"/>
        <v>0</v>
      </c>
      <c r="C106">
        <f t="shared" si="21"/>
        <v>0</v>
      </c>
      <c r="D106">
        <f t="shared" si="21"/>
        <v>0</v>
      </c>
      <c r="E106">
        <f t="shared" si="21"/>
        <v>0</v>
      </c>
      <c r="F106">
        <f t="shared" si="28"/>
        <v>0</v>
      </c>
      <c r="G106">
        <f t="shared" si="29"/>
        <v>0</v>
      </c>
      <c r="H106">
        <f t="shared" si="30"/>
        <v>0</v>
      </c>
      <c r="I106">
        <f t="shared" si="31"/>
        <v>0</v>
      </c>
      <c r="J106">
        <f t="shared" si="18"/>
        <v>0</v>
      </c>
      <c r="K106" t="e">
        <f t="shared" si="18"/>
        <v>#VALUE!</v>
      </c>
      <c r="L106" t="e">
        <f t="shared" si="26"/>
        <v>#VALUE!</v>
      </c>
      <c r="M106" t="e">
        <f t="shared" si="18"/>
        <v>#VALUE!</v>
      </c>
      <c r="N106" t="e">
        <f t="shared" si="18"/>
        <v>#VALUE!</v>
      </c>
    </row>
    <row r="107" spans="1:14" x14ac:dyDescent="0.2">
      <c r="A107">
        <f t="shared" si="27"/>
        <v>120000000</v>
      </c>
      <c r="B107">
        <f t="shared" si="20"/>
        <v>0</v>
      </c>
      <c r="C107">
        <f t="shared" si="21"/>
        <v>0</v>
      </c>
      <c r="D107">
        <f t="shared" si="21"/>
        <v>0</v>
      </c>
      <c r="E107">
        <f t="shared" si="21"/>
        <v>0</v>
      </c>
      <c r="F107">
        <f t="shared" si="28"/>
        <v>0</v>
      </c>
      <c r="G107">
        <f t="shared" si="29"/>
        <v>0</v>
      </c>
      <c r="H107">
        <f t="shared" si="30"/>
        <v>0</v>
      </c>
      <c r="I107">
        <f t="shared" si="31"/>
        <v>0</v>
      </c>
      <c r="J107">
        <f t="shared" si="18"/>
        <v>0</v>
      </c>
      <c r="K107" t="e">
        <f t="shared" si="18"/>
        <v>#VALUE!</v>
      </c>
      <c r="L107" t="e">
        <f t="shared" si="26"/>
        <v>#VALUE!</v>
      </c>
      <c r="M107" t="e">
        <f t="shared" si="18"/>
        <v>#VALUE!</v>
      </c>
      <c r="N107" t="e">
        <f t="shared" si="18"/>
        <v>#VALUE!</v>
      </c>
    </row>
    <row r="108" spans="1:14" x14ac:dyDescent="0.2">
      <c r="A108">
        <f t="shared" si="27"/>
        <v>150000000</v>
      </c>
      <c r="B108">
        <f t="shared" si="20"/>
        <v>0</v>
      </c>
      <c r="C108">
        <f t="shared" si="21"/>
        <v>0</v>
      </c>
      <c r="D108">
        <f t="shared" si="21"/>
        <v>0</v>
      </c>
      <c r="E108">
        <f t="shared" si="21"/>
        <v>0</v>
      </c>
      <c r="F108">
        <f t="shared" si="28"/>
        <v>0</v>
      </c>
      <c r="G108">
        <f t="shared" si="29"/>
        <v>0</v>
      </c>
      <c r="H108">
        <f t="shared" si="30"/>
        <v>0</v>
      </c>
      <c r="I108">
        <f t="shared" si="31"/>
        <v>0</v>
      </c>
      <c r="J108">
        <f t="shared" si="18"/>
        <v>0</v>
      </c>
      <c r="K108" t="e">
        <f t="shared" si="18"/>
        <v>#VALUE!</v>
      </c>
      <c r="L108" t="e">
        <f t="shared" si="26"/>
        <v>#VALUE!</v>
      </c>
      <c r="M108" t="e">
        <f t="shared" si="18"/>
        <v>#VALUE!</v>
      </c>
      <c r="N108" t="e">
        <f t="shared" si="18"/>
        <v>#VALUE!</v>
      </c>
    </row>
    <row r="109" spans="1:14" x14ac:dyDescent="0.2">
      <c r="A109">
        <f t="shared" si="27"/>
        <v>180000000</v>
      </c>
      <c r="B109">
        <f t="shared" si="20"/>
        <v>0</v>
      </c>
      <c r="C109">
        <f t="shared" si="21"/>
        <v>0</v>
      </c>
      <c r="D109">
        <f t="shared" si="21"/>
        <v>0</v>
      </c>
      <c r="E109">
        <f t="shared" si="21"/>
        <v>220000000</v>
      </c>
      <c r="F109">
        <f t="shared" si="28"/>
        <v>0</v>
      </c>
      <c r="G109">
        <f t="shared" si="29"/>
        <v>0</v>
      </c>
      <c r="H109">
        <f t="shared" si="30"/>
        <v>0</v>
      </c>
      <c r="I109">
        <f t="shared" si="31"/>
        <v>0</v>
      </c>
      <c r="J109">
        <f t="shared" si="18"/>
        <v>0</v>
      </c>
      <c r="K109" t="e">
        <f t="shared" si="18"/>
        <v>#VALUE!</v>
      </c>
      <c r="L109" t="e">
        <f t="shared" si="26"/>
        <v>#VALUE!</v>
      </c>
      <c r="M109" t="e">
        <f t="shared" si="18"/>
        <v>#VALUE!</v>
      </c>
      <c r="N109" t="e">
        <f t="shared" si="18"/>
        <v>#VALUE!</v>
      </c>
    </row>
    <row r="110" spans="1:14" x14ac:dyDescent="0.2">
      <c r="A110">
        <f t="shared" si="27"/>
        <v>220000000</v>
      </c>
      <c r="B110">
        <f t="shared" si="20"/>
        <v>0</v>
      </c>
      <c r="C110">
        <f t="shared" si="21"/>
        <v>0</v>
      </c>
      <c r="D110">
        <f t="shared" si="21"/>
        <v>0</v>
      </c>
      <c r="E110">
        <f t="shared" si="21"/>
        <v>0</v>
      </c>
      <c r="F110">
        <f t="shared" si="28"/>
        <v>0</v>
      </c>
      <c r="G110">
        <f t="shared" si="29"/>
        <v>0</v>
      </c>
      <c r="H110">
        <f t="shared" si="30"/>
        <v>0</v>
      </c>
      <c r="I110">
        <f t="shared" si="31"/>
        <v>0</v>
      </c>
      <c r="J110">
        <f t="shared" si="18"/>
        <v>0</v>
      </c>
      <c r="K110" t="e">
        <f t="shared" si="18"/>
        <v>#VALUE!</v>
      </c>
      <c r="L110" t="e">
        <f t="shared" si="26"/>
        <v>#VALUE!</v>
      </c>
      <c r="M110" t="e">
        <f t="shared" si="18"/>
        <v>#VALUE!</v>
      </c>
      <c r="N110" t="e">
        <f t="shared" si="18"/>
        <v>#VALUE!</v>
      </c>
    </row>
    <row r="111" spans="1:14" x14ac:dyDescent="0.2">
      <c r="A111">
        <f t="shared" si="27"/>
        <v>270000000</v>
      </c>
      <c r="B111">
        <f t="shared" si="20"/>
        <v>0</v>
      </c>
      <c r="C111">
        <f t="shared" si="21"/>
        <v>0</v>
      </c>
      <c r="D111">
        <f t="shared" si="21"/>
        <v>0</v>
      </c>
      <c r="E111">
        <f t="shared" si="21"/>
        <v>0</v>
      </c>
      <c r="F111">
        <f t="shared" si="28"/>
        <v>0</v>
      </c>
      <c r="G111">
        <f t="shared" si="29"/>
        <v>0</v>
      </c>
      <c r="H111">
        <f t="shared" si="30"/>
        <v>0</v>
      </c>
      <c r="I111">
        <f t="shared" si="31"/>
        <v>0</v>
      </c>
      <c r="J111">
        <f t="shared" si="18"/>
        <v>0</v>
      </c>
      <c r="K111" t="e">
        <f t="shared" si="18"/>
        <v>#VALUE!</v>
      </c>
      <c r="L111" t="e">
        <f t="shared" si="26"/>
        <v>#VALUE!</v>
      </c>
      <c r="M111" t="e">
        <f t="shared" si="18"/>
        <v>#VALUE!</v>
      </c>
      <c r="N111" t="e">
        <f t="shared" si="18"/>
        <v>#VALUE!</v>
      </c>
    </row>
    <row r="112" spans="1:14" x14ac:dyDescent="0.2">
      <c r="A112">
        <f t="shared" si="27"/>
        <v>330000000</v>
      </c>
      <c r="B112">
        <f t="shared" si="20"/>
        <v>0</v>
      </c>
      <c r="C112">
        <f t="shared" si="21"/>
        <v>0</v>
      </c>
      <c r="D112">
        <f t="shared" si="21"/>
        <v>0</v>
      </c>
      <c r="E112">
        <f t="shared" si="21"/>
        <v>0</v>
      </c>
      <c r="F112">
        <f t="shared" si="28"/>
        <v>0</v>
      </c>
      <c r="G112">
        <f t="shared" si="29"/>
        <v>0</v>
      </c>
      <c r="H112">
        <f t="shared" si="30"/>
        <v>0</v>
      </c>
      <c r="I112">
        <f t="shared" si="31"/>
        <v>0</v>
      </c>
      <c r="J112">
        <f t="shared" si="18"/>
        <v>0</v>
      </c>
      <c r="K112" t="e">
        <f t="shared" si="18"/>
        <v>#VALUE!</v>
      </c>
      <c r="L112" t="e">
        <f t="shared" si="26"/>
        <v>#VALUE!</v>
      </c>
      <c r="M112" t="e">
        <f t="shared" si="18"/>
        <v>#VALUE!</v>
      </c>
      <c r="N112" t="e">
        <f t="shared" si="18"/>
        <v>#VALUE!</v>
      </c>
    </row>
    <row r="113" spans="1:14" x14ac:dyDescent="0.2">
      <c r="A113">
        <f t="shared" si="27"/>
        <v>390000000</v>
      </c>
      <c r="B113">
        <f t="shared" si="20"/>
        <v>0</v>
      </c>
      <c r="C113">
        <f t="shared" si="21"/>
        <v>0</v>
      </c>
      <c r="D113">
        <f t="shared" si="21"/>
        <v>0</v>
      </c>
      <c r="E113">
        <f t="shared" si="21"/>
        <v>0</v>
      </c>
      <c r="F113">
        <f t="shared" si="28"/>
        <v>0</v>
      </c>
      <c r="G113">
        <f t="shared" si="29"/>
        <v>0</v>
      </c>
      <c r="H113">
        <f t="shared" si="30"/>
        <v>0</v>
      </c>
      <c r="I113">
        <f t="shared" si="31"/>
        <v>0</v>
      </c>
      <c r="J113">
        <f t="shared" si="18"/>
        <v>0</v>
      </c>
      <c r="K113" t="e">
        <f t="shared" si="18"/>
        <v>#VALUE!</v>
      </c>
      <c r="L113" t="e">
        <f t="shared" si="26"/>
        <v>#VALUE!</v>
      </c>
      <c r="M113" t="e">
        <f t="shared" si="18"/>
        <v>#VALUE!</v>
      </c>
      <c r="N113" t="e">
        <f t="shared" si="18"/>
        <v>#VALUE!</v>
      </c>
    </row>
    <row r="114" spans="1:14" x14ac:dyDescent="0.2">
      <c r="A114">
        <f t="shared" si="27"/>
        <v>470000000</v>
      </c>
      <c r="B114">
        <f t="shared" si="20"/>
        <v>0</v>
      </c>
      <c r="C114">
        <f t="shared" si="21"/>
        <v>0</v>
      </c>
      <c r="D114">
        <f t="shared" si="21"/>
        <v>0</v>
      </c>
      <c r="E114">
        <f t="shared" si="21"/>
        <v>0</v>
      </c>
      <c r="F114">
        <f t="shared" si="28"/>
        <v>0</v>
      </c>
      <c r="G114">
        <f t="shared" si="29"/>
        <v>0</v>
      </c>
      <c r="H114">
        <f t="shared" si="30"/>
        <v>0</v>
      </c>
      <c r="I114">
        <f t="shared" si="31"/>
        <v>0</v>
      </c>
      <c r="J114">
        <f t="shared" si="18"/>
        <v>0</v>
      </c>
      <c r="K114" t="e">
        <f t="shared" si="18"/>
        <v>#VALUE!</v>
      </c>
      <c r="L114" t="e">
        <f t="shared" si="26"/>
        <v>#VALUE!</v>
      </c>
      <c r="M114" t="e">
        <f t="shared" si="18"/>
        <v>#VALUE!</v>
      </c>
      <c r="N114" t="e">
        <f t="shared" si="18"/>
        <v>#VALUE!</v>
      </c>
    </row>
    <row r="115" spans="1:14" x14ac:dyDescent="0.2">
      <c r="A115">
        <f t="shared" si="27"/>
        <v>560000000</v>
      </c>
      <c r="B115">
        <f t="shared" si="20"/>
        <v>0</v>
      </c>
      <c r="C115">
        <f t="shared" si="21"/>
        <v>0</v>
      </c>
      <c r="D115">
        <f t="shared" si="21"/>
        <v>0</v>
      </c>
      <c r="E115">
        <f t="shared" si="21"/>
        <v>0</v>
      </c>
      <c r="F115">
        <f t="shared" si="28"/>
        <v>0</v>
      </c>
      <c r="G115">
        <f t="shared" si="29"/>
        <v>0</v>
      </c>
      <c r="H115">
        <f t="shared" si="30"/>
        <v>0</v>
      </c>
      <c r="I115">
        <f t="shared" si="31"/>
        <v>0</v>
      </c>
      <c r="J115">
        <f t="shared" si="18"/>
        <v>0</v>
      </c>
      <c r="K115" t="e">
        <f t="shared" si="18"/>
        <v>#VALUE!</v>
      </c>
      <c r="L115" t="e">
        <f t="shared" si="26"/>
        <v>#VALUE!</v>
      </c>
      <c r="M115" t="e">
        <f t="shared" si="18"/>
        <v>#VALUE!</v>
      </c>
      <c r="N115" t="e">
        <f t="shared" si="18"/>
        <v>#VALUE!</v>
      </c>
    </row>
    <row r="116" spans="1:14" x14ac:dyDescent="0.2">
      <c r="A116">
        <f t="shared" si="27"/>
        <v>680000000</v>
      </c>
      <c r="B116">
        <f t="shared" si="20"/>
        <v>0</v>
      </c>
      <c r="C116">
        <f t="shared" si="21"/>
        <v>0</v>
      </c>
      <c r="D116">
        <f t="shared" si="21"/>
        <v>0</v>
      </c>
      <c r="E116">
        <f t="shared" si="21"/>
        <v>0</v>
      </c>
      <c r="F116">
        <f t="shared" si="28"/>
        <v>0</v>
      </c>
      <c r="G116">
        <f t="shared" si="29"/>
        <v>0</v>
      </c>
      <c r="H116">
        <f t="shared" si="30"/>
        <v>0</v>
      </c>
      <c r="I116">
        <f t="shared" si="31"/>
        <v>0</v>
      </c>
      <c r="J116">
        <f t="shared" si="18"/>
        <v>0</v>
      </c>
      <c r="K116" t="e">
        <f t="shared" si="18"/>
        <v>#VALUE!</v>
      </c>
      <c r="L116" t="e">
        <f t="shared" si="26"/>
        <v>#VALUE!</v>
      </c>
      <c r="M116" t="e">
        <f t="shared" si="18"/>
        <v>#VALUE!</v>
      </c>
      <c r="N116" t="e">
        <f t="shared" si="18"/>
        <v>#VALUE!</v>
      </c>
    </row>
    <row r="117" spans="1:14" x14ac:dyDescent="0.2">
      <c r="A117">
        <f t="shared" si="27"/>
        <v>820000000</v>
      </c>
      <c r="B117">
        <f t="shared" si="20"/>
        <v>0</v>
      </c>
      <c r="C117">
        <f t="shared" si="21"/>
        <v>0</v>
      </c>
      <c r="D117">
        <f t="shared" si="21"/>
        <v>0</v>
      </c>
      <c r="E117">
        <f t="shared" si="21"/>
        <v>0</v>
      </c>
      <c r="F117">
        <f t="shared" si="28"/>
        <v>0</v>
      </c>
      <c r="G117">
        <f t="shared" si="29"/>
        <v>0</v>
      </c>
      <c r="H117">
        <f t="shared" si="30"/>
        <v>0</v>
      </c>
      <c r="I117">
        <f t="shared" si="31"/>
        <v>0</v>
      </c>
      <c r="J117">
        <f t="shared" si="18"/>
        <v>0</v>
      </c>
      <c r="K117" t="e">
        <f t="shared" si="18"/>
        <v>#VALUE!</v>
      </c>
      <c r="L117" t="e">
        <f t="shared" si="26"/>
        <v>#VALUE!</v>
      </c>
      <c r="M117" t="e">
        <f t="shared" si="18"/>
        <v>#VALUE!</v>
      </c>
      <c r="N117" t="e">
        <f t="shared" si="18"/>
        <v>#VALUE!</v>
      </c>
    </row>
    <row r="118" spans="1:14" x14ac:dyDescent="0.2">
      <c r="A118">
        <f t="shared" si="27"/>
        <v>1000000000</v>
      </c>
      <c r="B118">
        <f t="shared" si="20"/>
        <v>0</v>
      </c>
      <c r="C118">
        <f t="shared" si="21"/>
        <v>0</v>
      </c>
      <c r="D118">
        <f t="shared" si="21"/>
        <v>0</v>
      </c>
      <c r="E118">
        <f t="shared" si="21"/>
        <v>0</v>
      </c>
      <c r="F118">
        <f t="shared" si="28"/>
        <v>0</v>
      </c>
      <c r="G118">
        <f t="shared" si="29"/>
        <v>0</v>
      </c>
      <c r="H118">
        <f t="shared" si="30"/>
        <v>0</v>
      </c>
      <c r="I118">
        <f t="shared" si="31"/>
        <v>0</v>
      </c>
      <c r="J118">
        <f t="shared" si="18"/>
        <v>0</v>
      </c>
      <c r="K118" t="e">
        <f t="shared" si="18"/>
        <v>#VALUE!</v>
      </c>
      <c r="L118" t="e">
        <f t="shared" si="26"/>
        <v>#VALUE!</v>
      </c>
      <c r="M118" t="e">
        <f t="shared" si="18"/>
        <v>#VALUE!</v>
      </c>
      <c r="N118" t="e">
        <f t="shared" si="18"/>
        <v>#VALUE!</v>
      </c>
    </row>
    <row r="119" spans="1:14" x14ac:dyDescent="0.2">
      <c r="A119">
        <f t="shared" si="27"/>
        <v>1200000000</v>
      </c>
      <c r="B119">
        <f t="shared" si="20"/>
        <v>0</v>
      </c>
      <c r="C119">
        <f t="shared" si="21"/>
        <v>0</v>
      </c>
      <c r="D119">
        <f t="shared" si="21"/>
        <v>0</v>
      </c>
      <c r="E119">
        <f t="shared" si="21"/>
        <v>0</v>
      </c>
      <c r="F119">
        <f t="shared" si="28"/>
        <v>0</v>
      </c>
      <c r="G119">
        <f t="shared" si="29"/>
        <v>0</v>
      </c>
      <c r="H119">
        <f t="shared" si="30"/>
        <v>0</v>
      </c>
      <c r="I119">
        <f t="shared" si="31"/>
        <v>0</v>
      </c>
      <c r="J119">
        <f t="shared" si="18"/>
        <v>0</v>
      </c>
      <c r="K119" t="e">
        <f t="shared" si="18"/>
        <v>#VALUE!</v>
      </c>
      <c r="L119" t="e">
        <f t="shared" si="26"/>
        <v>#VALUE!</v>
      </c>
      <c r="M119" t="e">
        <f t="shared" si="18"/>
        <v>#VALUE!</v>
      </c>
      <c r="N119" t="e">
        <f t="shared" si="18"/>
        <v>#VALUE!</v>
      </c>
    </row>
    <row r="120" spans="1:14" x14ac:dyDescent="0.2">
      <c r="A120">
        <f t="shared" si="27"/>
        <v>1500000000</v>
      </c>
      <c r="B120">
        <f t="shared" si="20"/>
        <v>0</v>
      </c>
      <c r="C120">
        <f t="shared" si="21"/>
        <v>0</v>
      </c>
      <c r="D120">
        <f t="shared" si="21"/>
        <v>0</v>
      </c>
      <c r="E120">
        <f t="shared" si="21"/>
        <v>0</v>
      </c>
      <c r="F120">
        <f t="shared" si="28"/>
        <v>0</v>
      </c>
      <c r="G120">
        <f t="shared" si="29"/>
        <v>0</v>
      </c>
      <c r="H120">
        <f t="shared" si="30"/>
        <v>0</v>
      </c>
      <c r="I120">
        <f t="shared" si="31"/>
        <v>0</v>
      </c>
      <c r="J120">
        <f t="shared" si="18"/>
        <v>0</v>
      </c>
      <c r="K120" t="e">
        <f t="shared" si="18"/>
        <v>#VALUE!</v>
      </c>
      <c r="L120" t="e">
        <f t="shared" si="26"/>
        <v>#VALUE!</v>
      </c>
      <c r="M120" t="e">
        <f t="shared" si="18"/>
        <v>#VALUE!</v>
      </c>
      <c r="N120" t="e">
        <f t="shared" si="18"/>
        <v>#VALUE!</v>
      </c>
    </row>
    <row r="121" spans="1:14" x14ac:dyDescent="0.2">
      <c r="A121">
        <f t="shared" si="27"/>
        <v>1800000000</v>
      </c>
      <c r="B121">
        <f t="shared" si="20"/>
        <v>0</v>
      </c>
      <c r="C121">
        <f t="shared" si="21"/>
        <v>0</v>
      </c>
      <c r="D121">
        <f t="shared" si="21"/>
        <v>0</v>
      </c>
      <c r="E121">
        <f t="shared" si="21"/>
        <v>0</v>
      </c>
      <c r="F121">
        <f t="shared" si="28"/>
        <v>0</v>
      </c>
      <c r="G121">
        <f t="shared" si="29"/>
        <v>0</v>
      </c>
      <c r="H121">
        <f t="shared" si="30"/>
        <v>0</v>
      </c>
      <c r="I121">
        <f t="shared" si="31"/>
        <v>0</v>
      </c>
      <c r="J121">
        <f t="shared" si="18"/>
        <v>0</v>
      </c>
      <c r="K121" t="e">
        <f t="shared" si="18"/>
        <v>#VALUE!</v>
      </c>
      <c r="L121" t="e">
        <f t="shared" si="26"/>
        <v>#VALUE!</v>
      </c>
      <c r="M121" t="e">
        <f t="shared" si="18"/>
        <v>#VALUE!</v>
      </c>
      <c r="N121" t="e">
        <f t="shared" si="18"/>
        <v>#VALUE!</v>
      </c>
    </row>
    <row r="122" spans="1:14" x14ac:dyDescent="0.2">
      <c r="A122">
        <f t="shared" si="27"/>
        <v>2200000000</v>
      </c>
      <c r="B122">
        <f t="shared" si="20"/>
        <v>0</v>
      </c>
      <c r="C122">
        <f t="shared" si="21"/>
        <v>0</v>
      </c>
      <c r="D122">
        <f t="shared" si="21"/>
        <v>0</v>
      </c>
      <c r="E122">
        <f t="shared" si="21"/>
        <v>0</v>
      </c>
      <c r="F122">
        <f t="shared" si="28"/>
        <v>0</v>
      </c>
      <c r="G122">
        <f t="shared" si="29"/>
        <v>0</v>
      </c>
      <c r="H122">
        <f t="shared" si="30"/>
        <v>0</v>
      </c>
      <c r="I122">
        <f t="shared" si="31"/>
        <v>0</v>
      </c>
      <c r="J122">
        <f t="shared" si="18"/>
        <v>0</v>
      </c>
      <c r="K122" t="e">
        <f t="shared" si="18"/>
        <v>#VALUE!</v>
      </c>
      <c r="L122" t="e">
        <f t="shared" si="26"/>
        <v>#VALUE!</v>
      </c>
      <c r="M122" t="e">
        <f t="shared" si="18"/>
        <v>#VALUE!</v>
      </c>
      <c r="N122" t="e">
        <f t="shared" si="18"/>
        <v>#VALUE!</v>
      </c>
    </row>
    <row r="123" spans="1:14" x14ac:dyDescent="0.2">
      <c r="A123">
        <f t="shared" si="27"/>
        <v>2700000000</v>
      </c>
      <c r="B123">
        <f t="shared" si="20"/>
        <v>0</v>
      </c>
      <c r="C123">
        <f t="shared" si="21"/>
        <v>0</v>
      </c>
      <c r="D123">
        <f t="shared" si="21"/>
        <v>0</v>
      </c>
      <c r="E123">
        <f t="shared" si="21"/>
        <v>0</v>
      </c>
      <c r="F123">
        <f t="shared" si="28"/>
        <v>0</v>
      </c>
      <c r="G123">
        <f t="shared" si="29"/>
        <v>0</v>
      </c>
      <c r="H123">
        <f t="shared" si="30"/>
        <v>0</v>
      </c>
      <c r="I123">
        <f t="shared" si="31"/>
        <v>0</v>
      </c>
      <c r="J123">
        <f t="shared" si="18"/>
        <v>0</v>
      </c>
      <c r="K123" t="e">
        <f t="shared" si="18"/>
        <v>#VALUE!</v>
      </c>
      <c r="L123" t="e">
        <f t="shared" si="26"/>
        <v>#VALUE!</v>
      </c>
      <c r="M123" t="e">
        <f t="shared" si="18"/>
        <v>#VALUE!</v>
      </c>
      <c r="N123" t="e">
        <f t="shared" si="18"/>
        <v>#VALUE!</v>
      </c>
    </row>
    <row r="124" spans="1:14" x14ac:dyDescent="0.2">
      <c r="A124">
        <f t="shared" si="27"/>
        <v>3300000000</v>
      </c>
      <c r="B124">
        <f t="shared" si="20"/>
        <v>0</v>
      </c>
      <c r="C124">
        <f t="shared" si="21"/>
        <v>0</v>
      </c>
      <c r="D124">
        <f t="shared" si="21"/>
        <v>0</v>
      </c>
      <c r="E124">
        <f t="shared" si="21"/>
        <v>0</v>
      </c>
      <c r="F124">
        <f t="shared" si="28"/>
        <v>0</v>
      </c>
      <c r="G124">
        <f t="shared" si="29"/>
        <v>0</v>
      </c>
      <c r="H124">
        <f t="shared" si="30"/>
        <v>0</v>
      </c>
      <c r="I124">
        <f t="shared" si="31"/>
        <v>0</v>
      </c>
      <c r="J124">
        <f t="shared" si="18"/>
        <v>0</v>
      </c>
      <c r="K124" t="e">
        <f t="shared" si="18"/>
        <v>#VALUE!</v>
      </c>
      <c r="L124" t="e">
        <f t="shared" si="26"/>
        <v>#VALUE!</v>
      </c>
      <c r="M124" t="e">
        <f t="shared" si="18"/>
        <v>#VALUE!</v>
      </c>
      <c r="N124" t="e">
        <f t="shared" si="18"/>
        <v>#VALUE!</v>
      </c>
    </row>
    <row r="125" spans="1:14" x14ac:dyDescent="0.2">
      <c r="A125">
        <f t="shared" si="27"/>
        <v>3900000000</v>
      </c>
      <c r="B125">
        <f t="shared" si="20"/>
        <v>0</v>
      </c>
      <c r="C125">
        <f t="shared" si="21"/>
        <v>0</v>
      </c>
      <c r="D125">
        <f t="shared" si="21"/>
        <v>0</v>
      </c>
      <c r="E125">
        <f t="shared" si="21"/>
        <v>0</v>
      </c>
      <c r="F125">
        <f t="shared" si="28"/>
        <v>0</v>
      </c>
      <c r="G125">
        <f t="shared" si="29"/>
        <v>0</v>
      </c>
      <c r="H125">
        <f t="shared" si="30"/>
        <v>0</v>
      </c>
      <c r="I125">
        <f t="shared" si="31"/>
        <v>0</v>
      </c>
      <c r="J125">
        <f t="shared" si="18"/>
        <v>0</v>
      </c>
      <c r="K125" t="e">
        <f t="shared" si="18"/>
        <v>#VALUE!</v>
      </c>
      <c r="L125" t="e">
        <f t="shared" si="26"/>
        <v>#VALUE!</v>
      </c>
      <c r="M125" t="e">
        <f t="shared" si="18"/>
        <v>#VALUE!</v>
      </c>
      <c r="N125" t="e">
        <f t="shared" si="18"/>
        <v>#VALUE!</v>
      </c>
    </row>
    <row r="126" spans="1:14" x14ac:dyDescent="0.2">
      <c r="A126">
        <f t="shared" si="27"/>
        <v>4700000000</v>
      </c>
      <c r="B126">
        <f t="shared" si="20"/>
        <v>0</v>
      </c>
      <c r="C126">
        <f t="shared" si="21"/>
        <v>0</v>
      </c>
      <c r="D126">
        <f t="shared" si="21"/>
        <v>0</v>
      </c>
      <c r="E126">
        <f t="shared" si="21"/>
        <v>0</v>
      </c>
      <c r="F126">
        <f t="shared" si="28"/>
        <v>0</v>
      </c>
      <c r="G126">
        <f t="shared" si="29"/>
        <v>0</v>
      </c>
      <c r="H126">
        <f t="shared" si="30"/>
        <v>0</v>
      </c>
      <c r="I126">
        <f t="shared" si="31"/>
        <v>0</v>
      </c>
      <c r="J126">
        <f t="shared" si="18"/>
        <v>0</v>
      </c>
      <c r="K126" t="e">
        <f t="shared" si="18"/>
        <v>#VALUE!</v>
      </c>
      <c r="L126" t="e">
        <f t="shared" si="26"/>
        <v>#VALUE!</v>
      </c>
      <c r="M126" t="e">
        <f t="shared" si="18"/>
        <v>#VALUE!</v>
      </c>
      <c r="N126" t="e">
        <f t="shared" si="18"/>
        <v>#VALUE!</v>
      </c>
    </row>
    <row r="127" spans="1:14" x14ac:dyDescent="0.2">
      <c r="A127">
        <f t="shared" si="27"/>
        <v>5600000000</v>
      </c>
      <c r="B127">
        <f t="shared" si="20"/>
        <v>0</v>
      </c>
      <c r="C127">
        <f t="shared" si="21"/>
        <v>0</v>
      </c>
      <c r="D127">
        <f t="shared" si="21"/>
        <v>0</v>
      </c>
      <c r="E127">
        <f t="shared" si="21"/>
        <v>0</v>
      </c>
      <c r="F127">
        <f t="shared" si="28"/>
        <v>0</v>
      </c>
      <c r="G127">
        <f t="shared" si="29"/>
        <v>0</v>
      </c>
      <c r="H127">
        <f t="shared" si="30"/>
        <v>0</v>
      </c>
      <c r="I127">
        <f t="shared" si="31"/>
        <v>0</v>
      </c>
      <c r="J127">
        <f t="shared" si="18"/>
        <v>0</v>
      </c>
      <c r="K127" t="e">
        <f t="shared" si="18"/>
        <v>#VALUE!</v>
      </c>
      <c r="L127" t="e">
        <f t="shared" si="26"/>
        <v>#VALUE!</v>
      </c>
      <c r="M127" t="e">
        <f t="shared" si="18"/>
        <v>#VALUE!</v>
      </c>
      <c r="N127" t="e">
        <f t="shared" si="18"/>
        <v>#VALUE!</v>
      </c>
    </row>
    <row r="128" spans="1:14" x14ac:dyDescent="0.2">
      <c r="A128">
        <f t="shared" si="27"/>
        <v>6800000000</v>
      </c>
      <c r="B128">
        <f t="shared" si="20"/>
        <v>0</v>
      </c>
      <c r="C128">
        <f t="shared" si="21"/>
        <v>0</v>
      </c>
      <c r="D128">
        <f t="shared" si="21"/>
        <v>0</v>
      </c>
      <c r="E128">
        <f t="shared" si="21"/>
        <v>0</v>
      </c>
      <c r="F128">
        <f t="shared" si="28"/>
        <v>0</v>
      </c>
      <c r="G128">
        <f t="shared" si="29"/>
        <v>0</v>
      </c>
      <c r="H128">
        <f t="shared" si="30"/>
        <v>0</v>
      </c>
      <c r="I128">
        <f t="shared" si="31"/>
        <v>0</v>
      </c>
      <c r="J128">
        <f t="shared" si="18"/>
        <v>0</v>
      </c>
      <c r="K128" t="e">
        <f t="shared" si="18"/>
        <v>#VALUE!</v>
      </c>
      <c r="L128" t="e">
        <f t="shared" si="26"/>
        <v>#VALUE!</v>
      </c>
      <c r="M128" t="e">
        <f t="shared" si="18"/>
        <v>#VALUE!</v>
      </c>
      <c r="N128" t="e">
        <f t="shared" si="18"/>
        <v>#VALUE!</v>
      </c>
    </row>
    <row r="129" spans="1:14" x14ac:dyDescent="0.2">
      <c r="A129">
        <f t="shared" si="27"/>
        <v>8200000000</v>
      </c>
      <c r="B129">
        <f t="shared" si="20"/>
        <v>0</v>
      </c>
      <c r="C129">
        <f t="shared" si="21"/>
        <v>0</v>
      </c>
      <c r="D129">
        <f t="shared" si="21"/>
        <v>0</v>
      </c>
      <c r="E129">
        <f t="shared" si="21"/>
        <v>0</v>
      </c>
      <c r="F129">
        <f t="shared" si="28"/>
        <v>0</v>
      </c>
      <c r="G129">
        <f t="shared" si="29"/>
        <v>0</v>
      </c>
      <c r="H129">
        <f t="shared" si="30"/>
        <v>0</v>
      </c>
      <c r="I129">
        <f t="shared" si="31"/>
        <v>0</v>
      </c>
      <c r="J129">
        <f t="shared" si="18"/>
        <v>0</v>
      </c>
      <c r="K129" t="e">
        <f t="shared" si="18"/>
        <v>#VALUE!</v>
      </c>
      <c r="L129" t="e">
        <f t="shared" si="26"/>
        <v>#VALUE!</v>
      </c>
      <c r="M129" t="e">
        <f t="shared" si="18"/>
        <v>#VALUE!</v>
      </c>
      <c r="N129" t="e">
        <f t="shared" si="18"/>
        <v>#VALUE!</v>
      </c>
    </row>
    <row r="130" spans="1:14" x14ac:dyDescent="0.2">
      <c r="A130">
        <f t="shared" si="27"/>
        <v>10000000000</v>
      </c>
      <c r="B130">
        <f t="shared" si="20"/>
        <v>0</v>
      </c>
      <c r="C130">
        <f t="shared" si="21"/>
        <v>0</v>
      </c>
      <c r="D130">
        <f t="shared" si="21"/>
        <v>0</v>
      </c>
      <c r="E130">
        <f t="shared" si="21"/>
        <v>0</v>
      </c>
      <c r="F130">
        <f t="shared" si="28"/>
        <v>0</v>
      </c>
      <c r="G130">
        <f t="shared" si="29"/>
        <v>0</v>
      </c>
      <c r="H130">
        <f t="shared" si="30"/>
        <v>0</v>
      </c>
      <c r="I130">
        <f t="shared" si="31"/>
        <v>0</v>
      </c>
      <c r="J130">
        <f t="shared" si="18"/>
        <v>0</v>
      </c>
      <c r="K130" t="e">
        <f t="shared" si="18"/>
        <v>#VALUE!</v>
      </c>
      <c r="L130" t="e">
        <f t="shared" si="26"/>
        <v>#VALUE!</v>
      </c>
      <c r="M130" t="e">
        <f t="shared" si="18"/>
        <v>#VALUE!</v>
      </c>
      <c r="N130" t="e">
        <f t="shared" si="18"/>
        <v>#VALUE!</v>
      </c>
    </row>
    <row r="131" spans="1:14" x14ac:dyDescent="0.2">
      <c r="A131">
        <f t="shared" si="27"/>
        <v>12000000000</v>
      </c>
      <c r="B131">
        <f t="shared" si="20"/>
        <v>0</v>
      </c>
      <c r="C131">
        <f t="shared" si="21"/>
        <v>0</v>
      </c>
      <c r="D131">
        <f t="shared" si="21"/>
        <v>0</v>
      </c>
      <c r="E131">
        <f t="shared" si="21"/>
        <v>0</v>
      </c>
      <c r="F131">
        <f t="shared" si="28"/>
        <v>0</v>
      </c>
      <c r="G131">
        <f t="shared" si="29"/>
        <v>0</v>
      </c>
      <c r="H131">
        <f t="shared" si="30"/>
        <v>0</v>
      </c>
      <c r="I131">
        <f t="shared" si="31"/>
        <v>0</v>
      </c>
      <c r="J131">
        <f t="shared" si="18"/>
        <v>0</v>
      </c>
      <c r="K131" t="e">
        <f t="shared" si="18"/>
        <v>#VALUE!</v>
      </c>
      <c r="L131" t="e">
        <f t="shared" si="26"/>
        <v>#VALUE!</v>
      </c>
      <c r="M131" t="e">
        <f t="shared" si="18"/>
        <v>#VALUE!</v>
      </c>
      <c r="N131" t="e">
        <f t="shared" si="18"/>
        <v>#VALUE!</v>
      </c>
    </row>
    <row r="132" spans="1:14" x14ac:dyDescent="0.2">
      <c r="A132">
        <f t="shared" si="27"/>
        <v>15000000000</v>
      </c>
      <c r="B132">
        <f t="shared" si="20"/>
        <v>0</v>
      </c>
      <c r="C132">
        <f t="shared" si="21"/>
        <v>0</v>
      </c>
      <c r="D132">
        <f t="shared" si="21"/>
        <v>0</v>
      </c>
      <c r="E132">
        <f t="shared" si="21"/>
        <v>0</v>
      </c>
      <c r="F132">
        <f t="shared" si="28"/>
        <v>0</v>
      </c>
      <c r="G132">
        <f t="shared" si="29"/>
        <v>0</v>
      </c>
      <c r="H132">
        <f t="shared" si="30"/>
        <v>0</v>
      </c>
      <c r="I132">
        <f t="shared" si="31"/>
        <v>0</v>
      </c>
      <c r="J132">
        <f t="shared" si="18"/>
        <v>0</v>
      </c>
      <c r="K132" t="e">
        <f>IF(IF((K$3*10^12-$A133)*(K$3*10^12-$A132)*-1&lt;0,0,1)*IF(ABS(K$3*10^12-$A133)&gt;(K$3*10^12-$A132),$A132,$A133)=K133,0,IF((K$3*10^12-$A133)*(K$3*10^12-$A132)*-1&lt;0,0,1)*IF(ABS(K$3*10^12-$A133)&gt;(K$3*10^12-$A132),$A132,$A133))</f>
        <v>#VALUE!</v>
      </c>
      <c r="L132" t="e">
        <f>IF(IF((L$3*10^12-$A133)*(L$3*10^12-$A132)*-1&lt;0,0,1)*IF(ABS(L$3*10^12-$A133)&gt;(L$3*10^12-$A132),$A132,$A133)=L133,0,IF((L$3*10^12-$A133)*(L$3*10^12-$A132)*-1&lt;0,0,1)*IF(ABS(L$3*10^12-$A133)&gt;(L$3*10^12-$A132),$A132,$A133))</f>
        <v>#VALUE!</v>
      </c>
      <c r="M132" t="e">
        <f t="shared" si="18"/>
        <v>#VALUE!</v>
      </c>
      <c r="N132" t="e">
        <f t="shared" si="18"/>
        <v>#VALUE!</v>
      </c>
    </row>
    <row r="133" spans="1:14" x14ac:dyDescent="0.2">
      <c r="A133">
        <f t="shared" si="27"/>
        <v>18000000000</v>
      </c>
      <c r="B133">
        <f t="shared" si="20"/>
        <v>0</v>
      </c>
      <c r="C133">
        <f t="shared" si="21"/>
        <v>0</v>
      </c>
      <c r="D133">
        <f t="shared" si="21"/>
        <v>0</v>
      </c>
      <c r="E133">
        <f t="shared" si="21"/>
        <v>0</v>
      </c>
      <c r="F133">
        <f t="shared" si="28"/>
        <v>0</v>
      </c>
      <c r="G133">
        <f t="shared" si="29"/>
        <v>0</v>
      </c>
      <c r="H133">
        <f t="shared" si="30"/>
        <v>0</v>
      </c>
      <c r="I133">
        <f t="shared" si="31"/>
        <v>0</v>
      </c>
      <c r="J133">
        <f t="shared" ref="J133:L134" si="32">IF(IF((J$3*10^12-$A134)*(J$3*10^12-$A133)*-1&lt;0,0,1)*IF(ABS(J$3*10^12-$A134)&gt;(J$3*10^12-$A133),$A133,$A134)=J134,0,IF((J$3*10^12-$A134)*(J$3*10^12-$A133)*-1&lt;0,0,1)*IF(ABS(J$3*10^12-$A134)&gt;(J$3*10^12-$A133),$A133,$A134))</f>
        <v>0</v>
      </c>
      <c r="K133" t="e">
        <f t="shared" si="32"/>
        <v>#VALUE!</v>
      </c>
      <c r="L133" t="e">
        <f t="shared" si="32"/>
        <v>#VALUE!</v>
      </c>
      <c r="M133" t="e">
        <f>IF(IF((M$3*10^12-$A134)*(M$3*10^12-$A133)*-1&lt;0,0,1)*IF(ABS(M$3*10^12-$A134)&gt;(M$3*10^12-$A133),$A133,$A134)=M134,0,IF((M$3*10^12-$A134)*(M$3*10^12-$A133)*-1&lt;0,0,1)*IF(ABS(M$3*10^12-$A134)&gt;(M$3*10^12-$A133),$A133,$A134))</f>
        <v>#VALUE!</v>
      </c>
      <c r="N133" t="e">
        <f>IF(IF((N$3*10^12-$A134)*(N$3*10^12-$A133)*-1&lt;0,0,1)*IF(ABS(N$3*10^12-$A134)&gt;(N$3*10^12-$A133),$A133,$A134)=N134,0,IF((N$3*10^12-$A134)*(N$3*10^12-$A133)*-1&lt;0,0,1)*IF(ABS(N$3*10^12-$A134)&gt;(N$3*10^12-$A133),$A133,$A134))</f>
        <v>#VALUE!</v>
      </c>
    </row>
    <row r="134" spans="1:14" x14ac:dyDescent="0.2">
      <c r="A134">
        <f t="shared" si="27"/>
        <v>22000000000</v>
      </c>
      <c r="B134">
        <f t="shared" si="20"/>
        <v>0</v>
      </c>
      <c r="C134">
        <f t="shared" si="21"/>
        <v>0</v>
      </c>
      <c r="D134">
        <f t="shared" si="21"/>
        <v>0</v>
      </c>
      <c r="E134">
        <f t="shared" ref="E134:N159" si="33">IF(IF((E$3*10^12-$A135)*(E$3*10^12-$A134)*-1&lt;0,0,1)*IF(ABS(E$3*10^12-$A135)&gt;(E$3*10^12-$A134),$A134,$A135)=E135,0,IF((E$3*10^12-$A135)*(E$3*10^12-$A134)*-1&lt;0,0,1)*IF(ABS(E$3*10^12-$A135)&gt;(E$3*10^12-$A134),$A134,$A135))</f>
        <v>0</v>
      </c>
      <c r="F134">
        <f t="shared" si="28"/>
        <v>0</v>
      </c>
      <c r="G134">
        <f t="shared" si="29"/>
        <v>0</v>
      </c>
      <c r="H134">
        <f t="shared" si="30"/>
        <v>0</v>
      </c>
      <c r="I134">
        <f t="shared" si="31"/>
        <v>0</v>
      </c>
      <c r="J134">
        <f t="shared" si="32"/>
        <v>0</v>
      </c>
      <c r="K134" t="e">
        <f t="shared" si="32"/>
        <v>#VALUE!</v>
      </c>
      <c r="L134" t="e">
        <f t="shared" si="32"/>
        <v>#VALUE!</v>
      </c>
      <c r="M134" t="e">
        <f>IF(IF((M$3*10^12-$A135)*(M$3*10^12-$A134)*-1&lt;0,0,1)*IF(ABS(M$3*10^12-$A135)&gt;(M$3*10^12-$A134),$A134,$A135)=M135,0,IF((M$3*10^12-$A135)*(M$3*10^12-$A134)*-1&lt;0,0,1)*IF(ABS(M$3*10^12-$A135)&gt;(M$3*10^12-$A134),$A134,$A135))</f>
        <v>#VALUE!</v>
      </c>
      <c r="N134" t="e">
        <f>IF(IF((N$3*10^12-$A135)*(N$3*10^12-$A134)*-1&lt;0,0,1)*IF(ABS(N$3*10^12-$A135)&gt;(N$3*10^12-$A134),$A134,$A135)=N135,0,IF((N$3*10^12-$A135)*(N$3*10^12-$A134)*-1&lt;0,0,1)*IF(ABS(N$3*10^12-$A135)&gt;(N$3*10^12-$A134),$A134,$A135))</f>
        <v>#VALUE!</v>
      </c>
    </row>
    <row r="135" spans="1:14" x14ac:dyDescent="0.2">
      <c r="A135">
        <f t="shared" si="27"/>
        <v>27000000000</v>
      </c>
      <c r="B135">
        <f t="shared" ref="B135:B159" si="34">IF(IF((B$3*10^12-$A136)*(B$3*10^12-$A135)*-1&lt;0,0,1)*IF(ABS(B$3*10^12-$A136)&gt;(B$3*10^12-$A135),$A135,$A136)=B136,0,IF((B$3*10^12-$A136)*(B$3*10^12-$A135)*-1&lt;0,0,1)*IF(ABS(B$3*10^12-$A136)&gt;(B$3*10^12-$A135),$A135,$A136))</f>
        <v>0</v>
      </c>
      <c r="C135">
        <f t="shared" ref="C135:D159" si="35">IF(IF((C$3*10^12-$A136)*(C$3*10^12-$A135)*-1&lt;0,0,1)*IF(ABS(C$3*10^12-$A136)&gt;(C$3*10^12-$A135),$A135,$A136)=C136,0,IF((C$3*10^12-$A136)*(C$3*10^12-$A135)*-1&lt;0,0,1)*IF(ABS(C$3*10^12-$A136)&gt;(C$3*10^12-$A135),$A135,$A136))</f>
        <v>0</v>
      </c>
      <c r="D135">
        <f t="shared" si="35"/>
        <v>0</v>
      </c>
      <c r="E135">
        <f t="shared" si="33"/>
        <v>0</v>
      </c>
      <c r="F135">
        <f t="shared" si="33"/>
        <v>0</v>
      </c>
      <c r="G135">
        <f t="shared" si="33"/>
        <v>0</v>
      </c>
      <c r="H135">
        <f t="shared" si="33"/>
        <v>0</v>
      </c>
      <c r="I135">
        <f t="shared" si="33"/>
        <v>0</v>
      </c>
      <c r="J135">
        <f t="shared" si="33"/>
        <v>0</v>
      </c>
      <c r="K135" t="e">
        <f t="shared" si="33"/>
        <v>#VALUE!</v>
      </c>
      <c r="L135" t="e">
        <f t="shared" si="33"/>
        <v>#VALUE!</v>
      </c>
      <c r="M135" t="e">
        <f t="shared" si="33"/>
        <v>#VALUE!</v>
      </c>
      <c r="N135" t="e">
        <f t="shared" si="33"/>
        <v>#VALUE!</v>
      </c>
    </row>
    <row r="136" spans="1:14" x14ac:dyDescent="0.2">
      <c r="A136">
        <f t="shared" si="27"/>
        <v>33000000000</v>
      </c>
      <c r="B136">
        <f t="shared" si="34"/>
        <v>0</v>
      </c>
      <c r="C136">
        <f t="shared" si="35"/>
        <v>0</v>
      </c>
      <c r="D136">
        <f t="shared" si="35"/>
        <v>0</v>
      </c>
      <c r="E136">
        <f t="shared" si="33"/>
        <v>0</v>
      </c>
      <c r="F136">
        <f t="shared" si="33"/>
        <v>0</v>
      </c>
      <c r="G136">
        <f t="shared" si="33"/>
        <v>0</v>
      </c>
      <c r="H136">
        <f t="shared" si="33"/>
        <v>0</v>
      </c>
      <c r="I136">
        <f t="shared" si="33"/>
        <v>0</v>
      </c>
      <c r="J136">
        <f t="shared" si="33"/>
        <v>0</v>
      </c>
      <c r="K136" t="e">
        <f t="shared" si="33"/>
        <v>#VALUE!</v>
      </c>
      <c r="L136" t="e">
        <f t="shared" si="33"/>
        <v>#VALUE!</v>
      </c>
      <c r="M136" t="e">
        <f t="shared" si="33"/>
        <v>#VALUE!</v>
      </c>
      <c r="N136" t="e">
        <f t="shared" si="33"/>
        <v>#VALUE!</v>
      </c>
    </row>
    <row r="137" spans="1:14" x14ac:dyDescent="0.2">
      <c r="A137">
        <f t="shared" si="27"/>
        <v>39000000000</v>
      </c>
      <c r="B137">
        <f t="shared" si="34"/>
        <v>0</v>
      </c>
      <c r="C137">
        <f t="shared" si="35"/>
        <v>0</v>
      </c>
      <c r="D137">
        <f t="shared" si="35"/>
        <v>0</v>
      </c>
      <c r="E137">
        <f t="shared" si="33"/>
        <v>0</v>
      </c>
      <c r="F137">
        <f t="shared" si="33"/>
        <v>0</v>
      </c>
      <c r="G137">
        <f t="shared" si="33"/>
        <v>0</v>
      </c>
      <c r="H137">
        <f t="shared" si="33"/>
        <v>0</v>
      </c>
      <c r="I137">
        <f t="shared" si="33"/>
        <v>0</v>
      </c>
      <c r="J137">
        <f t="shared" si="33"/>
        <v>0</v>
      </c>
      <c r="K137" t="e">
        <f t="shared" si="33"/>
        <v>#VALUE!</v>
      </c>
      <c r="L137" t="e">
        <f t="shared" si="33"/>
        <v>#VALUE!</v>
      </c>
      <c r="M137" t="e">
        <f t="shared" si="33"/>
        <v>#VALUE!</v>
      </c>
      <c r="N137" t="e">
        <f t="shared" si="33"/>
        <v>#VALUE!</v>
      </c>
    </row>
    <row r="138" spans="1:14" x14ac:dyDescent="0.2">
      <c r="A138">
        <f t="shared" si="27"/>
        <v>47000000000</v>
      </c>
      <c r="B138">
        <f t="shared" si="34"/>
        <v>0</v>
      </c>
      <c r="C138">
        <f t="shared" si="35"/>
        <v>0</v>
      </c>
      <c r="D138">
        <f t="shared" si="35"/>
        <v>0</v>
      </c>
      <c r="E138">
        <f t="shared" si="33"/>
        <v>0</v>
      </c>
      <c r="F138">
        <f t="shared" si="33"/>
        <v>0</v>
      </c>
      <c r="G138">
        <f t="shared" si="33"/>
        <v>0</v>
      </c>
      <c r="H138">
        <f t="shared" si="33"/>
        <v>0</v>
      </c>
      <c r="I138">
        <f t="shared" si="33"/>
        <v>0</v>
      </c>
      <c r="J138">
        <f t="shared" si="33"/>
        <v>0</v>
      </c>
      <c r="K138" t="e">
        <f t="shared" si="33"/>
        <v>#VALUE!</v>
      </c>
      <c r="L138" t="e">
        <f t="shared" si="33"/>
        <v>#VALUE!</v>
      </c>
      <c r="M138" t="e">
        <f t="shared" si="33"/>
        <v>#VALUE!</v>
      </c>
      <c r="N138" t="e">
        <f t="shared" si="33"/>
        <v>#VALUE!</v>
      </c>
    </row>
    <row r="139" spans="1:14" x14ac:dyDescent="0.2">
      <c r="A139">
        <f t="shared" si="27"/>
        <v>56000000000</v>
      </c>
      <c r="B139">
        <f t="shared" si="34"/>
        <v>0</v>
      </c>
      <c r="C139">
        <f t="shared" si="35"/>
        <v>0</v>
      </c>
      <c r="D139">
        <f t="shared" si="35"/>
        <v>0</v>
      </c>
      <c r="E139">
        <f t="shared" si="33"/>
        <v>0</v>
      </c>
      <c r="F139">
        <f t="shared" si="33"/>
        <v>0</v>
      </c>
      <c r="G139">
        <f t="shared" si="33"/>
        <v>0</v>
      </c>
      <c r="H139">
        <f t="shared" si="33"/>
        <v>0</v>
      </c>
      <c r="I139">
        <f t="shared" si="33"/>
        <v>0</v>
      </c>
      <c r="J139">
        <f t="shared" si="33"/>
        <v>0</v>
      </c>
      <c r="K139" t="e">
        <f t="shared" si="33"/>
        <v>#VALUE!</v>
      </c>
      <c r="L139" t="e">
        <f t="shared" si="33"/>
        <v>#VALUE!</v>
      </c>
      <c r="M139" t="e">
        <f t="shared" si="33"/>
        <v>#VALUE!</v>
      </c>
      <c r="N139" t="e">
        <f t="shared" si="33"/>
        <v>#VALUE!</v>
      </c>
    </row>
    <row r="140" spans="1:14" x14ac:dyDescent="0.2">
      <c r="A140">
        <f t="shared" si="27"/>
        <v>68000000000</v>
      </c>
      <c r="B140">
        <f t="shared" si="34"/>
        <v>0</v>
      </c>
      <c r="C140">
        <f t="shared" si="35"/>
        <v>0</v>
      </c>
      <c r="D140">
        <f t="shared" si="35"/>
        <v>0</v>
      </c>
      <c r="E140">
        <f t="shared" si="33"/>
        <v>0</v>
      </c>
      <c r="F140">
        <f t="shared" si="33"/>
        <v>0</v>
      </c>
      <c r="G140">
        <f t="shared" si="33"/>
        <v>0</v>
      </c>
      <c r="H140">
        <f t="shared" si="33"/>
        <v>0</v>
      </c>
      <c r="I140">
        <f t="shared" si="33"/>
        <v>0</v>
      </c>
      <c r="J140">
        <f t="shared" si="33"/>
        <v>0</v>
      </c>
      <c r="K140" t="e">
        <f t="shared" si="33"/>
        <v>#VALUE!</v>
      </c>
      <c r="L140" t="e">
        <f t="shared" si="33"/>
        <v>#VALUE!</v>
      </c>
      <c r="M140" t="e">
        <f t="shared" si="33"/>
        <v>#VALUE!</v>
      </c>
      <c r="N140" t="e">
        <f t="shared" si="33"/>
        <v>#VALUE!</v>
      </c>
    </row>
    <row r="141" spans="1:14" x14ac:dyDescent="0.2">
      <c r="A141">
        <f t="shared" si="27"/>
        <v>82000000000</v>
      </c>
      <c r="B141">
        <f t="shared" si="34"/>
        <v>0</v>
      </c>
      <c r="C141">
        <f t="shared" si="35"/>
        <v>0</v>
      </c>
      <c r="D141">
        <f t="shared" si="35"/>
        <v>0</v>
      </c>
      <c r="E141">
        <f t="shared" si="33"/>
        <v>0</v>
      </c>
      <c r="F141">
        <f t="shared" si="33"/>
        <v>0</v>
      </c>
      <c r="G141">
        <f t="shared" si="33"/>
        <v>0</v>
      </c>
      <c r="H141">
        <f t="shared" si="33"/>
        <v>0</v>
      </c>
      <c r="I141">
        <f t="shared" si="33"/>
        <v>0</v>
      </c>
      <c r="J141">
        <f t="shared" si="33"/>
        <v>0</v>
      </c>
      <c r="K141" t="e">
        <f t="shared" si="33"/>
        <v>#VALUE!</v>
      </c>
      <c r="L141" t="e">
        <f t="shared" si="33"/>
        <v>#VALUE!</v>
      </c>
      <c r="M141" t="e">
        <f t="shared" si="33"/>
        <v>#VALUE!</v>
      </c>
      <c r="N141" t="e">
        <f t="shared" si="33"/>
        <v>#VALUE!</v>
      </c>
    </row>
    <row r="142" spans="1:14" x14ac:dyDescent="0.2">
      <c r="A142">
        <f t="shared" si="27"/>
        <v>100000000000</v>
      </c>
      <c r="B142">
        <f t="shared" si="34"/>
        <v>0</v>
      </c>
      <c r="C142">
        <f t="shared" si="35"/>
        <v>0</v>
      </c>
      <c r="D142">
        <f t="shared" si="35"/>
        <v>0</v>
      </c>
      <c r="E142">
        <f t="shared" si="33"/>
        <v>0</v>
      </c>
      <c r="F142">
        <f t="shared" si="33"/>
        <v>0</v>
      </c>
      <c r="G142">
        <f t="shared" si="33"/>
        <v>0</v>
      </c>
      <c r="H142">
        <f t="shared" si="33"/>
        <v>0</v>
      </c>
      <c r="I142">
        <f t="shared" si="33"/>
        <v>0</v>
      </c>
      <c r="J142">
        <f t="shared" si="33"/>
        <v>0</v>
      </c>
      <c r="K142" t="e">
        <f t="shared" si="33"/>
        <v>#VALUE!</v>
      </c>
      <c r="L142" t="e">
        <f t="shared" si="33"/>
        <v>#VALUE!</v>
      </c>
      <c r="M142" t="e">
        <f t="shared" si="33"/>
        <v>#VALUE!</v>
      </c>
      <c r="N142" t="e">
        <f t="shared" si="33"/>
        <v>#VALUE!</v>
      </c>
    </row>
    <row r="143" spans="1:14" x14ac:dyDescent="0.2">
      <c r="A143">
        <f t="shared" si="27"/>
        <v>120000000000</v>
      </c>
      <c r="B143">
        <f t="shared" si="34"/>
        <v>0</v>
      </c>
      <c r="C143">
        <f t="shared" si="35"/>
        <v>0</v>
      </c>
      <c r="D143">
        <f t="shared" si="35"/>
        <v>0</v>
      </c>
      <c r="E143">
        <f t="shared" si="33"/>
        <v>0</v>
      </c>
      <c r="F143">
        <f t="shared" si="33"/>
        <v>0</v>
      </c>
      <c r="G143">
        <f t="shared" si="33"/>
        <v>0</v>
      </c>
      <c r="H143">
        <f t="shared" si="33"/>
        <v>0</v>
      </c>
      <c r="I143">
        <f t="shared" si="33"/>
        <v>0</v>
      </c>
      <c r="J143">
        <f t="shared" si="33"/>
        <v>0</v>
      </c>
      <c r="K143" t="e">
        <f t="shared" si="33"/>
        <v>#VALUE!</v>
      </c>
      <c r="L143" t="e">
        <f t="shared" si="33"/>
        <v>#VALUE!</v>
      </c>
      <c r="M143" t="e">
        <f t="shared" si="33"/>
        <v>#VALUE!</v>
      </c>
      <c r="N143" t="e">
        <f t="shared" si="33"/>
        <v>#VALUE!</v>
      </c>
    </row>
    <row r="144" spans="1:14" x14ac:dyDescent="0.2">
      <c r="A144">
        <f t="shared" si="27"/>
        <v>150000000000</v>
      </c>
      <c r="B144">
        <f t="shared" si="34"/>
        <v>0</v>
      </c>
      <c r="C144">
        <f t="shared" si="35"/>
        <v>0</v>
      </c>
      <c r="D144">
        <f t="shared" si="35"/>
        <v>0</v>
      </c>
      <c r="E144">
        <f t="shared" si="33"/>
        <v>0</v>
      </c>
      <c r="F144">
        <f t="shared" si="33"/>
        <v>0</v>
      </c>
      <c r="G144">
        <f t="shared" si="33"/>
        <v>0</v>
      </c>
      <c r="H144">
        <f t="shared" si="33"/>
        <v>0</v>
      </c>
      <c r="I144">
        <f t="shared" si="33"/>
        <v>0</v>
      </c>
      <c r="J144">
        <f t="shared" si="33"/>
        <v>0</v>
      </c>
      <c r="K144" t="e">
        <f t="shared" si="33"/>
        <v>#VALUE!</v>
      </c>
      <c r="L144" t="e">
        <f t="shared" si="33"/>
        <v>#VALUE!</v>
      </c>
      <c r="M144" t="e">
        <f t="shared" si="33"/>
        <v>#VALUE!</v>
      </c>
      <c r="N144" t="e">
        <f t="shared" si="33"/>
        <v>#VALUE!</v>
      </c>
    </row>
    <row r="145" spans="1:14" x14ac:dyDescent="0.2">
      <c r="A145">
        <f t="shared" si="27"/>
        <v>180000000000</v>
      </c>
      <c r="B145">
        <f t="shared" si="34"/>
        <v>0</v>
      </c>
      <c r="C145">
        <f t="shared" si="35"/>
        <v>0</v>
      </c>
      <c r="D145">
        <f t="shared" si="35"/>
        <v>0</v>
      </c>
      <c r="E145">
        <f t="shared" si="33"/>
        <v>0</v>
      </c>
      <c r="F145">
        <f t="shared" si="33"/>
        <v>0</v>
      </c>
      <c r="G145">
        <f t="shared" si="33"/>
        <v>0</v>
      </c>
      <c r="H145">
        <f t="shared" si="33"/>
        <v>0</v>
      </c>
      <c r="I145">
        <f t="shared" si="33"/>
        <v>0</v>
      </c>
      <c r="J145">
        <f t="shared" si="33"/>
        <v>0</v>
      </c>
      <c r="K145" t="e">
        <f t="shared" si="33"/>
        <v>#VALUE!</v>
      </c>
      <c r="L145" t="e">
        <f t="shared" si="33"/>
        <v>#VALUE!</v>
      </c>
      <c r="M145" t="e">
        <f t="shared" si="33"/>
        <v>#VALUE!</v>
      </c>
      <c r="N145" t="e">
        <f t="shared" si="33"/>
        <v>#VALUE!</v>
      </c>
    </row>
    <row r="146" spans="1:14" x14ac:dyDescent="0.2">
      <c r="A146">
        <f t="shared" si="27"/>
        <v>220000000000</v>
      </c>
      <c r="B146">
        <f t="shared" si="34"/>
        <v>0</v>
      </c>
      <c r="C146">
        <f t="shared" si="35"/>
        <v>0</v>
      </c>
      <c r="D146">
        <f t="shared" si="35"/>
        <v>0</v>
      </c>
      <c r="E146">
        <f t="shared" si="33"/>
        <v>0</v>
      </c>
      <c r="F146">
        <f t="shared" si="33"/>
        <v>0</v>
      </c>
      <c r="G146">
        <f t="shared" si="33"/>
        <v>0</v>
      </c>
      <c r="H146">
        <f t="shared" si="33"/>
        <v>0</v>
      </c>
      <c r="I146">
        <f t="shared" si="33"/>
        <v>0</v>
      </c>
      <c r="J146">
        <f t="shared" si="33"/>
        <v>0</v>
      </c>
      <c r="K146" t="e">
        <f t="shared" si="33"/>
        <v>#VALUE!</v>
      </c>
      <c r="L146" t="e">
        <f t="shared" si="33"/>
        <v>#VALUE!</v>
      </c>
      <c r="M146" t="e">
        <f t="shared" si="33"/>
        <v>#VALUE!</v>
      </c>
      <c r="N146" t="e">
        <f t="shared" si="33"/>
        <v>#VALUE!</v>
      </c>
    </row>
    <row r="147" spans="1:14" x14ac:dyDescent="0.2">
      <c r="A147">
        <f t="shared" si="27"/>
        <v>270000000000</v>
      </c>
      <c r="B147">
        <f t="shared" si="34"/>
        <v>0</v>
      </c>
      <c r="C147">
        <f t="shared" si="35"/>
        <v>0</v>
      </c>
      <c r="D147">
        <f t="shared" si="35"/>
        <v>0</v>
      </c>
      <c r="E147">
        <f t="shared" si="33"/>
        <v>0</v>
      </c>
      <c r="F147">
        <f t="shared" si="33"/>
        <v>0</v>
      </c>
      <c r="G147">
        <f t="shared" si="33"/>
        <v>0</v>
      </c>
      <c r="H147">
        <f t="shared" si="33"/>
        <v>0</v>
      </c>
      <c r="I147">
        <f t="shared" si="33"/>
        <v>0</v>
      </c>
      <c r="J147">
        <f t="shared" si="33"/>
        <v>0</v>
      </c>
      <c r="K147" t="e">
        <f t="shared" si="33"/>
        <v>#VALUE!</v>
      </c>
      <c r="L147" t="e">
        <f t="shared" si="33"/>
        <v>#VALUE!</v>
      </c>
      <c r="M147" t="e">
        <f t="shared" si="33"/>
        <v>#VALUE!</v>
      </c>
      <c r="N147" t="e">
        <f t="shared" si="33"/>
        <v>#VALUE!</v>
      </c>
    </row>
    <row r="148" spans="1:14" x14ac:dyDescent="0.2">
      <c r="A148">
        <f t="shared" si="27"/>
        <v>330000000000</v>
      </c>
      <c r="B148">
        <f t="shared" si="34"/>
        <v>0</v>
      </c>
      <c r="C148">
        <f t="shared" si="35"/>
        <v>0</v>
      </c>
      <c r="D148">
        <f t="shared" si="35"/>
        <v>0</v>
      </c>
      <c r="E148">
        <f t="shared" si="33"/>
        <v>0</v>
      </c>
      <c r="F148">
        <f t="shared" si="33"/>
        <v>0</v>
      </c>
      <c r="G148">
        <f t="shared" si="33"/>
        <v>0</v>
      </c>
      <c r="H148">
        <f t="shared" si="33"/>
        <v>0</v>
      </c>
      <c r="I148">
        <f t="shared" si="33"/>
        <v>0</v>
      </c>
      <c r="J148">
        <f t="shared" si="33"/>
        <v>0</v>
      </c>
      <c r="K148" t="e">
        <f t="shared" si="33"/>
        <v>#VALUE!</v>
      </c>
      <c r="L148" t="e">
        <f t="shared" si="33"/>
        <v>#VALUE!</v>
      </c>
      <c r="M148" t="e">
        <f t="shared" si="33"/>
        <v>#VALUE!</v>
      </c>
      <c r="N148" t="e">
        <f t="shared" si="33"/>
        <v>#VALUE!</v>
      </c>
    </row>
    <row r="149" spans="1:14" x14ac:dyDescent="0.2">
      <c r="A149">
        <f t="shared" si="27"/>
        <v>390000000000</v>
      </c>
      <c r="B149">
        <f t="shared" si="34"/>
        <v>0</v>
      </c>
      <c r="C149">
        <f t="shared" si="35"/>
        <v>0</v>
      </c>
      <c r="D149">
        <f t="shared" si="35"/>
        <v>0</v>
      </c>
      <c r="E149">
        <f t="shared" si="33"/>
        <v>0</v>
      </c>
      <c r="F149">
        <f t="shared" si="33"/>
        <v>0</v>
      </c>
      <c r="G149">
        <f t="shared" si="33"/>
        <v>0</v>
      </c>
      <c r="H149">
        <f t="shared" si="33"/>
        <v>0</v>
      </c>
      <c r="I149">
        <f t="shared" si="33"/>
        <v>0</v>
      </c>
      <c r="J149">
        <f t="shared" si="33"/>
        <v>0</v>
      </c>
      <c r="K149" t="e">
        <f t="shared" si="33"/>
        <v>#VALUE!</v>
      </c>
      <c r="L149" t="e">
        <f t="shared" si="33"/>
        <v>#VALUE!</v>
      </c>
      <c r="M149" t="e">
        <f t="shared" si="33"/>
        <v>#VALUE!</v>
      </c>
      <c r="N149" t="e">
        <f t="shared" si="33"/>
        <v>#VALUE!</v>
      </c>
    </row>
    <row r="150" spans="1:14" x14ac:dyDescent="0.2">
      <c r="A150">
        <f t="shared" si="27"/>
        <v>470000000000</v>
      </c>
      <c r="B150">
        <f t="shared" si="34"/>
        <v>0</v>
      </c>
      <c r="C150">
        <f t="shared" si="35"/>
        <v>0</v>
      </c>
      <c r="D150">
        <f t="shared" si="35"/>
        <v>0</v>
      </c>
      <c r="E150">
        <f t="shared" si="33"/>
        <v>0</v>
      </c>
      <c r="F150">
        <f t="shared" si="33"/>
        <v>0</v>
      </c>
      <c r="G150">
        <f t="shared" si="33"/>
        <v>0</v>
      </c>
      <c r="H150">
        <f t="shared" si="33"/>
        <v>0</v>
      </c>
      <c r="I150">
        <f t="shared" si="33"/>
        <v>0</v>
      </c>
      <c r="J150">
        <f t="shared" si="33"/>
        <v>0</v>
      </c>
      <c r="K150" t="e">
        <f t="shared" si="33"/>
        <v>#VALUE!</v>
      </c>
      <c r="L150" t="e">
        <f t="shared" si="33"/>
        <v>#VALUE!</v>
      </c>
      <c r="M150" t="e">
        <f t="shared" si="33"/>
        <v>#VALUE!</v>
      </c>
      <c r="N150" t="e">
        <f t="shared" si="33"/>
        <v>#VALUE!</v>
      </c>
    </row>
    <row r="151" spans="1:14" x14ac:dyDescent="0.2">
      <c r="A151">
        <f t="shared" si="27"/>
        <v>560000000000</v>
      </c>
      <c r="B151">
        <f t="shared" si="34"/>
        <v>0</v>
      </c>
      <c r="C151">
        <f t="shared" si="35"/>
        <v>0</v>
      </c>
      <c r="D151">
        <f t="shared" si="35"/>
        <v>0</v>
      </c>
      <c r="E151">
        <f t="shared" si="33"/>
        <v>0</v>
      </c>
      <c r="F151">
        <f t="shared" si="33"/>
        <v>0</v>
      </c>
      <c r="G151">
        <f t="shared" si="33"/>
        <v>0</v>
      </c>
      <c r="H151">
        <f t="shared" si="33"/>
        <v>0</v>
      </c>
      <c r="I151">
        <f t="shared" si="33"/>
        <v>0</v>
      </c>
      <c r="J151">
        <f t="shared" si="33"/>
        <v>0</v>
      </c>
      <c r="K151" t="e">
        <f t="shared" si="33"/>
        <v>#VALUE!</v>
      </c>
      <c r="L151" t="e">
        <f t="shared" si="33"/>
        <v>#VALUE!</v>
      </c>
      <c r="M151" t="e">
        <f t="shared" si="33"/>
        <v>#VALUE!</v>
      </c>
      <c r="N151" t="e">
        <f t="shared" si="33"/>
        <v>#VALUE!</v>
      </c>
    </row>
    <row r="152" spans="1:14" x14ac:dyDescent="0.2">
      <c r="A152">
        <f t="shared" si="27"/>
        <v>680000000000</v>
      </c>
      <c r="B152">
        <f t="shared" si="34"/>
        <v>0</v>
      </c>
      <c r="C152">
        <f t="shared" si="35"/>
        <v>0</v>
      </c>
      <c r="D152">
        <f t="shared" si="35"/>
        <v>0</v>
      </c>
      <c r="E152">
        <f t="shared" si="33"/>
        <v>0</v>
      </c>
      <c r="F152">
        <f t="shared" si="33"/>
        <v>0</v>
      </c>
      <c r="G152">
        <f t="shared" si="33"/>
        <v>0</v>
      </c>
      <c r="H152">
        <f t="shared" si="33"/>
        <v>0</v>
      </c>
      <c r="I152">
        <f t="shared" si="33"/>
        <v>0</v>
      </c>
      <c r="J152">
        <f t="shared" si="33"/>
        <v>0</v>
      </c>
      <c r="K152" t="e">
        <f t="shared" si="33"/>
        <v>#VALUE!</v>
      </c>
      <c r="L152" t="e">
        <f t="shared" si="33"/>
        <v>#VALUE!</v>
      </c>
      <c r="M152" t="e">
        <f t="shared" si="33"/>
        <v>#VALUE!</v>
      </c>
      <c r="N152" t="e">
        <f t="shared" si="33"/>
        <v>#VALUE!</v>
      </c>
    </row>
    <row r="153" spans="1:14" x14ac:dyDescent="0.2">
      <c r="A153">
        <f t="shared" si="27"/>
        <v>820000000000</v>
      </c>
      <c r="B153">
        <f t="shared" si="34"/>
        <v>0</v>
      </c>
      <c r="C153">
        <f t="shared" si="35"/>
        <v>0</v>
      </c>
      <c r="D153">
        <f t="shared" si="35"/>
        <v>0</v>
      </c>
      <c r="E153">
        <f t="shared" si="33"/>
        <v>0</v>
      </c>
      <c r="F153">
        <f t="shared" si="33"/>
        <v>0</v>
      </c>
      <c r="G153">
        <f t="shared" si="33"/>
        <v>0</v>
      </c>
      <c r="H153">
        <f t="shared" si="33"/>
        <v>0</v>
      </c>
      <c r="I153">
        <f t="shared" si="33"/>
        <v>0</v>
      </c>
      <c r="J153">
        <f t="shared" si="33"/>
        <v>0</v>
      </c>
      <c r="K153" t="e">
        <f t="shared" si="33"/>
        <v>#VALUE!</v>
      </c>
      <c r="L153" t="e">
        <f t="shared" si="33"/>
        <v>#VALUE!</v>
      </c>
      <c r="M153" t="e">
        <f t="shared" si="33"/>
        <v>#VALUE!</v>
      </c>
      <c r="N153" t="e">
        <f t="shared" si="33"/>
        <v>#VALUE!</v>
      </c>
    </row>
    <row r="154" spans="1:14" x14ac:dyDescent="0.2">
      <c r="A154">
        <f t="shared" si="27"/>
        <v>1000000000000</v>
      </c>
      <c r="B154">
        <f t="shared" si="34"/>
        <v>0</v>
      </c>
      <c r="C154">
        <f t="shared" si="35"/>
        <v>0</v>
      </c>
      <c r="D154">
        <f t="shared" si="35"/>
        <v>0</v>
      </c>
      <c r="E154">
        <f t="shared" si="33"/>
        <v>0</v>
      </c>
      <c r="F154">
        <f t="shared" si="33"/>
        <v>0</v>
      </c>
      <c r="G154">
        <f t="shared" si="33"/>
        <v>0</v>
      </c>
      <c r="H154">
        <f t="shared" si="33"/>
        <v>0</v>
      </c>
      <c r="I154">
        <f t="shared" si="33"/>
        <v>0</v>
      </c>
      <c r="J154">
        <f t="shared" si="33"/>
        <v>0</v>
      </c>
      <c r="K154" t="e">
        <f t="shared" si="33"/>
        <v>#VALUE!</v>
      </c>
      <c r="L154" t="e">
        <f t="shared" si="33"/>
        <v>#VALUE!</v>
      </c>
      <c r="M154" t="e">
        <f t="shared" si="33"/>
        <v>#VALUE!</v>
      </c>
      <c r="N154" t="e">
        <f t="shared" si="33"/>
        <v>#VALUE!</v>
      </c>
    </row>
    <row r="155" spans="1:14" x14ac:dyDescent="0.2">
      <c r="A155">
        <f t="shared" si="27"/>
        <v>1200000000000</v>
      </c>
      <c r="B155">
        <f t="shared" si="34"/>
        <v>0</v>
      </c>
      <c r="C155">
        <f t="shared" si="35"/>
        <v>0</v>
      </c>
      <c r="D155">
        <f t="shared" si="35"/>
        <v>0</v>
      </c>
      <c r="E155">
        <f t="shared" si="33"/>
        <v>0</v>
      </c>
      <c r="F155">
        <f t="shared" si="33"/>
        <v>0</v>
      </c>
      <c r="G155">
        <f t="shared" si="33"/>
        <v>0</v>
      </c>
      <c r="H155">
        <f t="shared" si="33"/>
        <v>0</v>
      </c>
      <c r="I155">
        <f t="shared" si="33"/>
        <v>0</v>
      </c>
      <c r="J155">
        <f t="shared" si="33"/>
        <v>0</v>
      </c>
      <c r="K155" t="e">
        <f t="shared" si="33"/>
        <v>#VALUE!</v>
      </c>
      <c r="L155" t="e">
        <f t="shared" si="33"/>
        <v>#VALUE!</v>
      </c>
      <c r="M155" t="e">
        <f t="shared" si="33"/>
        <v>#VALUE!</v>
      </c>
      <c r="N155" t="e">
        <f t="shared" si="33"/>
        <v>#VALUE!</v>
      </c>
    </row>
    <row r="156" spans="1:14" x14ac:dyDescent="0.2">
      <c r="A156">
        <f t="shared" si="27"/>
        <v>1500000000000</v>
      </c>
      <c r="B156">
        <f t="shared" si="34"/>
        <v>0</v>
      </c>
      <c r="C156">
        <f t="shared" si="35"/>
        <v>0</v>
      </c>
      <c r="D156">
        <f t="shared" si="35"/>
        <v>0</v>
      </c>
      <c r="E156">
        <f t="shared" si="33"/>
        <v>0</v>
      </c>
      <c r="F156">
        <f t="shared" si="33"/>
        <v>0</v>
      </c>
      <c r="G156">
        <f t="shared" si="33"/>
        <v>0</v>
      </c>
      <c r="H156">
        <f t="shared" si="33"/>
        <v>0</v>
      </c>
      <c r="I156">
        <f t="shared" si="33"/>
        <v>0</v>
      </c>
      <c r="J156">
        <f t="shared" si="33"/>
        <v>0</v>
      </c>
      <c r="K156" t="e">
        <f t="shared" si="33"/>
        <v>#VALUE!</v>
      </c>
      <c r="L156" t="e">
        <f t="shared" si="33"/>
        <v>#VALUE!</v>
      </c>
      <c r="M156" t="e">
        <f t="shared" si="33"/>
        <v>#VALUE!</v>
      </c>
      <c r="N156" t="e">
        <f t="shared" si="33"/>
        <v>#VALUE!</v>
      </c>
    </row>
    <row r="157" spans="1:14" x14ac:dyDescent="0.2">
      <c r="A157">
        <f t="shared" si="27"/>
        <v>1800000000000</v>
      </c>
      <c r="B157">
        <f t="shared" si="34"/>
        <v>0</v>
      </c>
      <c r="C157">
        <f t="shared" si="35"/>
        <v>0</v>
      </c>
      <c r="D157">
        <f t="shared" si="35"/>
        <v>0</v>
      </c>
      <c r="E157">
        <f t="shared" si="33"/>
        <v>0</v>
      </c>
      <c r="F157">
        <f t="shared" si="33"/>
        <v>0</v>
      </c>
      <c r="G157">
        <f t="shared" si="33"/>
        <v>0</v>
      </c>
      <c r="H157">
        <f t="shared" si="33"/>
        <v>0</v>
      </c>
      <c r="I157">
        <f t="shared" si="33"/>
        <v>0</v>
      </c>
      <c r="J157">
        <f t="shared" si="33"/>
        <v>0</v>
      </c>
      <c r="K157" t="e">
        <f t="shared" si="33"/>
        <v>#VALUE!</v>
      </c>
      <c r="L157" t="e">
        <f t="shared" si="33"/>
        <v>#VALUE!</v>
      </c>
      <c r="M157" t="e">
        <f t="shared" si="33"/>
        <v>#VALUE!</v>
      </c>
      <c r="N157" t="e">
        <f t="shared" si="33"/>
        <v>#VALUE!</v>
      </c>
    </row>
    <row r="158" spans="1:14" x14ac:dyDescent="0.2">
      <c r="A158">
        <f t="shared" si="27"/>
        <v>2200000000000</v>
      </c>
      <c r="B158">
        <f t="shared" si="34"/>
        <v>0</v>
      </c>
      <c r="C158">
        <f t="shared" si="35"/>
        <v>0</v>
      </c>
      <c r="D158">
        <f t="shared" si="35"/>
        <v>0</v>
      </c>
      <c r="E158">
        <f t="shared" si="33"/>
        <v>0</v>
      </c>
      <c r="F158">
        <f t="shared" si="33"/>
        <v>0</v>
      </c>
      <c r="G158">
        <f t="shared" si="33"/>
        <v>0</v>
      </c>
      <c r="H158">
        <f t="shared" si="33"/>
        <v>0</v>
      </c>
      <c r="I158">
        <f t="shared" si="33"/>
        <v>0</v>
      </c>
      <c r="J158">
        <f t="shared" si="33"/>
        <v>0</v>
      </c>
      <c r="K158" t="e">
        <f t="shared" si="33"/>
        <v>#VALUE!</v>
      </c>
      <c r="L158" t="e">
        <f t="shared" si="33"/>
        <v>#VALUE!</v>
      </c>
      <c r="M158" t="e">
        <f t="shared" si="33"/>
        <v>#VALUE!</v>
      </c>
      <c r="N158" t="e">
        <f t="shared" si="33"/>
        <v>#VALUE!</v>
      </c>
    </row>
    <row r="159" spans="1:14" x14ac:dyDescent="0.2">
      <c r="A159" s="43">
        <f t="shared" si="27"/>
        <v>2700000000000</v>
      </c>
      <c r="B159">
        <f t="shared" si="34"/>
        <v>2700000000000</v>
      </c>
      <c r="C159">
        <f t="shared" si="35"/>
        <v>2700000000000</v>
      </c>
      <c r="D159">
        <f t="shared" si="35"/>
        <v>0</v>
      </c>
      <c r="E159">
        <f t="shared" si="33"/>
        <v>2700000000000</v>
      </c>
      <c r="F159">
        <f t="shared" si="33"/>
        <v>2700000000000</v>
      </c>
      <c r="G159">
        <f t="shared" si="33"/>
        <v>2700000000000</v>
      </c>
      <c r="H159">
        <f t="shared" si="33"/>
        <v>2700000000000</v>
      </c>
      <c r="I159">
        <f t="shared" si="33"/>
        <v>2700000000000</v>
      </c>
      <c r="J159">
        <f t="shared" si="33"/>
        <v>2700000000000</v>
      </c>
      <c r="K159" t="e">
        <f t="shared" si="33"/>
        <v>#VALUE!</v>
      </c>
      <c r="L159" t="e">
        <f t="shared" si="33"/>
        <v>#VALUE!</v>
      </c>
      <c r="M159" t="e">
        <f t="shared" si="33"/>
        <v>#VALUE!</v>
      </c>
      <c r="N159" t="e">
        <f t="shared" si="33"/>
        <v>#VALUE!</v>
      </c>
    </row>
  </sheetData>
  <phoneticPr fontId="5" type="noConversion"/>
  <pageMargins left="0.75" right="0.75" top="1" bottom="1" header="0.5" footer="0.5"/>
  <pageSetup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dimension ref="A1:E7"/>
  <sheetViews>
    <sheetView workbookViewId="0">
      <selection activeCell="B6" sqref="B6"/>
    </sheetView>
  </sheetViews>
  <sheetFormatPr defaultRowHeight="12.75" x14ac:dyDescent="0.2"/>
  <cols>
    <col min="1" max="1" width="18.5703125" customWidth="1"/>
    <col min="2" max="2" width="9.28515625" customWidth="1"/>
    <col min="4" max="4" width="11.140625" customWidth="1"/>
  </cols>
  <sheetData>
    <row r="1" spans="1:5" x14ac:dyDescent="0.2">
      <c r="C1" t="s">
        <v>180</v>
      </c>
      <c r="D1" t="s">
        <v>179</v>
      </c>
    </row>
    <row r="2" spans="1:5" x14ac:dyDescent="0.2">
      <c r="A2" t="s">
        <v>177</v>
      </c>
      <c r="B2" s="47">
        <v>85</v>
      </c>
      <c r="C2" t="s">
        <v>178</v>
      </c>
      <c r="D2">
        <f>B2*1000000</f>
        <v>85000000</v>
      </c>
      <c r="E2" t="s">
        <v>9</v>
      </c>
    </row>
    <row r="3" spans="1:5" x14ac:dyDescent="0.2">
      <c r="A3" t="s">
        <v>181</v>
      </c>
      <c r="B3" s="47">
        <v>3000</v>
      </c>
      <c r="C3" t="s">
        <v>30</v>
      </c>
      <c r="D3">
        <f>B3*0.000000000001</f>
        <v>3E-9</v>
      </c>
      <c r="E3" t="s">
        <v>24</v>
      </c>
    </row>
    <row r="4" spans="1:5" x14ac:dyDescent="0.2">
      <c r="A4" t="s">
        <v>183</v>
      </c>
      <c r="B4" s="48">
        <f>1000000000*1/((D2*2*3.14159)^2*D3)</f>
        <v>1.1686430773614742</v>
      </c>
      <c r="C4" t="s">
        <v>184</v>
      </c>
      <c r="D4">
        <f>B4/1000000000</f>
        <v>1.1686430773614743E-9</v>
      </c>
      <c r="E4" t="s">
        <v>19</v>
      </c>
    </row>
    <row r="5" spans="1:5" x14ac:dyDescent="0.2">
      <c r="A5" t="s">
        <v>182</v>
      </c>
      <c r="B5">
        <f>4*B3</f>
        <v>12000</v>
      </c>
      <c r="C5" t="s">
        <v>30</v>
      </c>
      <c r="D5">
        <f>B5*0.000000000001</f>
        <v>1.2E-8</v>
      </c>
      <c r="E5" t="s">
        <v>24</v>
      </c>
    </row>
    <row r="6" spans="1:5" x14ac:dyDescent="0.2">
      <c r="A6" t="s">
        <v>185</v>
      </c>
      <c r="B6" s="4">
        <f>SQRT(D4/D3)</f>
        <v>0.62413755891936573</v>
      </c>
      <c r="C6" s="4" t="s">
        <v>138</v>
      </c>
      <c r="D6" s="4">
        <f>B6</f>
        <v>0.62413755891936573</v>
      </c>
      <c r="E6" t="s">
        <v>138</v>
      </c>
    </row>
    <row r="7" spans="1:5" x14ac:dyDescent="0.2">
      <c r="B7" s="4"/>
      <c r="C7" s="4"/>
      <c r="D7" s="4"/>
    </row>
  </sheetData>
  <phoneticPr fontId="5" type="noConversion"/>
  <pageMargins left="0.75" right="0.75" top="1" bottom="1" header="0.5" footer="0.5"/>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dimension ref="A4:E17"/>
  <sheetViews>
    <sheetView workbookViewId="0">
      <selection activeCell="U50" sqref="U50"/>
    </sheetView>
  </sheetViews>
  <sheetFormatPr defaultRowHeight="12.75" x14ac:dyDescent="0.2"/>
  <sheetData>
    <row r="4" spans="1:5" x14ac:dyDescent="0.2">
      <c r="A4" t="s">
        <v>6</v>
      </c>
      <c r="B4">
        <f>Fsw</f>
        <v>2100000</v>
      </c>
    </row>
    <row r="6" spans="1:5" x14ac:dyDescent="0.2">
      <c r="A6" t="s">
        <v>151</v>
      </c>
      <c r="B6" s="41">
        <v>20</v>
      </c>
      <c r="C6" t="s">
        <v>23</v>
      </c>
      <c r="D6">
        <f>B6/1000000</f>
        <v>2.0000000000000002E-5</v>
      </c>
      <c r="E6" t="s">
        <v>24</v>
      </c>
    </row>
    <row r="7" spans="1:5" x14ac:dyDescent="0.2">
      <c r="A7" t="s">
        <v>142</v>
      </c>
      <c r="B7" s="41">
        <v>0.5</v>
      </c>
      <c r="C7" t="s">
        <v>63</v>
      </c>
      <c r="D7">
        <f>B7/1000</f>
        <v>5.0000000000000001E-4</v>
      </c>
      <c r="E7" t="s">
        <v>20</v>
      </c>
    </row>
    <row r="9" spans="1:5" x14ac:dyDescent="0.2">
      <c r="A9" t="s">
        <v>152</v>
      </c>
      <c r="B9" s="41">
        <v>68</v>
      </c>
      <c r="C9" t="s">
        <v>23</v>
      </c>
      <c r="D9">
        <f>B9/1000000</f>
        <v>6.7999999999999999E-5</v>
      </c>
      <c r="E9" t="s">
        <v>24</v>
      </c>
    </row>
    <row r="10" spans="1:5" x14ac:dyDescent="0.2">
      <c r="A10" t="s">
        <v>143</v>
      </c>
      <c r="B10" s="41">
        <v>20</v>
      </c>
      <c r="C10" t="s">
        <v>63</v>
      </c>
      <c r="D10">
        <f>B10/1000</f>
        <v>0.02</v>
      </c>
      <c r="E10" t="s">
        <v>20</v>
      </c>
    </row>
    <row r="13" spans="1:5" x14ac:dyDescent="0.2">
      <c r="A13" t="s">
        <v>154</v>
      </c>
      <c r="B13">
        <f>(D6/(D6+D9))*SQRT((D10*D9*B4)^2+1)/SQRT((((D7+D10)*D6*D9/(D9+D6))*B4)^2+1)</f>
        <v>0.57258166681452327</v>
      </c>
      <c r="C13" t="s">
        <v>153</v>
      </c>
    </row>
    <row r="14" spans="1:5" x14ac:dyDescent="0.2">
      <c r="A14" t="s">
        <v>155</v>
      </c>
      <c r="B14">
        <f>1-B13</f>
        <v>0.42741833318547673</v>
      </c>
      <c r="C14" t="s">
        <v>153</v>
      </c>
    </row>
    <row r="16" spans="1:5" x14ac:dyDescent="0.2">
      <c r="A16" t="s">
        <v>154</v>
      </c>
      <c r="B16" t="e">
        <f>B13*(Iripple1/(2*SQRT(3)))</f>
        <v>#NAME?</v>
      </c>
      <c r="C16" t="s">
        <v>1</v>
      </c>
    </row>
    <row r="17" spans="1:3" x14ac:dyDescent="0.2">
      <c r="A17" t="s">
        <v>155</v>
      </c>
      <c r="B17" t="e">
        <f>B14*(Iripple1/(2*SQRT(3)))</f>
        <v>#NAME?</v>
      </c>
      <c r="C17" t="s">
        <v>1</v>
      </c>
    </row>
  </sheetData>
  <phoneticPr fontId="5"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297</vt:i4>
      </vt:variant>
    </vt:vector>
  </HeadingPairs>
  <TitlesOfParts>
    <vt:vector size="312" baseType="lpstr">
      <vt:lpstr>Design Regulator</vt:lpstr>
      <vt:lpstr>Input Filters</vt:lpstr>
      <vt:lpstr>Design Input Filter</vt:lpstr>
      <vt:lpstr>BOM &amp; Schematic</vt:lpstr>
      <vt:lpstr>EVM</vt:lpstr>
      <vt:lpstr>Variable Management</vt:lpstr>
      <vt:lpstr>Schematic Management</vt:lpstr>
      <vt:lpstr>Stability Calculations</vt:lpstr>
      <vt:lpstr>Bode Plot Management</vt:lpstr>
      <vt:lpstr>Efficiency Calculations</vt:lpstr>
      <vt:lpstr>Efficiency Plot Management</vt:lpstr>
      <vt:lpstr>Input Filter Calculations</vt:lpstr>
      <vt:lpstr>Standard Value Calculator</vt:lpstr>
      <vt:lpstr>Snubber</vt:lpstr>
      <vt:lpstr>Parallel Output Caps</vt:lpstr>
      <vt:lpstr>_Don1</vt:lpstr>
      <vt:lpstr>_Don2</vt:lpstr>
      <vt:lpstr>Acs</vt:lpstr>
      <vt:lpstr>Acs_Ch2</vt:lpstr>
      <vt:lpstr>Adc</vt:lpstr>
      <vt:lpstr>AEA</vt:lpstr>
      <vt:lpstr>Afb</vt:lpstr>
      <vt:lpstr>Afb_Ch2</vt:lpstr>
      <vt:lpstr>Afbr</vt:lpstr>
      <vt:lpstr>Am</vt:lpstr>
      <vt:lpstr>Am_buck</vt:lpstr>
      <vt:lpstr>Am_buck_Ch2</vt:lpstr>
      <vt:lpstr>Am_Ch2</vt:lpstr>
      <vt:lpstr>Attn_req</vt:lpstr>
      <vt:lpstr>BODE_PLOT_Ch1</vt:lpstr>
      <vt:lpstr>BODE_PLOT_Ch2</vt:lpstr>
      <vt:lpstr>BODE_PLOT_TYPE</vt:lpstr>
      <vt:lpstr>Buck_CS_threshold</vt:lpstr>
      <vt:lpstr>Buck_CS_threshold_max</vt:lpstr>
      <vt:lpstr>Buck_CS_threshold_min</vt:lpstr>
      <vt:lpstr>Cb</vt:lpstr>
      <vt:lpstr>Cbw</vt:lpstr>
      <vt:lpstr>Cby</vt:lpstr>
      <vt:lpstr>Cc1ea</vt:lpstr>
      <vt:lpstr>Cc1ea_u</vt:lpstr>
      <vt:lpstr>Cc2ea</vt:lpstr>
      <vt:lpstr>Cc2ea_u</vt:lpstr>
      <vt:lpstr>Cc3ea</vt:lpstr>
      <vt:lpstr>Cc3ea_u</vt:lpstr>
      <vt:lpstr>Cc4ea</vt:lpstr>
      <vt:lpstr>Cc4ea_u</vt:lpstr>
      <vt:lpstr>Ccomp_AEF</vt:lpstr>
      <vt:lpstr>Cdamp_AEFstd</vt:lpstr>
      <vt:lpstr>Cdamp_PassiveStd</vt:lpstr>
      <vt:lpstr>CdampCom</vt:lpstr>
      <vt:lpstr>CdampPssv</vt:lpstr>
      <vt:lpstr>CdampSel</vt:lpstr>
      <vt:lpstr>Cdither</vt:lpstr>
      <vt:lpstr>Cdither_init</vt:lpstr>
      <vt:lpstr>Cfb</vt:lpstr>
      <vt:lpstr>Cff</vt:lpstr>
      <vt:lpstr>CfilterPssv</vt:lpstr>
      <vt:lpstr>Ch2_VOUT</vt:lpstr>
      <vt:lpstr>Cin</vt:lpstr>
      <vt:lpstr>Cin_PassiveStd</vt:lpstr>
      <vt:lpstr>CinEsrMax</vt:lpstr>
      <vt:lpstr>Cinj_AEF</vt:lpstr>
      <vt:lpstr>Cinj_AEFstd</vt:lpstr>
      <vt:lpstr>CinjCom</vt:lpstr>
      <vt:lpstr>CinjSel</vt:lpstr>
      <vt:lpstr>Cinmin</vt:lpstr>
      <vt:lpstr>COMP_TYPE</vt:lpstr>
      <vt:lpstr>Core_Loss_Ch1</vt:lpstr>
      <vt:lpstr>Coss_Q1</vt:lpstr>
      <vt:lpstr>Coss_Q2</vt:lpstr>
      <vt:lpstr>Cout</vt:lpstr>
      <vt:lpstr>Cout_ESR</vt:lpstr>
      <vt:lpstr>Cout_min</vt:lpstr>
      <vt:lpstr>Cout2</vt:lpstr>
      <vt:lpstr>Cout2_ESR</vt:lpstr>
      <vt:lpstr>Cout2_min</vt:lpstr>
      <vt:lpstr>Cout2EsrMax</vt:lpstr>
      <vt:lpstr>CoutEsrMax</vt:lpstr>
      <vt:lpstr>Cres</vt:lpstr>
      <vt:lpstr>Cres_u</vt:lpstr>
      <vt:lpstr>CSAmp_gain</vt:lpstr>
      <vt:lpstr>Csb</vt:lpstr>
      <vt:lpstr>Csen_AEF</vt:lpstr>
      <vt:lpstr>Css</vt:lpstr>
      <vt:lpstr>Css_u</vt:lpstr>
      <vt:lpstr>D1_Vinmax</vt:lpstr>
      <vt:lpstr>D1_Vinmax_2</vt:lpstr>
      <vt:lpstr>D1_Vinmin</vt:lpstr>
      <vt:lpstr>D1_Vinmin_2</vt:lpstr>
      <vt:lpstr>D1_Vinnom</vt:lpstr>
      <vt:lpstr>D1_Vinnom_2</vt:lpstr>
      <vt:lpstr>D2_Vinmax</vt:lpstr>
      <vt:lpstr>D2_Vinmax_2</vt:lpstr>
      <vt:lpstr>D2_Vinmin</vt:lpstr>
      <vt:lpstr>D2_Vinmin_2</vt:lpstr>
      <vt:lpstr>D2_Vinnom</vt:lpstr>
      <vt:lpstr>D2_Vinnom_2</vt:lpstr>
      <vt:lpstr>Deadtime</vt:lpstr>
      <vt:lpstr>DEMB</vt:lpstr>
      <vt:lpstr>DITHER</vt:lpstr>
      <vt:lpstr>Doff1</vt:lpstr>
      <vt:lpstr>Doff2</vt:lpstr>
      <vt:lpstr>Don_buckboost</vt:lpstr>
      <vt:lpstr>EFF_Ch1</vt:lpstr>
      <vt:lpstr>EFF_Ch2</vt:lpstr>
      <vt:lpstr>Efficiency</vt:lpstr>
      <vt:lpstr>Ext_VCC</vt:lpstr>
      <vt:lpstr>Fcross</vt:lpstr>
      <vt:lpstr>Fcross_Ch2</vt:lpstr>
      <vt:lpstr>Fdither</vt:lpstr>
      <vt:lpstr>Fesr</vt:lpstr>
      <vt:lpstr>Fesr_Ch2</vt:lpstr>
      <vt:lpstr>Fload_u</vt:lpstr>
      <vt:lpstr>Fload_u_Ch2</vt:lpstr>
      <vt:lpstr>Fp_dominant</vt:lpstr>
      <vt:lpstr>Fp_dominant_Ch2</vt:lpstr>
      <vt:lpstr>Fp1_u</vt:lpstr>
      <vt:lpstr>Fp1_u_Ch2</vt:lpstr>
      <vt:lpstr>Fp2_u</vt:lpstr>
      <vt:lpstr>Fp2_u_Ch2</vt:lpstr>
      <vt:lpstr>Fsw</vt:lpstr>
      <vt:lpstr>Fx_infilter</vt:lpstr>
      <vt:lpstr>Fz1_u</vt:lpstr>
      <vt:lpstr>Fz1_u_Ch2</vt:lpstr>
      <vt:lpstr>GBW</vt:lpstr>
      <vt:lpstr>Gfs_Q1</vt:lpstr>
      <vt:lpstr>Gfs_Q2</vt:lpstr>
      <vt:lpstr>gm</vt:lpstr>
      <vt:lpstr>Gop_AEF</vt:lpstr>
      <vt:lpstr>Icoutrms</vt:lpstr>
      <vt:lpstr>Iin_Vinmax</vt:lpstr>
      <vt:lpstr>Iin_Vinmin</vt:lpstr>
      <vt:lpstr>Iin_Vinnom</vt:lpstr>
      <vt:lpstr>Ilimit_DC</vt:lpstr>
      <vt:lpstr>Ilimit2_DC</vt:lpstr>
      <vt:lpstr>INFILTER_TYPE</vt:lpstr>
      <vt:lpstr>Iout</vt:lpstr>
      <vt:lpstr>Iout_OCP_Vinmax</vt:lpstr>
      <vt:lpstr>Iout_OCP_Vinmin</vt:lpstr>
      <vt:lpstr>Iout_OCP_Vinnom</vt:lpstr>
      <vt:lpstr>Iout2_OCP_Vinmax</vt:lpstr>
      <vt:lpstr>Iout2_OCP_Vinmin</vt:lpstr>
      <vt:lpstr>Iout2_OCP_Vinnom</vt:lpstr>
      <vt:lpstr>Iq</vt:lpstr>
      <vt:lpstr>Ireverse</vt:lpstr>
      <vt:lpstr>Iripple_Vinmax</vt:lpstr>
      <vt:lpstr>Iripple_Vinmin</vt:lpstr>
      <vt:lpstr>Iripple_Vinnom</vt:lpstr>
      <vt:lpstr>Iripple2_Vinmax</vt:lpstr>
      <vt:lpstr>Iripple2_Vinmin</vt:lpstr>
      <vt:lpstr>Iripple2_Vinnom</vt:lpstr>
      <vt:lpstr>Iss</vt:lpstr>
      <vt:lpstr>k</vt:lpstr>
      <vt:lpstr>k_buck</vt:lpstr>
      <vt:lpstr>k_Ch2</vt:lpstr>
      <vt:lpstr>L_infilter</vt:lpstr>
      <vt:lpstr>L_infilterStd</vt:lpstr>
      <vt:lpstr>LAEFCom</vt:lpstr>
      <vt:lpstr>Lf</vt:lpstr>
      <vt:lpstr>LinfilterPssv</vt:lpstr>
      <vt:lpstr>Lo_2</vt:lpstr>
      <vt:lpstr>loopPM</vt:lpstr>
      <vt:lpstr>loopxover</vt:lpstr>
      <vt:lpstr>Lopt</vt:lpstr>
      <vt:lpstr>Lopt2</vt:lpstr>
      <vt:lpstr>Ltc</vt:lpstr>
      <vt:lpstr>mc</vt:lpstr>
      <vt:lpstr>mc_buck</vt:lpstr>
      <vt:lpstr>mc_buck_Ch2</vt:lpstr>
      <vt:lpstr>mc_Ch2</vt:lpstr>
      <vt:lpstr>MODE</vt:lpstr>
      <vt:lpstr>nAEF</vt:lpstr>
      <vt:lpstr>No_RT</vt:lpstr>
      <vt:lpstr>Number_of_Phases</vt:lpstr>
      <vt:lpstr>OSC</vt:lpstr>
      <vt:lpstr>Pi</vt:lpstr>
      <vt:lpstr>Pin</vt:lpstr>
      <vt:lpstr>PLOT_TYPE</vt:lpstr>
      <vt:lpstr>pole1</vt:lpstr>
      <vt:lpstr>Pole2</vt:lpstr>
      <vt:lpstr>pole3</vt:lpstr>
      <vt:lpstr>pole4</vt:lpstr>
      <vt:lpstr>Pout</vt:lpstr>
      <vt:lpstr>'BOM &amp; Schematic'!Print_Area</vt:lpstr>
      <vt:lpstr>'Design Regulator'!Print_Area</vt:lpstr>
      <vt:lpstr>pterm1</vt:lpstr>
      <vt:lpstr>pterm2</vt:lpstr>
      <vt:lpstr>pterm3</vt:lpstr>
      <vt:lpstr>pterm4</vt:lpstr>
      <vt:lpstr>Q</vt:lpstr>
      <vt:lpstr>Q_Ch2</vt:lpstr>
      <vt:lpstr>Qg_Q1</vt:lpstr>
      <vt:lpstr>Qg_Q2</vt:lpstr>
      <vt:lpstr>Qgd_Q1</vt:lpstr>
      <vt:lpstr>Qgd_Q2</vt:lpstr>
      <vt:lpstr>Qgs_Q1</vt:lpstr>
      <vt:lpstr>Qgs_Q2</vt:lpstr>
      <vt:lpstr>Qoss_Q1</vt:lpstr>
      <vt:lpstr>Qoss_Q2</vt:lpstr>
      <vt:lpstr>Qrr_Q2</vt:lpstr>
      <vt:lpstr>QrrSky_Q2</vt:lpstr>
      <vt:lpstr>radconv</vt:lpstr>
      <vt:lpstr>Rcea1</vt:lpstr>
      <vt:lpstr>Rcea1_u</vt:lpstr>
      <vt:lpstr>Rcea2</vt:lpstr>
      <vt:lpstr>RCinEsr</vt:lpstr>
      <vt:lpstr>Rcomp_AEF</vt:lpstr>
      <vt:lpstr>RCoutEsr</vt:lpstr>
      <vt:lpstr>Rdamp_AEFstd</vt:lpstr>
      <vt:lpstr>Rdamp_PassiveStd</vt:lpstr>
      <vt:lpstr>RdampCom</vt:lpstr>
      <vt:lpstr>RdampPssv</vt:lpstr>
      <vt:lpstr>RdampSel</vt:lpstr>
      <vt:lpstr>Rdcr</vt:lpstr>
      <vt:lpstr>Rdcr2</vt:lpstr>
      <vt:lpstr>Rdson1</vt:lpstr>
      <vt:lpstr>Rdson2</vt:lpstr>
      <vt:lpstr>RdsonBotTc</vt:lpstr>
      <vt:lpstr>RdsonDRB</vt:lpstr>
      <vt:lpstr>RdsonDRB2</vt:lpstr>
      <vt:lpstr>RdsonDRT</vt:lpstr>
      <vt:lpstr>RdsonDRT2</vt:lpstr>
      <vt:lpstr>RdsonTopTc</vt:lpstr>
      <vt:lpstr>Rfadj</vt:lpstr>
      <vt:lpstr>Rfb1_</vt:lpstr>
      <vt:lpstr>Rfb2_</vt:lpstr>
      <vt:lpstr>Rfb2_u</vt:lpstr>
      <vt:lpstr>Rfb3_</vt:lpstr>
      <vt:lpstr>Rfb4_</vt:lpstr>
      <vt:lpstr>Rfb4_u</vt:lpstr>
      <vt:lpstr>Rfets</vt:lpstr>
      <vt:lpstr>Rff</vt:lpstr>
      <vt:lpstr>Rgate1</vt:lpstr>
      <vt:lpstr>Rgate2</vt:lpstr>
      <vt:lpstr>Ri</vt:lpstr>
      <vt:lpstr>Ri_Ch2</vt:lpstr>
      <vt:lpstr>Ro</vt:lpstr>
      <vt:lpstr>Ro_Ch2</vt:lpstr>
      <vt:lpstr>RoEA</vt:lpstr>
      <vt:lpstr>Rout</vt:lpstr>
      <vt:lpstr>Rout2</vt:lpstr>
      <vt:lpstr>Rpg</vt:lpstr>
      <vt:lpstr>Rs</vt:lpstr>
      <vt:lpstr>Rs_Ch2</vt:lpstr>
      <vt:lpstr>Rs_ideal</vt:lpstr>
      <vt:lpstr>Rs2_ideal</vt:lpstr>
      <vt:lpstr>Sch_AdjVout_ExtComp_AEF</vt:lpstr>
      <vt:lpstr>Sch_AdjVout_ExtComp_nAEF</vt:lpstr>
      <vt:lpstr>Sch_AdjVout_IntComp_AEF</vt:lpstr>
      <vt:lpstr>Sch_AdjVout_IntComp_nAEF</vt:lpstr>
      <vt:lpstr>SCH_MODE</vt:lpstr>
      <vt:lpstr>SCH_SETTING</vt:lpstr>
      <vt:lpstr>Sch_SetVout_ExtComp_AEF</vt:lpstr>
      <vt:lpstr>Sch_SetVout_ExtComp_nAEF</vt:lpstr>
      <vt:lpstr>Sch_SetVout_IntComp_AEF</vt:lpstr>
      <vt:lpstr>Sch_SetVout_IntComp_nAEF</vt:lpstr>
      <vt:lpstr>Se_ext</vt:lpstr>
      <vt:lpstr>Sf</vt:lpstr>
      <vt:lpstr>Sf_Ch2</vt:lpstr>
      <vt:lpstr>SINGLE_OUTPUT</vt:lpstr>
      <vt:lpstr>Sn</vt:lpstr>
      <vt:lpstr>Sn_Ch2</vt:lpstr>
      <vt:lpstr>Ta</vt:lpstr>
      <vt:lpstr>Tf_buck</vt:lpstr>
      <vt:lpstr>Tf_Ch2</vt:lpstr>
      <vt:lpstr>ThetaCa</vt:lpstr>
      <vt:lpstr>ThetaJA_Q1</vt:lpstr>
      <vt:lpstr>ThetaJA_Q2</vt:lpstr>
      <vt:lpstr>ThetaJaCtrl</vt:lpstr>
      <vt:lpstr>TL</vt:lpstr>
      <vt:lpstr>Tr_buck</vt:lpstr>
      <vt:lpstr>Tr_Ch2</vt:lpstr>
      <vt:lpstr>Tres</vt:lpstr>
      <vt:lpstr>Trr_Q1</vt:lpstr>
      <vt:lpstr>Trr_Q2</vt:lpstr>
      <vt:lpstr>Ts</vt:lpstr>
      <vt:lpstr>Tss</vt:lpstr>
      <vt:lpstr>UVLO_TYPE</vt:lpstr>
      <vt:lpstr>VARIANT</vt:lpstr>
      <vt:lpstr>VCC</vt:lpstr>
      <vt:lpstr>VfdSky_Q2</vt:lpstr>
      <vt:lpstr>Vin</vt:lpstr>
      <vt:lpstr>VIN_max</vt:lpstr>
      <vt:lpstr>VIN_MAX_RATING</vt:lpstr>
      <vt:lpstr>VIN_min</vt:lpstr>
      <vt:lpstr>VIN_nom</vt:lpstr>
      <vt:lpstr>VinRipple_dBuV</vt:lpstr>
      <vt:lpstr>Vinripple1</vt:lpstr>
      <vt:lpstr>Vinripple2</vt:lpstr>
      <vt:lpstr>Vo1_ripple</vt:lpstr>
      <vt:lpstr>Vo2_ripple</vt:lpstr>
      <vt:lpstr>Vout</vt:lpstr>
      <vt:lpstr>VOUT_MAX_RATING</vt:lpstr>
      <vt:lpstr>VOUT_setting</vt:lpstr>
      <vt:lpstr>Vout2</vt:lpstr>
      <vt:lpstr>Vref</vt:lpstr>
      <vt:lpstr>Vsd_Q1</vt:lpstr>
      <vt:lpstr>Vsd_Q2</vt:lpstr>
      <vt:lpstr>Vsp_Q1</vt:lpstr>
      <vt:lpstr>Vsp_Q2</vt:lpstr>
      <vt:lpstr>Vth_Q1</vt:lpstr>
      <vt:lpstr>Vth_Q2</vt:lpstr>
      <vt:lpstr>w_fbff</vt:lpstr>
      <vt:lpstr>w_fbffHz</vt:lpstr>
      <vt:lpstr>wfbbHz</vt:lpstr>
      <vt:lpstr>wfbtHz</vt:lpstr>
      <vt:lpstr>wffHz</vt:lpstr>
      <vt:lpstr>wfftHz</vt:lpstr>
      <vt:lpstr>z_RHP</vt:lpstr>
      <vt:lpstr>Zero1</vt:lpstr>
      <vt:lpstr>Zero2</vt:lpstr>
      <vt:lpstr>zterm1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LM5148-Q1 Quickstart Tool</dc:title>
  <dc:creator>Timothy Hegarty;Murray, Orlando</dc:creator>
  <cp:keywords>LM5148-Q1, LM25148-Q1, LM5148, LM25148, PWM controller, current mode, PCB layout</cp:keywords>
  <cp:lastModifiedBy>Amit Medina</cp:lastModifiedBy>
  <cp:lastPrinted>2019-05-04T17:54:08Z</cp:lastPrinted>
  <dcterms:created xsi:type="dcterms:W3CDTF">1996-10-14T23:33:28Z</dcterms:created>
  <dcterms:modified xsi:type="dcterms:W3CDTF">2026-01-27T06:00:58Z</dcterms:modified>
</cp:coreProperties>
</file>