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94ad9e55c3885e4/Documents/Study Material/Interview Study Material/"/>
    </mc:Choice>
  </mc:AlternateContent>
  <xr:revisionPtr revIDLastSave="4" documentId="13_ncr:1_{71AC4F62-F3F6-2E4B-8F69-3E72AC5D7A2E}" xr6:coauthVersionLast="47" xr6:coauthVersionMax="47" xr10:uidLastSave="{BB4ACE11-7ED2-4CA5-A9C8-23B4453C0930}"/>
  <bookViews>
    <workbookView xWindow="-108" yWindow="-108" windowWidth="23256" windowHeight="12456" xr2:uid="{00000000-000D-0000-FFFF-FFFF00000000}"/>
  </bookViews>
  <sheets>
    <sheet name="Customization" sheetId="5" r:id="rId1"/>
    <sheet name="Screener - Data Sheet" sheetId="6" r:id="rId2"/>
    <sheet name="Financials&gt;" sheetId="7" r:id="rId3"/>
    <sheet name="HistoricalFS" sheetId="8" r:id="rId4"/>
    <sheet name="Cash Flow Statement" sheetId="10" r:id="rId5"/>
  </sheets>
  <definedNames>
    <definedName name="UPDATE">'Screener - 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8" l="1"/>
  <c r="E106" i="8"/>
  <c r="F106" i="8"/>
  <c r="G106" i="8"/>
  <c r="H106" i="8"/>
  <c r="I106" i="8"/>
  <c r="J106" i="8"/>
  <c r="K106" i="8"/>
  <c r="L106" i="8"/>
  <c r="C106" i="8"/>
  <c r="D104" i="8"/>
  <c r="E104" i="8"/>
  <c r="F104" i="8"/>
  <c r="G104" i="8"/>
  <c r="H104" i="8"/>
  <c r="I104" i="8"/>
  <c r="J104" i="8"/>
  <c r="K104" i="8"/>
  <c r="L104" i="8"/>
  <c r="C104" i="8"/>
  <c r="D96" i="8"/>
  <c r="E96" i="8"/>
  <c r="F96" i="8"/>
  <c r="G96" i="8"/>
  <c r="H96" i="8"/>
  <c r="I96" i="8"/>
  <c r="J96" i="8"/>
  <c r="K96" i="8"/>
  <c r="L96" i="8"/>
  <c r="D97" i="8"/>
  <c r="E97" i="8"/>
  <c r="F97" i="8"/>
  <c r="G97" i="8"/>
  <c r="H97" i="8"/>
  <c r="I97" i="8"/>
  <c r="J97" i="8"/>
  <c r="K97" i="8"/>
  <c r="L97" i="8"/>
  <c r="D98" i="8"/>
  <c r="E98" i="8"/>
  <c r="F98" i="8"/>
  <c r="G98" i="8"/>
  <c r="H98" i="8"/>
  <c r="I98" i="8"/>
  <c r="J98" i="8"/>
  <c r="K98" i="8"/>
  <c r="L98" i="8"/>
  <c r="D99" i="8"/>
  <c r="E99" i="8"/>
  <c r="F99" i="8"/>
  <c r="G99" i="8"/>
  <c r="H99" i="8"/>
  <c r="I99" i="8"/>
  <c r="J99" i="8"/>
  <c r="K99" i="8"/>
  <c r="L99" i="8"/>
  <c r="D100" i="8"/>
  <c r="E100" i="8"/>
  <c r="F100" i="8"/>
  <c r="G100" i="8"/>
  <c r="H100" i="8"/>
  <c r="I100" i="8"/>
  <c r="J100" i="8"/>
  <c r="K100" i="8"/>
  <c r="L100" i="8"/>
  <c r="D101" i="8"/>
  <c r="E101" i="8"/>
  <c r="F101" i="8"/>
  <c r="G101" i="8"/>
  <c r="H101" i="8"/>
  <c r="I101" i="8"/>
  <c r="J101" i="8"/>
  <c r="K101" i="8"/>
  <c r="L101" i="8"/>
  <c r="D102" i="8"/>
  <c r="E102" i="8"/>
  <c r="F102" i="8"/>
  <c r="G102" i="8"/>
  <c r="H102" i="8"/>
  <c r="I102" i="8"/>
  <c r="J102" i="8"/>
  <c r="K102" i="8"/>
  <c r="L102" i="8"/>
  <c r="D103" i="8"/>
  <c r="E103" i="8"/>
  <c r="F103" i="8"/>
  <c r="G103" i="8"/>
  <c r="H103" i="8"/>
  <c r="I103" i="8"/>
  <c r="J103" i="8"/>
  <c r="K103" i="8"/>
  <c r="L103" i="8"/>
  <c r="C97" i="8"/>
  <c r="C98" i="8"/>
  <c r="C99" i="8"/>
  <c r="C100" i="8"/>
  <c r="C101" i="8"/>
  <c r="C102" i="8"/>
  <c r="C103" i="8"/>
  <c r="C96" i="8"/>
  <c r="D93" i="8"/>
  <c r="E93" i="8"/>
  <c r="F93" i="8"/>
  <c r="G93" i="8"/>
  <c r="H93" i="8"/>
  <c r="I93" i="8"/>
  <c r="J93" i="8"/>
  <c r="K93" i="8"/>
  <c r="L93" i="8"/>
  <c r="C93" i="8"/>
  <c r="D82" i="8"/>
  <c r="E82" i="8"/>
  <c r="F82" i="8"/>
  <c r="G82" i="8"/>
  <c r="H82" i="8"/>
  <c r="I82" i="8"/>
  <c r="J82" i="8"/>
  <c r="K82" i="8"/>
  <c r="L82" i="8"/>
  <c r="D83" i="8"/>
  <c r="E83" i="8"/>
  <c r="F83" i="8"/>
  <c r="G83" i="8"/>
  <c r="H83" i="8"/>
  <c r="I83" i="8"/>
  <c r="J83" i="8"/>
  <c r="K83" i="8"/>
  <c r="L83" i="8"/>
  <c r="D84" i="8"/>
  <c r="E84" i="8"/>
  <c r="F84" i="8"/>
  <c r="G84" i="8"/>
  <c r="H84" i="8"/>
  <c r="I84" i="8"/>
  <c r="J84" i="8"/>
  <c r="K84" i="8"/>
  <c r="L84" i="8"/>
  <c r="D85" i="8"/>
  <c r="E85" i="8"/>
  <c r="F85" i="8"/>
  <c r="G85" i="8"/>
  <c r="H85" i="8"/>
  <c r="I85" i="8"/>
  <c r="J85" i="8"/>
  <c r="K85" i="8"/>
  <c r="L85" i="8"/>
  <c r="D86" i="8"/>
  <c r="E86" i="8"/>
  <c r="F86" i="8"/>
  <c r="G86" i="8"/>
  <c r="H86" i="8"/>
  <c r="I86" i="8"/>
  <c r="J86" i="8"/>
  <c r="K86" i="8"/>
  <c r="L86" i="8"/>
  <c r="D87" i="8"/>
  <c r="E87" i="8"/>
  <c r="F87" i="8"/>
  <c r="G87" i="8"/>
  <c r="H87" i="8"/>
  <c r="I87" i="8"/>
  <c r="J87" i="8"/>
  <c r="K87" i="8"/>
  <c r="L87" i="8"/>
  <c r="D88" i="8"/>
  <c r="E88" i="8"/>
  <c r="F88" i="8"/>
  <c r="G88" i="8"/>
  <c r="H88" i="8"/>
  <c r="I88" i="8"/>
  <c r="J88" i="8"/>
  <c r="K88" i="8"/>
  <c r="L88" i="8"/>
  <c r="D89" i="8"/>
  <c r="E89" i="8"/>
  <c r="F89" i="8"/>
  <c r="G89" i="8"/>
  <c r="H89" i="8"/>
  <c r="I89" i="8"/>
  <c r="J89" i="8"/>
  <c r="K89" i="8"/>
  <c r="L89" i="8"/>
  <c r="D90" i="8"/>
  <c r="E90" i="8"/>
  <c r="F90" i="8"/>
  <c r="G90" i="8"/>
  <c r="H90" i="8"/>
  <c r="I90" i="8"/>
  <c r="J90" i="8"/>
  <c r="K90" i="8"/>
  <c r="L90" i="8"/>
  <c r="D91" i="8"/>
  <c r="E91" i="8"/>
  <c r="F91" i="8"/>
  <c r="G91" i="8"/>
  <c r="H91" i="8"/>
  <c r="I91" i="8"/>
  <c r="J91" i="8"/>
  <c r="K91" i="8"/>
  <c r="L91" i="8"/>
  <c r="D92" i="8"/>
  <c r="E92" i="8"/>
  <c r="F92" i="8"/>
  <c r="G92" i="8"/>
  <c r="H92" i="8"/>
  <c r="I92" i="8"/>
  <c r="J92" i="8"/>
  <c r="K92" i="8"/>
  <c r="L92" i="8"/>
  <c r="C83" i="8"/>
  <c r="C84" i="8"/>
  <c r="C85" i="8"/>
  <c r="C86" i="8"/>
  <c r="C87" i="8"/>
  <c r="C88" i="8"/>
  <c r="C89" i="8"/>
  <c r="C90" i="8"/>
  <c r="C91" i="8"/>
  <c r="C92" i="8"/>
  <c r="C82" i="8"/>
  <c r="D79" i="8"/>
  <c r="E79" i="8"/>
  <c r="F79" i="8"/>
  <c r="G79" i="8"/>
  <c r="H79" i="8"/>
  <c r="I79" i="8"/>
  <c r="J79" i="8"/>
  <c r="K79" i="8"/>
  <c r="L79" i="8"/>
  <c r="C79" i="8"/>
  <c r="D71" i="8"/>
  <c r="E71" i="8"/>
  <c r="F71" i="8"/>
  <c r="G71" i="8"/>
  <c r="H71" i="8"/>
  <c r="I71" i="8"/>
  <c r="J71" i="8"/>
  <c r="K71" i="8"/>
  <c r="L71" i="8"/>
  <c r="D72" i="8"/>
  <c r="E72" i="8"/>
  <c r="F72" i="8"/>
  <c r="G72" i="8"/>
  <c r="H72" i="8"/>
  <c r="I72" i="8"/>
  <c r="J72" i="8"/>
  <c r="K72" i="8"/>
  <c r="L72" i="8"/>
  <c r="D73" i="8"/>
  <c r="E73" i="8"/>
  <c r="F73" i="8"/>
  <c r="G73" i="8"/>
  <c r="H73" i="8"/>
  <c r="I73" i="8"/>
  <c r="J73" i="8"/>
  <c r="K73" i="8"/>
  <c r="L73" i="8"/>
  <c r="D74" i="8"/>
  <c r="E74" i="8"/>
  <c r="F74" i="8"/>
  <c r="G74" i="8"/>
  <c r="H74" i="8"/>
  <c r="I74" i="8"/>
  <c r="J74" i="8"/>
  <c r="K74" i="8"/>
  <c r="L74" i="8"/>
  <c r="D75" i="8"/>
  <c r="E75" i="8"/>
  <c r="F75" i="8"/>
  <c r="G75" i="8"/>
  <c r="H75" i="8"/>
  <c r="I75" i="8"/>
  <c r="J75" i="8"/>
  <c r="K75" i="8"/>
  <c r="L75" i="8"/>
  <c r="D76" i="8"/>
  <c r="E76" i="8"/>
  <c r="F76" i="8"/>
  <c r="G76" i="8"/>
  <c r="H76" i="8"/>
  <c r="I76" i="8"/>
  <c r="J76" i="8"/>
  <c r="K76" i="8"/>
  <c r="L76" i="8"/>
  <c r="D77" i="8"/>
  <c r="E77" i="8"/>
  <c r="F77" i="8"/>
  <c r="G77" i="8"/>
  <c r="H77" i="8"/>
  <c r="I77" i="8"/>
  <c r="J77" i="8"/>
  <c r="K77" i="8"/>
  <c r="L77" i="8"/>
  <c r="D78" i="8"/>
  <c r="E78" i="8"/>
  <c r="F78" i="8"/>
  <c r="G78" i="8"/>
  <c r="H78" i="8"/>
  <c r="I78" i="8"/>
  <c r="J78" i="8"/>
  <c r="K78" i="8"/>
  <c r="L78" i="8"/>
  <c r="C72" i="8"/>
  <c r="C73" i="8"/>
  <c r="C74" i="8"/>
  <c r="C75" i="8"/>
  <c r="C76" i="8"/>
  <c r="C77" i="8"/>
  <c r="C78" i="8"/>
  <c r="C71" i="8"/>
  <c r="D62" i="8"/>
  <c r="F62" i="8"/>
  <c r="L62" i="8"/>
  <c r="C60" i="8"/>
  <c r="D60" i="8"/>
  <c r="E60" i="8"/>
  <c r="F60" i="8"/>
  <c r="G60" i="8"/>
  <c r="H60" i="8"/>
  <c r="I60" i="8"/>
  <c r="J60" i="8"/>
  <c r="K60" i="8"/>
  <c r="L60" i="8"/>
  <c r="C61" i="8"/>
  <c r="D61" i="8"/>
  <c r="E61" i="8"/>
  <c r="F61" i="8"/>
  <c r="G61" i="8"/>
  <c r="H61" i="8"/>
  <c r="I61" i="8"/>
  <c r="J61" i="8"/>
  <c r="K61" i="8"/>
  <c r="L61" i="8"/>
  <c r="D59" i="8"/>
  <c r="D56" i="8" s="1"/>
  <c r="E59" i="8"/>
  <c r="E56" i="8" s="1"/>
  <c r="F59" i="8"/>
  <c r="F56" i="8" s="1"/>
  <c r="G59" i="8"/>
  <c r="G62" i="8" s="1"/>
  <c r="H59" i="8"/>
  <c r="H62" i="8" s="1"/>
  <c r="I59" i="8"/>
  <c r="I56" i="8" s="1"/>
  <c r="J59" i="8"/>
  <c r="J56" i="8" s="1"/>
  <c r="K59" i="8"/>
  <c r="K56" i="8" s="1"/>
  <c r="L59" i="8"/>
  <c r="L56" i="8" s="1"/>
  <c r="C59" i="8"/>
  <c r="C56" i="8" s="1"/>
  <c r="C53" i="8"/>
  <c r="C57" i="8" s="1"/>
  <c r="C54" i="8"/>
  <c r="D54" i="8"/>
  <c r="E54" i="8"/>
  <c r="F54" i="8"/>
  <c r="G54" i="8"/>
  <c r="H54" i="8"/>
  <c r="I54" i="8"/>
  <c r="J54" i="8"/>
  <c r="K54" i="8"/>
  <c r="L54" i="8"/>
  <c r="C55" i="8"/>
  <c r="D55" i="8"/>
  <c r="E55" i="8"/>
  <c r="F55" i="8"/>
  <c r="G55" i="8"/>
  <c r="H55" i="8"/>
  <c r="I55" i="8"/>
  <c r="J55" i="8"/>
  <c r="K55" i="8"/>
  <c r="L55" i="8"/>
  <c r="D53" i="8"/>
  <c r="E53" i="8"/>
  <c r="E57" i="8" s="1"/>
  <c r="F53" i="8"/>
  <c r="F57" i="8" s="1"/>
  <c r="G53" i="8"/>
  <c r="H53" i="8"/>
  <c r="I53" i="8"/>
  <c r="J53" i="8"/>
  <c r="J57" i="8" s="1"/>
  <c r="K53" i="8"/>
  <c r="L53" i="8"/>
  <c r="C51" i="8"/>
  <c r="D51" i="8"/>
  <c r="E51" i="8"/>
  <c r="F51" i="8"/>
  <c r="G51" i="8"/>
  <c r="H51" i="8"/>
  <c r="I51" i="8"/>
  <c r="J51" i="8"/>
  <c r="K51" i="8"/>
  <c r="L51" i="8"/>
  <c r="C48" i="8"/>
  <c r="D48" i="8"/>
  <c r="E48" i="8"/>
  <c r="F48" i="8"/>
  <c r="G48" i="8"/>
  <c r="H48" i="8"/>
  <c r="I48" i="8"/>
  <c r="J48" i="8"/>
  <c r="K48" i="8"/>
  <c r="L48" i="8"/>
  <c r="C49" i="8"/>
  <c r="D49" i="8"/>
  <c r="E49" i="8"/>
  <c r="F49" i="8"/>
  <c r="G49" i="8"/>
  <c r="H49" i="8"/>
  <c r="I49" i="8"/>
  <c r="J49" i="8"/>
  <c r="K49" i="8"/>
  <c r="L49" i="8"/>
  <c r="C50" i="8"/>
  <c r="D50" i="8"/>
  <c r="E50" i="8"/>
  <c r="F50" i="8"/>
  <c r="G50" i="8"/>
  <c r="H50" i="8"/>
  <c r="I50" i="8"/>
  <c r="J50" i="8"/>
  <c r="K50" i="8"/>
  <c r="L50" i="8"/>
  <c r="D47" i="8"/>
  <c r="E47" i="8"/>
  <c r="F47" i="8"/>
  <c r="G47" i="8"/>
  <c r="H47" i="8"/>
  <c r="I47" i="8"/>
  <c r="J47" i="8"/>
  <c r="K47" i="8"/>
  <c r="L47" i="8"/>
  <c r="C47" i="8"/>
  <c r="D36" i="8"/>
  <c r="D41" i="8" s="1"/>
  <c r="E36" i="8"/>
  <c r="E41" i="8" s="1"/>
  <c r="F36" i="8"/>
  <c r="F41" i="8" s="1"/>
  <c r="G36" i="8"/>
  <c r="G41" i="8" s="1"/>
  <c r="H36" i="8"/>
  <c r="H41" i="8" s="1"/>
  <c r="I36" i="8"/>
  <c r="I41" i="8" s="1"/>
  <c r="J36" i="8"/>
  <c r="J41" i="8" s="1"/>
  <c r="K36" i="8"/>
  <c r="K41" i="8" s="1"/>
  <c r="L36" i="8"/>
  <c r="L41" i="8" s="1"/>
  <c r="M36" i="8"/>
  <c r="M41" i="8" s="1"/>
  <c r="M42" i="8" s="1"/>
  <c r="M44" i="8" s="1"/>
  <c r="C36" i="8"/>
  <c r="C41" i="8" s="1"/>
  <c r="M30" i="8"/>
  <c r="D30" i="8"/>
  <c r="E30" i="8"/>
  <c r="F30" i="8"/>
  <c r="G30" i="8"/>
  <c r="H30" i="8"/>
  <c r="I30" i="8"/>
  <c r="J30" i="8"/>
  <c r="K30" i="8"/>
  <c r="L30" i="8"/>
  <c r="C30" i="8"/>
  <c r="M24" i="8"/>
  <c r="D24" i="8"/>
  <c r="E24" i="8"/>
  <c r="F24" i="8"/>
  <c r="G24" i="8"/>
  <c r="H24" i="8"/>
  <c r="I24" i="8"/>
  <c r="J24" i="8"/>
  <c r="K24" i="8"/>
  <c r="L24" i="8"/>
  <c r="C24" i="8"/>
  <c r="M21" i="8"/>
  <c r="M27" i="8" s="1"/>
  <c r="D21" i="8"/>
  <c r="E21" i="8"/>
  <c r="F21" i="8"/>
  <c r="G21" i="8"/>
  <c r="H21" i="8"/>
  <c r="I21" i="8"/>
  <c r="J21" i="8"/>
  <c r="K21" i="8"/>
  <c r="L21" i="8"/>
  <c r="C21" i="8"/>
  <c r="D15" i="8"/>
  <c r="E15" i="8"/>
  <c r="F15" i="8"/>
  <c r="G15" i="8"/>
  <c r="H15" i="8"/>
  <c r="I15" i="8"/>
  <c r="J15" i="8"/>
  <c r="K15" i="8"/>
  <c r="L15" i="8"/>
  <c r="C15" i="8"/>
  <c r="M9" i="8"/>
  <c r="D6" i="8"/>
  <c r="E6" i="8"/>
  <c r="F6" i="8"/>
  <c r="G6" i="8"/>
  <c r="H6" i="8"/>
  <c r="H25" i="8" s="1"/>
  <c r="I6" i="8"/>
  <c r="J6" i="8"/>
  <c r="K6" i="8"/>
  <c r="L6" i="8"/>
  <c r="M6" i="8"/>
  <c r="M16" i="8" s="1"/>
  <c r="C9" i="8"/>
  <c r="D9" i="8"/>
  <c r="E9" i="8"/>
  <c r="F9" i="8"/>
  <c r="G9" i="8"/>
  <c r="H9" i="8"/>
  <c r="I9" i="8"/>
  <c r="J9" i="8"/>
  <c r="J10" i="8" s="1"/>
  <c r="K9" i="8"/>
  <c r="K10" i="8" s="1"/>
  <c r="L9" i="8"/>
  <c r="C6" i="8"/>
  <c r="K3" i="8"/>
  <c r="L3" i="8"/>
  <c r="I3" i="8"/>
  <c r="J3" i="8"/>
  <c r="D3" i="8"/>
  <c r="E3" i="8"/>
  <c r="F3" i="8"/>
  <c r="G3" i="8"/>
  <c r="H3" i="8"/>
  <c r="C3" i="8"/>
  <c r="B2" i="8"/>
  <c r="B6" i="6"/>
  <c r="E1" i="6"/>
  <c r="K57" i="8" l="1"/>
  <c r="K64" i="8" s="1"/>
  <c r="K66" i="8" s="1"/>
  <c r="L57" i="8"/>
  <c r="I57" i="8"/>
  <c r="L64" i="8"/>
  <c r="L66" i="8" s="1"/>
  <c r="G57" i="8"/>
  <c r="G64" i="8" s="1"/>
  <c r="G66" i="8" s="1"/>
  <c r="F64" i="8"/>
  <c r="F66" i="8" s="1"/>
  <c r="D57" i="8"/>
  <c r="D64" i="8" s="1"/>
  <c r="D66" i="8" s="1"/>
  <c r="C62" i="8"/>
  <c r="C64" i="8" s="1"/>
  <c r="C66" i="8" s="1"/>
  <c r="E62" i="8"/>
  <c r="E64" i="8" s="1"/>
  <c r="E66" i="8" s="1"/>
  <c r="G56" i="8"/>
  <c r="H56" i="8"/>
  <c r="H57" i="8" s="1"/>
  <c r="H64" i="8" s="1"/>
  <c r="H66" i="8" s="1"/>
  <c r="K62" i="8"/>
  <c r="J62" i="8"/>
  <c r="J64" i="8" s="1"/>
  <c r="J66" i="8" s="1"/>
  <c r="G10" i="8"/>
  <c r="I62" i="8"/>
  <c r="E7" i="8"/>
  <c r="F10" i="8"/>
  <c r="I22" i="8"/>
  <c r="C22" i="8"/>
  <c r="E10" i="8"/>
  <c r="E22" i="8"/>
  <c r="I25" i="8"/>
  <c r="K25" i="8"/>
  <c r="M25" i="8"/>
  <c r="L22" i="8"/>
  <c r="D22" i="8"/>
  <c r="G25" i="8"/>
  <c r="F25" i="8"/>
  <c r="J22" i="8"/>
  <c r="C25" i="8"/>
  <c r="E25" i="8"/>
  <c r="I10" i="8"/>
  <c r="L16" i="8"/>
  <c r="L25" i="8"/>
  <c r="D25" i="8"/>
  <c r="E16" i="8"/>
  <c r="G22" i="8"/>
  <c r="J25" i="8"/>
  <c r="F22" i="8"/>
  <c r="M33" i="8"/>
  <c r="M34" i="8" s="1"/>
  <c r="M28" i="8"/>
  <c r="M31" i="8"/>
  <c r="C16" i="8"/>
  <c r="J16" i="8"/>
  <c r="K22" i="8"/>
  <c r="G16" i="8"/>
  <c r="K16" i="8"/>
  <c r="F16" i="8"/>
  <c r="H22" i="8"/>
  <c r="I16" i="8"/>
  <c r="L10" i="8"/>
  <c r="D10" i="8"/>
  <c r="M19" i="8"/>
  <c r="C10" i="8"/>
  <c r="I7" i="8"/>
  <c r="H16" i="8"/>
  <c r="D16" i="8"/>
  <c r="J7" i="8"/>
  <c r="M22" i="8"/>
  <c r="G12" i="8"/>
  <c r="E12" i="8"/>
  <c r="H10" i="8"/>
  <c r="L7" i="8"/>
  <c r="J12" i="8"/>
  <c r="C12" i="8"/>
  <c r="I12" i="8"/>
  <c r="M12" i="8"/>
  <c r="M13" i="8" s="1"/>
  <c r="G7" i="8"/>
  <c r="K12" i="8"/>
  <c r="H12" i="8"/>
  <c r="K7" i="8"/>
  <c r="L12" i="8"/>
  <c r="D12" i="8"/>
  <c r="H7" i="8"/>
  <c r="F12" i="8"/>
  <c r="F7" i="8"/>
  <c r="M10" i="8"/>
  <c r="D7" i="8"/>
  <c r="M7" i="8"/>
  <c r="I64" i="8" l="1"/>
  <c r="I66" i="8" s="1"/>
  <c r="I18" i="8"/>
  <c r="I13" i="8"/>
  <c r="D18" i="8"/>
  <c r="D13" i="8"/>
  <c r="C18" i="8"/>
  <c r="C13" i="8"/>
  <c r="L18" i="8"/>
  <c r="L13" i="8"/>
  <c r="J18" i="8"/>
  <c r="J13" i="8"/>
  <c r="H18" i="8"/>
  <c r="H13" i="8"/>
  <c r="K18" i="8"/>
  <c r="K13" i="8"/>
  <c r="E18" i="8"/>
  <c r="E13" i="8"/>
  <c r="G18" i="8"/>
  <c r="G13" i="8"/>
  <c r="F18" i="8"/>
  <c r="F13" i="8"/>
  <c r="K19" i="8" l="1"/>
  <c r="K27" i="8"/>
  <c r="D19" i="8"/>
  <c r="D27" i="8"/>
  <c r="L19" i="8"/>
  <c r="L27" i="8"/>
  <c r="C19" i="8"/>
  <c r="C27" i="8"/>
  <c r="F19" i="8"/>
  <c r="F27" i="8"/>
  <c r="H19" i="8"/>
  <c r="H27" i="8"/>
  <c r="E19" i="8"/>
  <c r="E27" i="8"/>
  <c r="G19" i="8"/>
  <c r="G27" i="8"/>
  <c r="J19" i="8"/>
  <c r="J27" i="8"/>
  <c r="I19" i="8"/>
  <c r="I27" i="8"/>
  <c r="L33" i="8" l="1"/>
  <c r="L28" i="8"/>
  <c r="L31" i="8"/>
  <c r="C33" i="8"/>
  <c r="C28" i="8"/>
  <c r="C31" i="8"/>
  <c r="D33" i="8"/>
  <c r="D28" i="8"/>
  <c r="D31" i="8"/>
  <c r="G33" i="8"/>
  <c r="G28" i="8"/>
  <c r="G31" i="8"/>
  <c r="E33" i="8"/>
  <c r="E28" i="8"/>
  <c r="E31" i="8"/>
  <c r="I33" i="8"/>
  <c r="I28" i="8"/>
  <c r="I31" i="8"/>
  <c r="H33" i="8"/>
  <c r="H28" i="8"/>
  <c r="H31" i="8"/>
  <c r="J28" i="8"/>
  <c r="J33" i="8"/>
  <c r="J31" i="8"/>
  <c r="F33" i="8"/>
  <c r="F28" i="8"/>
  <c r="F31" i="8"/>
  <c r="K33" i="8"/>
  <c r="K28" i="8"/>
  <c r="K31" i="8"/>
  <c r="F34" i="8" l="1"/>
  <c r="F38" i="8"/>
  <c r="J34" i="8"/>
  <c r="J38" i="8"/>
  <c r="E38" i="8"/>
  <c r="E34" i="8"/>
  <c r="L38" i="8"/>
  <c r="L34" i="8"/>
  <c r="I34" i="8"/>
  <c r="I38" i="8"/>
  <c r="D38" i="8"/>
  <c r="D34" i="8"/>
  <c r="K38" i="8"/>
  <c r="K34" i="8"/>
  <c r="C34" i="8"/>
  <c r="C38" i="8"/>
  <c r="C42" i="8" s="1"/>
  <c r="C44" i="8" s="1"/>
  <c r="H34" i="8"/>
  <c r="H38" i="8"/>
  <c r="G34" i="8"/>
  <c r="G38" i="8"/>
  <c r="I39" i="8" l="1"/>
  <c r="I42" i="8"/>
  <c r="I44" i="8" s="1"/>
  <c r="L39" i="8"/>
  <c r="L42" i="8"/>
  <c r="L44" i="8" s="1"/>
  <c r="E39" i="8"/>
  <c r="E42" i="8"/>
  <c r="E44" i="8" s="1"/>
  <c r="H39" i="8"/>
  <c r="H42" i="8"/>
  <c r="H44" i="8" s="1"/>
  <c r="F39" i="8"/>
  <c r="F42" i="8"/>
  <c r="F44" i="8" s="1"/>
  <c r="K39" i="8"/>
  <c r="K42" i="8"/>
  <c r="K44" i="8" s="1"/>
  <c r="G39" i="8"/>
  <c r="G42" i="8"/>
  <c r="G44" i="8" s="1"/>
  <c r="J39" i="8"/>
  <c r="J42" i="8"/>
  <c r="J44" i="8" s="1"/>
  <c r="D39" i="8"/>
  <c r="D42" i="8"/>
  <c r="D44" i="8" s="1"/>
</calcChain>
</file>

<file path=xl/sharedStrings.xml><?xml version="1.0" encoding="utf-8"?>
<sst xmlns="http://schemas.openxmlformats.org/spreadsheetml/2006/main" count="197" uniqueCount="136">
  <si>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</si>
  <si>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</si>
  <si>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</si>
  <si>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</si>
  <si>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</si>
  <si>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</si>
  <si>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</si>
  <si>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</si>
  <si>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</si>
  <si>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</si>
  <si>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</si>
  <si>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</si>
  <si>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</si>
  <si>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</si>
  <si>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</si>
  <si>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</si>
  <si>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</si>
  <si>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</si>
  <si>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</si>
  <si>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</si>
  <si>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</si>
  <si>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</si>
  <si>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</si>
  <si>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</si>
  <si>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</si>
  <si>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</si>
  <si>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</si>
  <si>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</si>
  <si>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</si>
  <si>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</si>
  <si>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</si>
  <si>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</si>
  <si>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</si>
  <si>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</si>
  <si>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</si>
  <si>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</si>
  <si>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</si>
  <si>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</si>
  <si>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</si>
  <si>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</si>
  <si>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</si>
  <si>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</si>
  <si>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</si>
  <si>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</si>
  <si>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</si>
  <si>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</si>
  <si>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</si>
  <si>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</si>
  <si>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</si>
  <si>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</si>
  <si>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</si>
  <si>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</si>
  <si>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</si>
  <si>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</si>
  <si>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</si>
  <si>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</si>
  <si>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</si>
  <si>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</si>
  <si>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</si>
  <si>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</si>
  <si>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</si>
  <si>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</si>
  <si>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</si>
  <si>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</si>
  <si>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</si>
  <si>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</si>
  <si>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</si>
  <si>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Years</t>
  </si>
  <si>
    <t>LTM</t>
  </si>
  <si>
    <t>#</t>
  </si>
  <si>
    <t>Income Statement</t>
  </si>
  <si>
    <t>-</t>
  </si>
  <si>
    <t>COGS</t>
  </si>
  <si>
    <t>COGS as % of Sales</t>
  </si>
  <si>
    <t>Gross Profit</t>
  </si>
  <si>
    <t>INR CRORES</t>
  </si>
  <si>
    <t>Selling and General expenses</t>
  </si>
  <si>
    <t>EBITDA</t>
  </si>
  <si>
    <t>S&amp;G Exp % of Sales</t>
  </si>
  <si>
    <t>EBITDA as % of Sales</t>
  </si>
  <si>
    <t>Interest as % of Sales</t>
  </si>
  <si>
    <t>Depreciation as % of Sales</t>
  </si>
  <si>
    <t>Gross Margins</t>
  </si>
  <si>
    <t>Profit Before Tax</t>
  </si>
  <si>
    <t>PBT as % of Sales</t>
  </si>
  <si>
    <t>Effective Tax Rate</t>
  </si>
  <si>
    <t>Net Profit</t>
  </si>
  <si>
    <t>Net Margins</t>
  </si>
  <si>
    <t>No. of Equity Shares in Cr</t>
  </si>
  <si>
    <t>Earnings per share</t>
  </si>
  <si>
    <t>Dividend per share</t>
  </si>
  <si>
    <t>EPS Growth</t>
  </si>
  <si>
    <t>Dividend payout ratio</t>
  </si>
  <si>
    <t>Retained Earnings</t>
  </si>
  <si>
    <t>Balance Sheet</t>
  </si>
  <si>
    <t>Total Liabilities</t>
  </si>
  <si>
    <t>Total Non Current Assets</t>
  </si>
  <si>
    <t>Fixed Assets Net Block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</si>
  <si>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</si>
  <si>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</si>
  <si>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</si>
  <si>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</si>
  <si>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</si>
  <si>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</si>
  <si>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</si>
  <si>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</si>
  <si>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</si>
  <si>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</si>
  <si>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</si>
  <si>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</si>
  <si>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</si>
  <si>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</si>
  <si>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</si>
  <si>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</si>
  <si>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</si>
  <si>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</si>
  <si>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</si>
  <si>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</si>
  <si>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</si>
  <si>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</si>
  <si>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</si>
  <si>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</si>
  <si>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</si>
  <si>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</si>
  <si>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</si>
  <si>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</si>
  <si>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r>
      <t>Cash from Operating Activity </t>
    </r>
    <r>
      <rPr>
        <sz val="11"/>
        <color rgb="FF665EFD"/>
        <rFont val="Calibri"/>
        <family val="2"/>
        <scheme val="minor"/>
      </rPr>
      <t>-</t>
    </r>
  </si>
  <si>
    <r>
      <t>Cash from Investing Activity </t>
    </r>
    <r>
      <rPr>
        <sz val="11"/>
        <color rgb="FF665EFD"/>
        <rFont val="Calibri"/>
        <family val="2"/>
        <scheme val="minor"/>
      </rPr>
      <t>-</t>
    </r>
  </si>
  <si>
    <r>
      <t>Cash from Financing Activity </t>
    </r>
    <r>
      <rPr>
        <sz val="11"/>
        <color rgb="FF665EFD"/>
        <rFont val="Calibri"/>
        <family val="2"/>
        <scheme val="minor"/>
      </rPr>
      <t>-</t>
    </r>
  </si>
  <si>
    <t>Cash from operating activities</t>
  </si>
  <si>
    <t>Cash Flow Statements</t>
  </si>
  <si>
    <t>Operating activities</t>
  </si>
  <si>
    <t>Investing activities</t>
  </si>
  <si>
    <t>Cash from investing activities</t>
  </si>
  <si>
    <t>Financing activities</t>
  </si>
  <si>
    <t>Cash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</si>
</sst>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[$₹-4009]\ #,##0.0;[$₹-4009]\ \-#,##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606F7B"/>
      <name val="Calibri"/>
      <family val="2"/>
      <scheme val="minor"/>
    </font>
    <font>
      <sz val="11"/>
      <color rgb="FF22222F"/>
      <name val="Calibri"/>
      <family val="2"/>
      <scheme val="minor"/>
    </font>
    <font>
      <sz val="11"/>
      <color rgb="FF665EFD"/>
      <name val="Calibri"/>
      <family val="2"/>
      <scheme val="minor"/>
    </font>
    <font>
      <sz val="11"/>
      <color rgb="FF22222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48">
    <xf numFmtId="0" fontId="0" fillId="0" borderId="0" xfId="0"/>
    <xf numFmtId="164" fontId="1" fillId="0" borderId="0" xfId="1" applyFont="1" applyBorder="1"/>
    <xf numFmtId="0" fontId="1" fillId="0" borderId="0" xfId="0" applyFont="1"/>
    <xf numFmtId="164" fontId="0" fillId="0" borderId="0" xfId="1" applyFont="1" applyBorder="1"/>
    <xf numFmtId="164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8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43" fontId="0" fillId="0" borderId="0" xfId="1" applyNumberFormat="1" applyFont="1" applyBorder="1"/>
    <xf numFmtId="0" fontId="5" fillId="4" borderId="0" xfId="0" applyFont="1" applyFill="1"/>
    <xf numFmtId="17" fontId="5" fillId="4" borderId="0" xfId="0" applyNumberFormat="1" applyFont="1" applyFill="1"/>
    <xf numFmtId="17" fontId="5" fillId="4" borderId="0" xfId="0" applyNumberFormat="1" applyFont="1" applyFill="1" applyAlignment="1">
      <alignment horizontal="right"/>
    </xf>
    <xf numFmtId="166" fontId="0" fillId="0" borderId="0" xfId="0" applyNumberFormat="1"/>
    <xf numFmtId="10" fontId="0" fillId="0" borderId="0" xfId="4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10" fontId="10" fillId="0" borderId="0" xfId="4" applyNumberFormat="1" applyFont="1"/>
    <xf numFmtId="10" fontId="10" fillId="0" borderId="0" xfId="4" applyNumberFormat="1" applyFont="1" applyAlignment="1">
      <alignment horizontal="right"/>
    </xf>
    <xf numFmtId="17" fontId="5" fillId="0" borderId="0" xfId="0" applyNumberFormat="1" applyFont="1"/>
    <xf numFmtId="17" fontId="5" fillId="0" borderId="0" xfId="0" applyNumberFormat="1" applyFont="1" applyAlignment="1">
      <alignment horizontal="right"/>
    </xf>
    <xf numFmtId="0" fontId="11" fillId="0" borderId="0" xfId="0" applyFont="1"/>
    <xf numFmtId="0" fontId="1" fillId="5" borderId="0" xfId="0" applyFont="1" applyFill="1"/>
    <xf numFmtId="0" fontId="0" fillId="5" borderId="0" xfId="0" applyFill="1"/>
    <xf numFmtId="166" fontId="1" fillId="0" borderId="0" xfId="0" applyNumberFormat="1" applyFont="1"/>
    <xf numFmtId="0" fontId="12" fillId="0" borderId="0" xfId="0" applyFont="1"/>
    <xf numFmtId="0" fontId="0" fillId="0" borderId="1" xfId="0" applyBorder="1"/>
    <xf numFmtId="17" fontId="13" fillId="6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left" vertical="center" indent="2"/>
    </xf>
    <xf numFmtId="3" fontId="14" fillId="7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right" vertical="center" wrapText="1"/>
    </xf>
    <xf numFmtId="3" fontId="16" fillId="7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6" borderId="1" xfId="0" applyFont="1" applyFill="1" applyBorder="1" applyAlignment="1">
      <alignment horizontal="left" vertical="center" indent="2"/>
    </xf>
    <xf numFmtId="3" fontId="14" fillId="6" borderId="1" xfId="0" applyNumberFormat="1" applyFont="1" applyFill="1" applyBorder="1" applyAlignment="1">
      <alignment horizontal="right" vertical="center" wrapText="1"/>
    </xf>
    <xf numFmtId="0" fontId="16" fillId="6" borderId="1" xfId="0" applyFont="1" applyFill="1" applyBorder="1" applyAlignment="1">
      <alignment horizontal="left" vertical="center"/>
    </xf>
    <xf numFmtId="3" fontId="16" fillId="6" borderId="1" xfId="0" applyNumberFormat="1" applyFont="1" applyFill="1" applyBorder="1" applyAlignment="1">
      <alignment horizontal="right" vertical="center" wrapText="1"/>
    </xf>
    <xf numFmtId="0" fontId="16" fillId="6" borderId="1" xfId="0" applyFont="1" applyFill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  <xf numFmtId="164" fontId="4" fillId="0" borderId="0" xfId="2" applyNumberFormat="1" applyBorder="1" applyAlignment="1" applyProtection="1">
      <alignment horizontal="center"/>
    </xf>
    <xf numFmtId="164" fontId="2" fillId="2" borderId="0" xfId="3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tabSelected="1"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9" customWidth="1"/>
    <col min="6" max="6" width="6.77734375" customWidth="1"/>
  </cols>
  <sheetData>
    <row r="1" spans="1:7" ht="21" x14ac:dyDescent="0.4">
      <c r="A1" s="8" t="s">
        <v>39</v>
      </c>
    </row>
    <row r="3" spans="1:7" x14ac:dyDescent="0.3">
      <c r="A3" s="2" t="s">
        <v>31</v>
      </c>
    </row>
    <row r="4" spans="1:7" x14ac:dyDescent="0.3">
      <c r="B4" t="s">
        <v>64</v>
      </c>
    </row>
    <row r="5" spans="1:7" x14ac:dyDescent="0.3">
      <c r="B5" t="s">
        <v>32</v>
      </c>
    </row>
    <row r="7" spans="1:7" x14ac:dyDescent="0.3">
      <c r="A7" s="2" t="s">
        <v>33</v>
      </c>
    </row>
    <row r="8" spans="1:7" x14ac:dyDescent="0.3">
      <c r="B8" t="s">
        <v>34</v>
      </c>
      <c r="C8" s="10" t="s">
        <v>65</v>
      </c>
    </row>
    <row r="10" spans="1:7" x14ac:dyDescent="0.3">
      <c r="A10" s="2" t="s">
        <v>35</v>
      </c>
    </row>
    <row r="11" spans="1:7" x14ac:dyDescent="0.3">
      <c r="B11" t="s">
        <v>36</v>
      </c>
    </row>
    <row r="14" spans="1:7" x14ac:dyDescent="0.3">
      <c r="A14" s="2" t="s">
        <v>37</v>
      </c>
    </row>
    <row r="15" spans="1:7" x14ac:dyDescent="0.3">
      <c r="B15" t="s">
        <v>38</v>
      </c>
    </row>
    <row r="16" spans="1:7" x14ac:dyDescent="0.3">
      <c r="B16" t="s">
        <v>66</v>
      </c>
      <c r="G16" s="11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/>
    </sheetView>
  </sheetViews>
  <sheetFormatPr defaultColWidth="8.77734375" defaultRowHeight="14.4" x14ac:dyDescent="0.3"/>
  <cols>
    <col min="1" max="1" width="27.6640625" style="3" bestFit="1" customWidth="1"/>
    <col min="2" max="11" width="13.44140625" style="3" bestFit="1" customWidth="1"/>
    <col min="12" max="16384" width="8.77734375" style="3"/>
  </cols>
  <sheetData>
    <row r="1" spans="1:11" s="1" customFormat="1" x14ac:dyDescent="0.3">
      <c r="A1" s="1" t="s">
        <v>0</v>
      </c>
      <c r="B1" s="1" t="s">
        <v>42</v>
      </c>
      <c r="E1" s="45" t="str">
        <f>IF(B2&lt;&gt;B3, "A NEW VERSION OF THE WORKSHEET IS AVAILABLE", "")</f>
        <v/>
      </c>
      <c r="F1" s="45"/>
      <c r="G1" s="45"/>
      <c r="H1" s="45"/>
      <c r="I1" s="45"/>
      <c r="J1" s="45"/>
      <c r="K1" s="45"/>
    </row>
    <row r="2" spans="1:11" x14ac:dyDescent="0.3">
      <c r="A2" s="1" t="s">
        <v>40</v>
      </c>
      <c r="B2" s="3">
        <v>2.1</v>
      </c>
      <c r="E2" s="46" t="s">
        <v>22</v>
      </c>
      <c r="F2" s="46"/>
      <c r="G2" s="46"/>
      <c r="H2" s="46"/>
      <c r="I2" s="46"/>
      <c r="J2" s="46"/>
      <c r="K2" s="46"/>
    </row>
    <row r="3" spans="1:11" x14ac:dyDescent="0.3">
      <c r="A3" s="1" t="s">
        <v>41</v>
      </c>
      <c r="B3" s="3">
        <v>2.1</v>
      </c>
    </row>
    <row r="4" spans="1:11" x14ac:dyDescent="0.3">
      <c r="A4" s="1"/>
    </row>
    <row r="5" spans="1:11" x14ac:dyDescent="0.3">
      <c r="A5" s="1" t="s">
        <v>43</v>
      </c>
    </row>
    <row r="6" spans="1:11" x14ac:dyDescent="0.3">
      <c r="A6" s="3" t="s">
        <v>28</v>
      </c>
      <c r="B6" s="3">
        <f>IF(B9&gt;0, B9/B8, 0)</f>
        <v>368.20166058263544</v>
      </c>
    </row>
    <row r="7" spans="1:11" x14ac:dyDescent="0.3">
      <c r="A7" s="3" t="s">
        <v>17</v>
      </c>
      <c r="B7">
        <v>2</v>
      </c>
    </row>
    <row r="8" spans="1:11" x14ac:dyDescent="0.3">
      <c r="A8" s="3" t="s">
        <v>29</v>
      </c>
      <c r="B8">
        <v>698.55</v>
      </c>
    </row>
    <row r="9" spans="1:11" x14ac:dyDescent="0.3">
      <c r="A9" s="3" t="s">
        <v>53</v>
      </c>
      <c r="B9">
        <v>257207.27</v>
      </c>
    </row>
    <row r="15" spans="1:11" x14ac:dyDescent="0.3">
      <c r="A15" s="1" t="s">
        <v>23</v>
      </c>
    </row>
    <row r="16" spans="1:11" s="7" customFormat="1" x14ac:dyDescent="0.3">
      <c r="A16" s="6" t="s">
        <v>24</v>
      </c>
      <c r="B16" s="5">
        <v>42460</v>
      </c>
      <c r="C16" s="5">
        <v>42825</v>
      </c>
      <c r="D16" s="5">
        <v>43190</v>
      </c>
      <c r="E16" s="5">
        <v>43555</v>
      </c>
      <c r="F16" s="5">
        <v>43921</v>
      </c>
      <c r="G16" s="5">
        <v>44286</v>
      </c>
      <c r="H16" s="5">
        <v>44651</v>
      </c>
      <c r="I16" s="5">
        <v>45016</v>
      </c>
      <c r="J16" s="5">
        <v>45382</v>
      </c>
      <c r="K16" s="5">
        <v>45747</v>
      </c>
    </row>
    <row r="17" spans="1:11" s="4" customFormat="1" x14ac:dyDescent="0.3">
      <c r="A17" s="4" t="s">
        <v>1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4" customFormat="1" x14ac:dyDescent="0.3">
      <c r="A18" s="3" t="s">
        <v>54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4" customFormat="1" x14ac:dyDescent="0.3">
      <c r="A19" s="3" t="s">
        <v>55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4" customFormat="1" x14ac:dyDescent="0.3">
      <c r="A20" s="3" t="s">
        <v>56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4" customFormat="1" x14ac:dyDescent="0.3">
      <c r="A21" s="3" t="s">
        <v>57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4" customFormat="1" x14ac:dyDescent="0.3">
      <c r="A22" s="3" t="s">
        <v>58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4" customFormat="1" x14ac:dyDescent="0.3">
      <c r="A23" s="3" t="s">
        <v>59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4" customFormat="1" x14ac:dyDescent="0.3">
      <c r="A24" s="3" t="s">
        <v>60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4" customFormat="1" x14ac:dyDescent="0.3">
      <c r="A25" s="4" t="s">
        <v>4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4" customFormat="1" x14ac:dyDescent="0.3">
      <c r="A26" s="4" t="s">
        <v>5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4" customFormat="1" x14ac:dyDescent="0.3">
      <c r="A27" s="4" t="s">
        <v>6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4" customFormat="1" x14ac:dyDescent="0.3">
      <c r="A28" s="4" t="s">
        <v>7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4" customFormat="1" x14ac:dyDescent="0.3">
      <c r="A29" s="4" t="s">
        <v>8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4" customFormat="1" x14ac:dyDescent="0.3">
      <c r="A30" s="4" t="s">
        <v>9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4" customFormat="1" x14ac:dyDescent="0.3">
      <c r="A31" s="4" t="s">
        <v>44</v>
      </c>
      <c r="B31">
        <v>67.92</v>
      </c>
      <c r="I31">
        <v>766.02</v>
      </c>
      <c r="J31">
        <v>2301</v>
      </c>
      <c r="K31">
        <v>2208</v>
      </c>
    </row>
    <row r="32" spans="1:11" s="4" customFormat="1" x14ac:dyDescent="0.3"/>
    <row r="33" spans="1:11" x14ac:dyDescent="0.3">
      <c r="A33" s="4"/>
    </row>
    <row r="34" spans="1:11" x14ac:dyDescent="0.3">
      <c r="A34" s="4"/>
    </row>
    <row r="35" spans="1:11" x14ac:dyDescent="0.3">
      <c r="A35" s="4"/>
    </row>
    <row r="36" spans="1:11" x14ac:dyDescent="0.3">
      <c r="A36" s="4"/>
    </row>
    <row r="37" spans="1:11" x14ac:dyDescent="0.3">
      <c r="A37" s="4"/>
    </row>
    <row r="38" spans="1:11" x14ac:dyDescent="0.3">
      <c r="A38" s="4"/>
    </row>
    <row r="39" spans="1:11" x14ac:dyDescent="0.3">
      <c r="A39" s="4"/>
    </row>
    <row r="40" spans="1:11" x14ac:dyDescent="0.3">
      <c r="A40" s="1" t="s">
        <v>25</v>
      </c>
    </row>
    <row r="41" spans="1:11" s="7" customFormat="1" x14ac:dyDescent="0.3">
      <c r="A41" s="6" t="s">
        <v>24</v>
      </c>
      <c r="B41" s="5">
        <v>45016</v>
      </c>
      <c r="C41" s="5">
        <v>45107</v>
      </c>
      <c r="D41" s="5">
        <v>45199</v>
      </c>
      <c r="E41" s="5">
        <v>45291</v>
      </c>
      <c r="F41" s="5">
        <v>45382</v>
      </c>
      <c r="G41" s="5">
        <v>45473</v>
      </c>
      <c r="H41" s="5">
        <v>45565</v>
      </c>
      <c r="I41" s="5">
        <v>45657</v>
      </c>
      <c r="J41" s="5">
        <v>45747</v>
      </c>
      <c r="K41" s="5">
        <v>45838</v>
      </c>
    </row>
    <row r="42" spans="1:11" s="4" customFormat="1" x14ac:dyDescent="0.3">
      <c r="A42" s="4" t="s">
        <v>1</v>
      </c>
      <c r="B42">
        <v>105932.35</v>
      </c>
      <c r="C42">
        <v>102236</v>
      </c>
      <c r="D42">
        <v>105129</v>
      </c>
      <c r="E42">
        <v>110577</v>
      </c>
      <c r="F42">
        <v>119033</v>
      </c>
      <c r="G42">
        <v>107102</v>
      </c>
      <c r="H42">
        <v>101450</v>
      </c>
      <c r="I42">
        <v>112608</v>
      </c>
      <c r="J42">
        <v>119503</v>
      </c>
      <c r="K42">
        <v>104407</v>
      </c>
    </row>
    <row r="43" spans="1:11" s="4" customFormat="1" x14ac:dyDescent="0.3">
      <c r="A43" s="4" t="s">
        <v>2</v>
      </c>
      <c r="B43">
        <v>92817.95</v>
      </c>
      <c r="C43">
        <v>89019</v>
      </c>
      <c r="D43">
        <v>91362</v>
      </c>
      <c r="E43">
        <v>95159</v>
      </c>
      <c r="F43">
        <v>102348</v>
      </c>
      <c r="G43">
        <v>91854</v>
      </c>
      <c r="H43">
        <v>89291</v>
      </c>
      <c r="I43">
        <v>100185</v>
      </c>
      <c r="J43">
        <v>102685</v>
      </c>
      <c r="K43">
        <v>94183</v>
      </c>
    </row>
    <row r="44" spans="1:11" s="4" customFormat="1" x14ac:dyDescent="0.3">
      <c r="A44" s="4" t="s">
        <v>4</v>
      </c>
      <c r="B44">
        <v>1452.86</v>
      </c>
      <c r="C44">
        <v>895</v>
      </c>
      <c r="D44">
        <v>1557</v>
      </c>
      <c r="E44">
        <v>1604</v>
      </c>
      <c r="F44">
        <v>1412</v>
      </c>
      <c r="G44">
        <v>6553</v>
      </c>
      <c r="H44">
        <v>1647</v>
      </c>
      <c r="I44">
        <v>1700</v>
      </c>
      <c r="J44">
        <v>1057</v>
      </c>
      <c r="K44">
        <v>1595</v>
      </c>
    </row>
    <row r="45" spans="1:11" s="4" customFormat="1" x14ac:dyDescent="0.3">
      <c r="A45" s="4" t="s">
        <v>5</v>
      </c>
      <c r="B45">
        <v>7050.2</v>
      </c>
      <c r="C45">
        <v>6633</v>
      </c>
      <c r="D45">
        <v>6637</v>
      </c>
      <c r="E45">
        <v>6850</v>
      </c>
      <c r="F45">
        <v>7143</v>
      </c>
      <c r="G45">
        <v>6565</v>
      </c>
      <c r="H45">
        <v>6005</v>
      </c>
      <c r="I45">
        <v>5399</v>
      </c>
      <c r="J45">
        <v>5295</v>
      </c>
      <c r="K45">
        <v>5320</v>
      </c>
    </row>
    <row r="46" spans="1:11" s="4" customFormat="1" x14ac:dyDescent="0.3">
      <c r="A46" s="4" t="s">
        <v>6</v>
      </c>
      <c r="B46">
        <v>2641.67</v>
      </c>
      <c r="C46">
        <v>2615</v>
      </c>
      <c r="D46">
        <v>2652</v>
      </c>
      <c r="E46">
        <v>2485</v>
      </c>
      <c r="F46">
        <v>1645</v>
      </c>
      <c r="G46">
        <v>1471</v>
      </c>
      <c r="H46">
        <v>2034</v>
      </c>
      <c r="I46">
        <v>1119</v>
      </c>
      <c r="J46">
        <v>1076</v>
      </c>
      <c r="K46">
        <v>938</v>
      </c>
    </row>
    <row r="47" spans="1:11" s="4" customFormat="1" x14ac:dyDescent="0.3">
      <c r="A47" s="4" t="s">
        <v>7</v>
      </c>
      <c r="B47">
        <v>4875.3900000000003</v>
      </c>
      <c r="C47">
        <v>4864</v>
      </c>
      <c r="D47">
        <v>6035</v>
      </c>
      <c r="E47">
        <v>7687</v>
      </c>
      <c r="F47">
        <v>9309</v>
      </c>
      <c r="G47">
        <v>13765</v>
      </c>
      <c r="H47">
        <v>5767</v>
      </c>
      <c r="I47">
        <v>7605</v>
      </c>
      <c r="J47">
        <v>11504</v>
      </c>
      <c r="K47">
        <v>5561</v>
      </c>
    </row>
    <row r="48" spans="1:11" s="4" customFormat="1" x14ac:dyDescent="0.3">
      <c r="A48" s="4" t="s">
        <v>8</v>
      </c>
      <c r="B48">
        <v>-620.65</v>
      </c>
      <c r="C48">
        <v>1563</v>
      </c>
      <c r="D48">
        <v>2203</v>
      </c>
      <c r="E48">
        <v>542</v>
      </c>
      <c r="F48">
        <v>-8219</v>
      </c>
      <c r="G48">
        <v>3178</v>
      </c>
      <c r="H48">
        <v>2317</v>
      </c>
      <c r="I48">
        <v>2120</v>
      </c>
      <c r="J48">
        <v>2948</v>
      </c>
      <c r="K48">
        <v>1558</v>
      </c>
    </row>
    <row r="49" spans="1:11" s="4" customFormat="1" x14ac:dyDescent="0.3">
      <c r="A49" s="4" t="s">
        <v>9</v>
      </c>
      <c r="B49">
        <v>5407.79</v>
      </c>
      <c r="C49">
        <v>3203</v>
      </c>
      <c r="D49">
        <v>3764</v>
      </c>
      <c r="E49">
        <v>7025</v>
      </c>
      <c r="F49">
        <v>17407</v>
      </c>
      <c r="G49">
        <v>10514</v>
      </c>
      <c r="H49">
        <v>3343</v>
      </c>
      <c r="I49">
        <v>5406</v>
      </c>
      <c r="J49">
        <v>8470</v>
      </c>
      <c r="K49">
        <v>3924</v>
      </c>
    </row>
    <row r="50" spans="1:11" x14ac:dyDescent="0.3">
      <c r="A50" s="4" t="s">
        <v>3</v>
      </c>
      <c r="B50">
        <v>13114.4</v>
      </c>
      <c r="C50">
        <v>13217</v>
      </c>
      <c r="D50">
        <v>13767</v>
      </c>
      <c r="E50">
        <v>15418</v>
      </c>
      <c r="F50">
        <v>16685</v>
      </c>
      <c r="G50">
        <v>15248</v>
      </c>
      <c r="H50">
        <v>12159</v>
      </c>
      <c r="I50">
        <v>12423</v>
      </c>
      <c r="J50">
        <v>16818</v>
      </c>
      <c r="K50">
        <v>10224</v>
      </c>
    </row>
    <row r="51" spans="1:11" x14ac:dyDescent="0.3">
      <c r="A51" s="4"/>
    </row>
    <row r="52" spans="1:11" x14ac:dyDescent="0.3">
      <c r="A52" s="4"/>
    </row>
    <row r="53" spans="1:11" x14ac:dyDescent="0.3">
      <c r="A53" s="4"/>
    </row>
    <row r="54" spans="1:11" x14ac:dyDescent="0.3">
      <c r="A54" s="4"/>
    </row>
    <row r="55" spans="1:11" x14ac:dyDescent="0.3">
      <c r="A55" s="1" t="s">
        <v>26</v>
      </c>
    </row>
    <row r="56" spans="1:11" s="7" customFormat="1" x14ac:dyDescent="0.3">
      <c r="A56" s="6" t="s">
        <v>24</v>
      </c>
      <c r="B56" s="5">
        <v>42460</v>
      </c>
      <c r="C56" s="5">
        <v>42825</v>
      </c>
      <c r="D56" s="5">
        <v>43190</v>
      </c>
      <c r="E56" s="5">
        <v>43555</v>
      </c>
      <c r="F56" s="5">
        <v>43921</v>
      </c>
      <c r="G56" s="5">
        <v>44286</v>
      </c>
      <c r="H56" s="5">
        <v>44651</v>
      </c>
      <c r="I56" s="5">
        <v>45016</v>
      </c>
      <c r="J56" s="5">
        <v>45382</v>
      </c>
      <c r="K56" s="5">
        <v>45747</v>
      </c>
    </row>
    <row r="57" spans="1:11" x14ac:dyDescent="0.3">
      <c r="A57" s="4" t="s">
        <v>11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">
      <c r="A58" s="4" t="s">
        <v>12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">
      <c r="A59" s="4" t="s">
        <v>45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">
      <c r="A60" s="4" t="s">
        <v>46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">
      <c r="A61" s="1" t="s">
        <v>13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">
      <c r="A62" s="4" t="s">
        <v>14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">
      <c r="A63" s="4" t="s">
        <v>15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">
      <c r="A64" s="4" t="s">
        <v>16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">
      <c r="A65" s="4" t="s">
        <v>47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">
      <c r="A66" s="1" t="s">
        <v>13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4" customFormat="1" x14ac:dyDescent="0.3">
      <c r="A67" s="4" t="s">
        <v>52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">
      <c r="A68" s="4" t="s">
        <v>30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">
      <c r="A69" s="3" t="s">
        <v>61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">
      <c r="A70" s="3" t="s">
        <v>48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">
      <c r="A71" s="3" t="s">
        <v>49</v>
      </c>
    </row>
    <row r="72" spans="1:11" x14ac:dyDescent="0.3">
      <c r="A72" s="3" t="s">
        <v>62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4"/>
    </row>
    <row r="75" spans="1:11" x14ac:dyDescent="0.3">
      <c r="A75" s="4"/>
    </row>
    <row r="76" spans="1:11" x14ac:dyDescent="0.3">
      <c r="A76" s="4"/>
    </row>
    <row r="77" spans="1:11" x14ac:dyDescent="0.3">
      <c r="A77" s="4"/>
    </row>
    <row r="78" spans="1:11" x14ac:dyDescent="0.3">
      <c r="A78" s="4"/>
    </row>
    <row r="79" spans="1:11" x14ac:dyDescent="0.3">
      <c r="A79" s="4"/>
    </row>
    <row r="80" spans="1:11" x14ac:dyDescent="0.3">
      <c r="A80" s="1" t="s">
        <v>27</v>
      </c>
    </row>
    <row r="81" spans="1:11" s="7" customFormat="1" x14ac:dyDescent="0.3">
      <c r="A81" s="6" t="s">
        <v>24</v>
      </c>
      <c r="B81" s="5">
        <v>42460</v>
      </c>
      <c r="C81" s="5">
        <v>42825</v>
      </c>
      <c r="D81" s="5">
        <v>43190</v>
      </c>
      <c r="E81" s="5">
        <v>43555</v>
      </c>
      <c r="F81" s="5">
        <v>43921</v>
      </c>
      <c r="G81" s="5">
        <v>44286</v>
      </c>
      <c r="H81" s="5">
        <v>44651</v>
      </c>
      <c r="I81" s="5">
        <v>45016</v>
      </c>
      <c r="J81" s="5">
        <v>45382</v>
      </c>
      <c r="K81" s="5">
        <v>45747</v>
      </c>
    </row>
    <row r="82" spans="1:11" s="1" customFormat="1" x14ac:dyDescent="0.3">
      <c r="A82" s="4" t="s">
        <v>18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4" customFormat="1" x14ac:dyDescent="0.3">
      <c r="A83" s="4" t="s">
        <v>19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4" customFormat="1" x14ac:dyDescent="0.3">
      <c r="A84" s="4" t="s">
        <v>20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">
      <c r="A85" s="4" t="s">
        <v>21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">
      <c r="A86" s="4"/>
    </row>
    <row r="87" spans="1:11" x14ac:dyDescent="0.3">
      <c r="A87" s="4"/>
    </row>
    <row r="88" spans="1:11" x14ac:dyDescent="0.3">
      <c r="A88" s="4"/>
    </row>
    <row r="89" spans="1:11" x14ac:dyDescent="0.3">
      <c r="A89" s="4"/>
    </row>
    <row r="90" spans="1:11" s="1" customFormat="1" x14ac:dyDescent="0.3">
      <c r="A90" s="1" t="s">
        <v>51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">
      <c r="A92" s="1" t="s">
        <v>50</v>
      </c>
    </row>
    <row r="93" spans="1:11" x14ac:dyDescent="0.3">
      <c r="A93" s="3" t="s">
        <v>63</v>
      </c>
      <c r="B93" s="12">
        <v>288.72000000000003</v>
      </c>
      <c r="C93" s="12">
        <v>288.73</v>
      </c>
      <c r="D93" s="12">
        <v>288.73</v>
      </c>
      <c r="E93" s="12">
        <v>288.73</v>
      </c>
      <c r="F93" s="12">
        <v>308.89999999999998</v>
      </c>
      <c r="G93" s="12">
        <v>332.03</v>
      </c>
      <c r="H93" s="12">
        <v>332.07</v>
      </c>
      <c r="I93" s="12">
        <v>332.13</v>
      </c>
      <c r="J93" s="12">
        <v>332.37</v>
      </c>
      <c r="K93" s="12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E6D2-A507-4605-961E-311AE236A528}">
  <sheetPr>
    <tabColor rgb="FF0070C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110A-CAA6-418A-B7DE-48BC056B76F6}">
  <dimension ref="A2:O106"/>
  <sheetViews>
    <sheetView showGridLines="0" zoomScale="80" zoomScaleNormal="80" workbookViewId="0">
      <pane ySplit="3" topLeftCell="A4" activePane="bottomLeft" state="frozen"/>
      <selection pane="bottomLeft"/>
    </sheetView>
  </sheetViews>
  <sheetFormatPr defaultRowHeight="14.4" x14ac:dyDescent="0.3"/>
  <cols>
    <col min="1" max="1" width="1.88671875" customWidth="1"/>
    <col min="2" max="2" width="34.88671875" bestFit="1" customWidth="1"/>
    <col min="3" max="3" width="13.44140625" bestFit="1" customWidth="1"/>
    <col min="4" max="13" width="12.33203125" bestFit="1" customWidth="1"/>
  </cols>
  <sheetData>
    <row r="2" spans="1:13" x14ac:dyDescent="0.3">
      <c r="B2" s="47" t="str">
        <f>"Historical Statement -"&amp;'Screener - Data Sheet'!B1</f>
        <v>Historical Statement -TATA MOTORS LTD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3">
      <c r="B3" s="13" t="s">
        <v>67</v>
      </c>
      <c r="C3" s="14">
        <f>'Screener - Data Sheet'!B16</f>
        <v>42460</v>
      </c>
      <c r="D3" s="14">
        <f>'Screener - Data Sheet'!C16</f>
        <v>42825</v>
      </c>
      <c r="E3" s="14">
        <f>'Screener - Data Sheet'!D16</f>
        <v>43190</v>
      </c>
      <c r="F3" s="14">
        <f>'Screener - Data Sheet'!E16</f>
        <v>43555</v>
      </c>
      <c r="G3" s="14">
        <f>'Screener - Data Sheet'!F16</f>
        <v>43921</v>
      </c>
      <c r="H3" s="14">
        <f>'Screener - Data Sheet'!G16</f>
        <v>44286</v>
      </c>
      <c r="I3" s="14">
        <f>'Screener - Data Sheet'!H16</f>
        <v>44651</v>
      </c>
      <c r="J3" s="14">
        <f>'Screener - Data Sheet'!I16</f>
        <v>45016</v>
      </c>
      <c r="K3" s="14">
        <f>'Screener - Data Sheet'!J16</f>
        <v>45382</v>
      </c>
      <c r="L3" s="14">
        <f>'Screener - Data Sheet'!K16</f>
        <v>45747</v>
      </c>
      <c r="M3" s="15" t="s">
        <v>68</v>
      </c>
    </row>
    <row r="4" spans="1:13" x14ac:dyDescent="0.3">
      <c r="B4" s="25" t="s">
        <v>75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x14ac:dyDescent="0.3">
      <c r="A5" t="s">
        <v>69</v>
      </c>
      <c r="B5" s="26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3">
      <c r="B6" t="s">
        <v>1</v>
      </c>
      <c r="C6" s="16">
        <f>IFERROR('Screener - Data Sheet'!B17,0)</f>
        <v>273045.59999999998</v>
      </c>
      <c r="D6" s="16">
        <f>IFERROR('Screener - Data Sheet'!C17,0)</f>
        <v>269692.51</v>
      </c>
      <c r="E6" s="16">
        <f>IFERROR('Screener - Data Sheet'!D17,0)</f>
        <v>291550.48</v>
      </c>
      <c r="F6" s="16">
        <f>IFERROR('Screener - Data Sheet'!E17,0)</f>
        <v>301938.40000000002</v>
      </c>
      <c r="G6" s="16">
        <f>IFERROR('Screener - Data Sheet'!F17,0)</f>
        <v>261067.97</v>
      </c>
      <c r="H6" s="16">
        <f>IFERROR('Screener - Data Sheet'!G17,0)</f>
        <v>249794.75</v>
      </c>
      <c r="I6" s="16">
        <f>IFERROR('Screener - Data Sheet'!H17,0)</f>
        <v>278453.62</v>
      </c>
      <c r="J6" s="16">
        <f>IFERROR('Screener - Data Sheet'!I17,0)</f>
        <v>345966.97</v>
      </c>
      <c r="K6" s="16">
        <f>IFERROR('Screener - Data Sheet'!J17,0)</f>
        <v>434016</v>
      </c>
      <c r="L6" s="16">
        <f>IFERROR('Screener - Data Sheet'!K17,0)</f>
        <v>439695</v>
      </c>
      <c r="M6" s="16">
        <f>IFERROR(SUM('Screener - Data Sheet'!H42:K42),0)</f>
        <v>437968</v>
      </c>
    </row>
    <row r="7" spans="1:13" x14ac:dyDescent="0.3">
      <c r="B7" s="19" t="s">
        <v>10</v>
      </c>
      <c r="C7" s="20" t="s">
        <v>71</v>
      </c>
      <c r="D7" s="21">
        <f>D6/C6 - 1</f>
        <v>-1.2280329732469508E-2</v>
      </c>
      <c r="E7" s="21">
        <f t="shared" ref="E7:M7" si="0">E6/D6 - 1</f>
        <v>8.104774581985974E-2</v>
      </c>
      <c r="F7" s="21">
        <f t="shared" si="0"/>
        <v>3.5629919045237157E-2</v>
      </c>
      <c r="G7" s="21">
        <f t="shared" si="0"/>
        <v>-0.135360159555724</v>
      </c>
      <c r="H7" s="21">
        <f t="shared" si="0"/>
        <v>-4.3181168490336042E-2</v>
      </c>
      <c r="I7" s="21">
        <f t="shared" si="0"/>
        <v>0.11472967306158344</v>
      </c>
      <c r="J7" s="21">
        <f t="shared" si="0"/>
        <v>0.24245815155859707</v>
      </c>
      <c r="K7" s="21">
        <f t="shared" si="0"/>
        <v>0.25450126062612277</v>
      </c>
      <c r="L7" s="21">
        <f t="shared" si="0"/>
        <v>1.3084771068347711E-2</v>
      </c>
      <c r="M7" s="21">
        <f t="shared" si="0"/>
        <v>-3.9277226259111231E-3</v>
      </c>
    </row>
    <row r="9" spans="1:13" x14ac:dyDescent="0.3">
      <c r="B9" t="s">
        <v>72</v>
      </c>
      <c r="C9" s="16">
        <f>IFERROR(SUM('Screener - Data Sheet'!B18,'Screener - Data Sheet'!B20:B22)*1-'Screener - Data Sheet'!B29,0)</f>
        <v>205235.01</v>
      </c>
      <c r="D9" s="16">
        <f>IFERROR(SUM('Screener - Data Sheet'!C18,'Screener - Data Sheet'!C20:C22)*1-'Screener - Data Sheet'!C29,0)</f>
        <v>209602.92999999996</v>
      </c>
      <c r="E9" s="16">
        <f>IFERROR(SUM('Screener - Data Sheet'!D18,'Screener - Data Sheet'!D20:D22)*1-'Screener - Data Sheet'!D29,0)</f>
        <v>226134.47999999998</v>
      </c>
      <c r="F9" s="16">
        <f>IFERROR(SUM('Screener - Data Sheet'!E18,'Screener - Data Sheet'!E20:E22)*1-'Screener - Data Sheet'!E29,0)</f>
        <v>243229.7</v>
      </c>
      <c r="G9" s="16">
        <f>IFERROR(SUM('Screener - Data Sheet'!F18,'Screener - Data Sheet'!F20:F22)*1-'Screener - Data Sheet'!F29,0)</f>
        <v>207749.63000000003</v>
      </c>
      <c r="H9" s="16">
        <f>IFERROR(SUM('Screener - Data Sheet'!G18,'Screener - Data Sheet'!G20:G22)*1-'Screener - Data Sheet'!G29,0)</f>
        <v>188100.02000000002</v>
      </c>
      <c r="I9" s="16">
        <f>IFERROR(SUM('Screener - Data Sheet'!H18,'Screener - Data Sheet'!H20:H22)*1-'Screener - Data Sheet'!H29,0)</f>
        <v>217478.22999999998</v>
      </c>
      <c r="J9" s="16">
        <f>IFERROR(SUM('Screener - Data Sheet'!I18,'Screener - Data Sheet'!I20:I22)*1-'Screener - Data Sheet'!I29,0)</f>
        <v>278481.2</v>
      </c>
      <c r="K9" s="16">
        <f>IFERROR(SUM('Screener - Data Sheet'!J18,'Screener - Data Sheet'!J20:J22)*1-'Screener - Data Sheet'!J29,0)</f>
        <v>339970</v>
      </c>
      <c r="L9" s="16">
        <f>IFERROR(SUM('Screener - Data Sheet'!K18,'Screener - Data Sheet'!K20:K22)*1-'Screener - Data Sheet'!K29,0)</f>
        <v>327471</v>
      </c>
      <c r="M9" s="16">
        <f>IFERROR(SUM('Screener - Data Sheet'!H43:K43),0)</f>
        <v>386344</v>
      </c>
    </row>
    <row r="10" spans="1:13" x14ac:dyDescent="0.3">
      <c r="B10" s="19" t="s">
        <v>73</v>
      </c>
      <c r="C10" s="22">
        <f>C9/C6</f>
        <v>0.751651042902724</v>
      </c>
      <c r="D10" s="22">
        <f t="shared" ref="D10:M10" si="1">D9/D6</f>
        <v>0.77719225498698485</v>
      </c>
      <c r="E10" s="22">
        <f t="shared" si="1"/>
        <v>0.77562719155873106</v>
      </c>
      <c r="F10" s="22">
        <f t="shared" si="1"/>
        <v>0.8055606706533518</v>
      </c>
      <c r="G10" s="22">
        <f t="shared" si="1"/>
        <v>0.79576835871516538</v>
      </c>
      <c r="H10" s="22">
        <f t="shared" si="1"/>
        <v>0.75301830803089342</v>
      </c>
      <c r="I10" s="22">
        <f t="shared" si="1"/>
        <v>0.78102137799465488</v>
      </c>
      <c r="J10" s="22">
        <f t="shared" si="1"/>
        <v>0.80493580066328307</v>
      </c>
      <c r="K10" s="22">
        <f t="shared" si="1"/>
        <v>0.78331213595812132</v>
      </c>
      <c r="L10" s="22">
        <f t="shared" si="1"/>
        <v>0.7447685327329171</v>
      </c>
      <c r="M10" s="22">
        <f t="shared" si="1"/>
        <v>0.88212837467577543</v>
      </c>
    </row>
    <row r="12" spans="1:13" x14ac:dyDescent="0.3">
      <c r="B12" t="s">
        <v>74</v>
      </c>
      <c r="C12" s="16">
        <f>C6-C9</f>
        <v>67810.589999999967</v>
      </c>
      <c r="D12" s="16">
        <f t="shared" ref="D12:M12" si="2">D6-D9</f>
        <v>60089.580000000045</v>
      </c>
      <c r="E12" s="16">
        <f t="shared" si="2"/>
        <v>65416</v>
      </c>
      <c r="F12" s="16">
        <f t="shared" si="2"/>
        <v>58708.700000000012</v>
      </c>
      <c r="G12" s="16">
        <f t="shared" si="2"/>
        <v>53318.339999999967</v>
      </c>
      <c r="H12" s="16">
        <f t="shared" si="2"/>
        <v>61694.729999999981</v>
      </c>
      <c r="I12" s="16">
        <f t="shared" si="2"/>
        <v>60975.390000000014</v>
      </c>
      <c r="J12" s="16">
        <f t="shared" si="2"/>
        <v>67485.76999999996</v>
      </c>
      <c r="K12" s="16">
        <f t="shared" si="2"/>
        <v>94046</v>
      </c>
      <c r="L12" s="16">
        <f t="shared" si="2"/>
        <v>112224</v>
      </c>
      <c r="M12" s="16">
        <f t="shared" si="2"/>
        <v>51624</v>
      </c>
    </row>
    <row r="13" spans="1:13" x14ac:dyDescent="0.3">
      <c r="B13" s="19" t="s">
        <v>82</v>
      </c>
      <c r="C13" s="22">
        <f>C12/C6</f>
        <v>0.24834895709727597</v>
      </c>
      <c r="D13" s="22">
        <f t="shared" ref="D13:M13" si="3">D12/D6</f>
        <v>0.22280774501301517</v>
      </c>
      <c r="E13" s="22">
        <f t="shared" si="3"/>
        <v>0.22437280844126892</v>
      </c>
      <c r="F13" s="22">
        <f t="shared" si="3"/>
        <v>0.1944393293466482</v>
      </c>
      <c r="G13" s="22">
        <f t="shared" si="3"/>
        <v>0.20423164128483462</v>
      </c>
      <c r="H13" s="22">
        <f t="shared" si="3"/>
        <v>0.24698169196910655</v>
      </c>
      <c r="I13" s="22">
        <f t="shared" si="3"/>
        <v>0.21897862200534515</v>
      </c>
      <c r="J13" s="22">
        <f t="shared" si="3"/>
        <v>0.19506419933671693</v>
      </c>
      <c r="K13" s="22">
        <f t="shared" si="3"/>
        <v>0.21668786404187865</v>
      </c>
      <c r="L13" s="22">
        <f t="shared" si="3"/>
        <v>0.25523146726708285</v>
      </c>
      <c r="M13" s="22">
        <f t="shared" si="3"/>
        <v>0.1178716253242246</v>
      </c>
    </row>
    <row r="15" spans="1:13" x14ac:dyDescent="0.3">
      <c r="B15" t="s">
        <v>76</v>
      </c>
      <c r="C15" s="16">
        <f>IFERROR(SUM('Screener - Data Sheet'!B23:B24),0)</f>
        <v>29141.280000000002</v>
      </c>
      <c r="D15" s="16">
        <f>IFERROR(SUM('Screener - Data Sheet'!C23:C24),0)</f>
        <v>34649.58</v>
      </c>
      <c r="E15" s="16">
        <f>IFERROR(SUM('Screener - Data Sheet'!D23:D24),0)</f>
        <v>31662.97</v>
      </c>
      <c r="F15" s="16">
        <f>IFERROR(SUM('Screener - Data Sheet'!E23:E24),0)</f>
        <v>34428.54</v>
      </c>
      <c r="G15" s="16">
        <f>IFERROR(SUM('Screener - Data Sheet'!F23:F24),0)</f>
        <v>32704.83</v>
      </c>
      <c r="H15" s="16">
        <f>IFERROR(SUM('Screener - Data Sheet'!G23:G24),0)</f>
        <v>22181.280000000002</v>
      </c>
      <c r="I15" s="16">
        <f>IFERROR(SUM('Screener - Data Sheet'!H23:H24),0)</f>
        <v>30433.52</v>
      </c>
      <c r="J15" s="16">
        <f>IFERROR(SUM('Screener - Data Sheet'!I23:I24),0)</f>
        <v>39747.53</v>
      </c>
      <c r="K15" s="16">
        <f>IFERROR(SUM('Screener - Data Sheet'!J23:J24),0)</f>
        <v>41812</v>
      </c>
      <c r="L15" s="16">
        <f>IFERROR(SUM('Screener - Data Sheet'!K23:K24),0)</f>
        <v>43670</v>
      </c>
      <c r="M15" s="16"/>
    </row>
    <row r="16" spans="1:13" x14ac:dyDescent="0.3">
      <c r="B16" s="19" t="s">
        <v>78</v>
      </c>
      <c r="C16" s="22">
        <f>C15/C6</f>
        <v>0.10672678849247161</v>
      </c>
      <c r="D16" s="22">
        <f t="shared" ref="D16:M16" si="4">D15/D6</f>
        <v>0.12847809529452636</v>
      </c>
      <c r="E16" s="22">
        <f t="shared" si="4"/>
        <v>0.10860201636437025</v>
      </c>
      <c r="F16" s="22">
        <f t="shared" si="4"/>
        <v>0.11402504616835751</v>
      </c>
      <c r="G16" s="22">
        <f t="shared" si="4"/>
        <v>0.12527323822987554</v>
      </c>
      <c r="H16" s="22">
        <f t="shared" si="4"/>
        <v>8.8798023177028354E-2</v>
      </c>
      <c r="I16" s="22">
        <f t="shared" si="4"/>
        <v>0.10929475436519734</v>
      </c>
      <c r="J16" s="22">
        <f t="shared" si="4"/>
        <v>0.11488822184383672</v>
      </c>
      <c r="K16" s="22">
        <f t="shared" si="4"/>
        <v>9.6337462213374622E-2</v>
      </c>
      <c r="L16" s="22">
        <f t="shared" si="4"/>
        <v>9.9318846018262658E-2</v>
      </c>
      <c r="M16" s="22">
        <f t="shared" si="4"/>
        <v>0</v>
      </c>
    </row>
    <row r="18" spans="2:13" x14ac:dyDescent="0.3">
      <c r="B18" t="s">
        <v>77</v>
      </c>
      <c r="C18" s="16">
        <f t="shared" ref="C18:L18" si="5">C12-C15</f>
        <v>38669.309999999969</v>
      </c>
      <c r="D18" s="16">
        <f t="shared" si="5"/>
        <v>25440.000000000044</v>
      </c>
      <c r="E18" s="16">
        <f t="shared" si="5"/>
        <v>33753.03</v>
      </c>
      <c r="F18" s="16">
        <f t="shared" si="5"/>
        <v>24280.160000000011</v>
      </c>
      <c r="G18" s="16">
        <f t="shared" si="5"/>
        <v>20613.509999999966</v>
      </c>
      <c r="H18" s="16">
        <f t="shared" si="5"/>
        <v>39513.449999999983</v>
      </c>
      <c r="I18" s="16">
        <f t="shared" si="5"/>
        <v>30541.870000000014</v>
      </c>
      <c r="J18" s="16">
        <f t="shared" si="5"/>
        <v>27738.239999999962</v>
      </c>
      <c r="K18" s="16">
        <f t="shared" si="5"/>
        <v>52234</v>
      </c>
      <c r="L18" s="16">
        <f t="shared" si="5"/>
        <v>68554</v>
      </c>
      <c r="M18" s="16"/>
    </row>
    <row r="19" spans="2:13" x14ac:dyDescent="0.3">
      <c r="B19" s="19" t="s">
        <v>79</v>
      </c>
      <c r="C19" s="22">
        <f>C18/C6</f>
        <v>0.14162216860480437</v>
      </c>
      <c r="D19" s="22">
        <f t="shared" ref="D19:L19" si="6">D18/D6</f>
        <v>9.4329649718488812E-2</v>
      </c>
      <c r="E19" s="22">
        <f t="shared" si="6"/>
        <v>0.11577079207689867</v>
      </c>
      <c r="F19" s="22">
        <f t="shared" si="6"/>
        <v>8.0414283178290705E-2</v>
      </c>
      <c r="G19" s="22">
        <f t="shared" si="6"/>
        <v>7.8958403054959075E-2</v>
      </c>
      <c r="H19" s="22">
        <f t="shared" si="6"/>
        <v>0.15818366879207824</v>
      </c>
      <c r="I19" s="22">
        <f t="shared" si="6"/>
        <v>0.1096838676401478</v>
      </c>
      <c r="J19" s="22">
        <f t="shared" si="6"/>
        <v>8.0175977492880218E-2</v>
      </c>
      <c r="K19" s="22">
        <f t="shared" si="6"/>
        <v>0.12035040182850403</v>
      </c>
      <c r="L19" s="22">
        <f t="shared" si="6"/>
        <v>0.15591262124882022</v>
      </c>
      <c r="M19" s="22">
        <f>M18/M6</f>
        <v>0</v>
      </c>
    </row>
    <row r="21" spans="2:13" x14ac:dyDescent="0.3">
      <c r="B21" t="s">
        <v>6</v>
      </c>
      <c r="C21" s="16">
        <f>IFERROR('Screener - Data Sheet'!B27,0)</f>
        <v>4889.08</v>
      </c>
      <c r="D21" s="16">
        <f>IFERROR('Screener - Data Sheet'!C27,0)</f>
        <v>4238.01</v>
      </c>
      <c r="E21" s="16">
        <f>IFERROR('Screener - Data Sheet'!D27,0)</f>
        <v>4681.79</v>
      </c>
      <c r="F21" s="16">
        <f>IFERROR('Screener - Data Sheet'!E27,0)</f>
        <v>5758.6</v>
      </c>
      <c r="G21" s="16">
        <f>IFERROR('Screener - Data Sheet'!F27,0)</f>
        <v>7243.33</v>
      </c>
      <c r="H21" s="16">
        <f>IFERROR('Screener - Data Sheet'!G27,0)</f>
        <v>8097.17</v>
      </c>
      <c r="I21" s="16">
        <f>IFERROR('Screener - Data Sheet'!H27,0)</f>
        <v>9311.86</v>
      </c>
      <c r="J21" s="16">
        <f>IFERROR('Screener - Data Sheet'!I27,0)</f>
        <v>10225.48</v>
      </c>
      <c r="K21" s="16">
        <f>IFERROR('Screener - Data Sheet'!J27,0)</f>
        <v>7594</v>
      </c>
      <c r="L21" s="16">
        <f>IFERROR('Screener - Data Sheet'!K27,0)</f>
        <v>5083</v>
      </c>
      <c r="M21" s="16">
        <f>IFERROR(SUM('Screener - Data Sheet'!H46:K46),0)</f>
        <v>5167</v>
      </c>
    </row>
    <row r="22" spans="2:13" x14ac:dyDescent="0.3">
      <c r="B22" s="19" t="s">
        <v>80</v>
      </c>
      <c r="C22" s="22">
        <f>C21/C6</f>
        <v>1.7905727101993223E-2</v>
      </c>
      <c r="D22" s="22">
        <f t="shared" ref="D22:M22" si="7">D21/D6</f>
        <v>1.5714229512714312E-2</v>
      </c>
      <c r="E22" s="22">
        <f t="shared" si="7"/>
        <v>1.605824830060304E-2</v>
      </c>
      <c r="F22" s="22">
        <f t="shared" si="7"/>
        <v>1.9072102124141878E-2</v>
      </c>
      <c r="G22" s="22">
        <f t="shared" si="7"/>
        <v>2.7744996829752802E-2</v>
      </c>
      <c r="H22" s="22">
        <f t="shared" si="7"/>
        <v>3.2415292955516477E-2</v>
      </c>
      <c r="I22" s="22">
        <f t="shared" si="7"/>
        <v>3.3441332168710897E-2</v>
      </c>
      <c r="J22" s="22">
        <f t="shared" si="7"/>
        <v>2.9556231914277829E-2</v>
      </c>
      <c r="K22" s="22">
        <f t="shared" si="7"/>
        <v>1.7497050799970507E-2</v>
      </c>
      <c r="L22" s="22">
        <f t="shared" si="7"/>
        <v>1.1560286107415368E-2</v>
      </c>
      <c r="M22" s="22">
        <f t="shared" si="7"/>
        <v>1.1797665582873635E-2</v>
      </c>
    </row>
    <row r="24" spans="2:13" x14ac:dyDescent="0.3">
      <c r="B24" t="s">
        <v>5</v>
      </c>
      <c r="C24" s="16">
        <f>IFERROR('Screener - Data Sheet'!B26,0)</f>
        <v>16710.78</v>
      </c>
      <c r="D24" s="16">
        <f>IFERROR('Screener - Data Sheet'!C26,0)</f>
        <v>17904.990000000002</v>
      </c>
      <c r="E24" s="16">
        <f>IFERROR('Screener - Data Sheet'!D26,0)</f>
        <v>21553.59</v>
      </c>
      <c r="F24" s="16">
        <f>IFERROR('Screener - Data Sheet'!E26,0)</f>
        <v>23590.63</v>
      </c>
      <c r="G24" s="16">
        <f>IFERROR('Screener - Data Sheet'!F26,0)</f>
        <v>21425.43</v>
      </c>
      <c r="H24" s="16">
        <f>IFERROR('Screener - Data Sheet'!G26,0)</f>
        <v>23546.71</v>
      </c>
      <c r="I24" s="16">
        <f>IFERROR('Screener - Data Sheet'!H26,0)</f>
        <v>24835.69</v>
      </c>
      <c r="J24" s="16">
        <f>IFERROR('Screener - Data Sheet'!I26,0)</f>
        <v>24860.36</v>
      </c>
      <c r="K24" s="16">
        <f>IFERROR('Screener - Data Sheet'!J26,0)</f>
        <v>27239</v>
      </c>
      <c r="L24" s="16">
        <f>IFERROR('Screener - Data Sheet'!K26,0)</f>
        <v>23256</v>
      </c>
      <c r="M24" s="16">
        <f>IFERROR(SUM('Screener - Data Sheet'!H45:K45),0)</f>
        <v>22019</v>
      </c>
    </row>
    <row r="25" spans="2:13" x14ac:dyDescent="0.3">
      <c r="B25" s="19" t="s">
        <v>81</v>
      </c>
      <c r="C25" s="22">
        <f>C24/C6</f>
        <v>6.1201425695927715E-2</v>
      </c>
      <c r="D25" s="22">
        <f t="shared" ref="D25:M25" si="8">D24/D6</f>
        <v>6.63903865924938E-2</v>
      </c>
      <c r="E25" s="22">
        <f t="shared" si="8"/>
        <v>7.3927472182518786E-2</v>
      </c>
      <c r="F25" s="22">
        <f t="shared" si="8"/>
        <v>7.8130605447998658E-2</v>
      </c>
      <c r="G25" s="22">
        <f t="shared" si="8"/>
        <v>8.206839774331566E-2</v>
      </c>
      <c r="H25" s="22">
        <f t="shared" si="8"/>
        <v>9.4264230933596482E-2</v>
      </c>
      <c r="I25" s="22">
        <f t="shared" si="8"/>
        <v>8.9191478279219347E-2</v>
      </c>
      <c r="J25" s="22">
        <f t="shared" si="8"/>
        <v>7.1857611147098821E-2</v>
      </c>
      <c r="K25" s="22">
        <f t="shared" si="8"/>
        <v>6.2760359065103591E-2</v>
      </c>
      <c r="L25" s="22">
        <f t="shared" si="8"/>
        <v>5.2891208678743216E-2</v>
      </c>
      <c r="M25" s="22">
        <f t="shared" si="8"/>
        <v>5.0275362583567747E-2</v>
      </c>
    </row>
    <row r="27" spans="2:13" x14ac:dyDescent="0.3">
      <c r="B27" t="s">
        <v>83</v>
      </c>
      <c r="C27" s="16">
        <f>IFERROR(C18-SUM(C21,C24),0)</f>
        <v>17069.449999999968</v>
      </c>
      <c r="D27" s="16">
        <f t="shared" ref="D27:M27" si="9">IFERROR(D18-SUM(D21,D24),0)</f>
        <v>3297.0000000000437</v>
      </c>
      <c r="E27" s="16">
        <f t="shared" si="9"/>
        <v>7517.6499999999978</v>
      </c>
      <c r="F27" s="16">
        <f t="shared" si="9"/>
        <v>-5069.0699999999924</v>
      </c>
      <c r="G27" s="16">
        <f t="shared" si="9"/>
        <v>-8055.2500000000364</v>
      </c>
      <c r="H27" s="16">
        <f t="shared" si="9"/>
        <v>7869.5699999999852</v>
      </c>
      <c r="I27" s="16">
        <f t="shared" si="9"/>
        <v>-3605.6799999999894</v>
      </c>
      <c r="J27" s="16">
        <f t="shared" si="9"/>
        <v>-7347.6000000000349</v>
      </c>
      <c r="K27" s="16">
        <f t="shared" si="9"/>
        <v>17401</v>
      </c>
      <c r="L27" s="16">
        <f t="shared" si="9"/>
        <v>40215</v>
      </c>
      <c r="M27" s="16">
        <f t="shared" si="9"/>
        <v>-27186</v>
      </c>
    </row>
    <row r="28" spans="2:13" x14ac:dyDescent="0.3">
      <c r="B28" s="19" t="s">
        <v>84</v>
      </c>
      <c r="C28" s="22">
        <f>C27/C6</f>
        <v>6.2515015806883428E-2</v>
      </c>
      <c r="D28" s="22">
        <f t="shared" ref="D28:M28" si="10">D27/D6</f>
        <v>1.2225033613280709E-2</v>
      </c>
      <c r="E28" s="22">
        <f t="shared" si="10"/>
        <v>2.5785071593776826E-2</v>
      </c>
      <c r="F28" s="22">
        <f t="shared" si="10"/>
        <v>-1.6788424393849845E-2</v>
      </c>
      <c r="G28" s="22">
        <f t="shared" si="10"/>
        <v>-3.0854991518109387E-2</v>
      </c>
      <c r="H28" s="22">
        <f t="shared" si="10"/>
        <v>3.1504144902965277E-2</v>
      </c>
      <c r="I28" s="22">
        <f t="shared" si="10"/>
        <v>-1.2948942807782457E-2</v>
      </c>
      <c r="J28" s="22">
        <f t="shared" si="10"/>
        <v>-2.1237865568496425E-2</v>
      </c>
      <c r="K28" s="22">
        <f t="shared" si="10"/>
        <v>4.0092991963429921E-2</v>
      </c>
      <c r="L28" s="22">
        <f t="shared" si="10"/>
        <v>9.1461126462661621E-2</v>
      </c>
      <c r="M28" s="22">
        <f t="shared" si="10"/>
        <v>-6.2073028166441384E-2</v>
      </c>
    </row>
    <row r="30" spans="2:13" x14ac:dyDescent="0.3">
      <c r="B30" t="s">
        <v>8</v>
      </c>
      <c r="C30" s="16">
        <f>IFERROR('Screener - Data Sheet'!B29,0)</f>
        <v>3025.05</v>
      </c>
      <c r="D30" s="16">
        <f>IFERROR('Screener - Data Sheet'!C29,0)</f>
        <v>3251.23</v>
      </c>
      <c r="E30" s="16">
        <f>IFERROR('Screener - Data Sheet'!D29,0)</f>
        <v>4341.93</v>
      </c>
      <c r="F30" s="16">
        <f>IFERROR('Screener - Data Sheet'!E29,0)</f>
        <v>-2437.4499999999998</v>
      </c>
      <c r="G30" s="16">
        <f>IFERROR('Screener - Data Sheet'!F29,0)</f>
        <v>395.25</v>
      </c>
      <c r="H30" s="16">
        <f>IFERROR('Screener - Data Sheet'!G29,0)</f>
        <v>2541.86</v>
      </c>
      <c r="I30" s="16">
        <f>IFERROR('Screener - Data Sheet'!H29,0)</f>
        <v>4231.29</v>
      </c>
      <c r="J30" s="16">
        <f>IFERROR('Screener - Data Sheet'!I29,0)</f>
        <v>704.06</v>
      </c>
      <c r="K30" s="16">
        <f>IFERROR('Screener - Data Sheet'!J29,0)</f>
        <v>-4024</v>
      </c>
      <c r="L30" s="16">
        <f>IFERROR('Screener - Data Sheet'!K29,0)</f>
        <v>10502</v>
      </c>
      <c r="M30" s="16">
        <f>IFERROR(SUM('Screener - Data Sheet'!H48:K48),0)</f>
        <v>8943</v>
      </c>
    </row>
    <row r="31" spans="2:13" x14ac:dyDescent="0.3">
      <c r="B31" s="19" t="s">
        <v>85</v>
      </c>
      <c r="C31" s="22">
        <f>C30/C27</f>
        <v>0.17722012132786971</v>
      </c>
      <c r="D31" s="22">
        <f t="shared" ref="D31:M31" si="11">D30/D27</f>
        <v>0.9861176827418735</v>
      </c>
      <c r="E31" s="22">
        <f t="shared" si="11"/>
        <v>0.57756479750986034</v>
      </c>
      <c r="F31" s="22">
        <f t="shared" si="11"/>
        <v>0.48084757164529263</v>
      </c>
      <c r="G31" s="22">
        <f t="shared" si="11"/>
        <v>-4.906737841780183E-2</v>
      </c>
      <c r="H31" s="22">
        <f t="shared" si="11"/>
        <v>0.32299858823290278</v>
      </c>
      <c r="I31" s="22">
        <f t="shared" si="11"/>
        <v>-1.1735068003816236</v>
      </c>
      <c r="J31" s="22">
        <f t="shared" si="11"/>
        <v>-9.5821764930044726E-2</v>
      </c>
      <c r="K31" s="22">
        <f t="shared" si="11"/>
        <v>-0.2312510775242802</v>
      </c>
      <c r="L31" s="22">
        <f t="shared" si="11"/>
        <v>0.26114633843093371</v>
      </c>
      <c r="M31" s="22">
        <f t="shared" si="11"/>
        <v>-0.32895608033546681</v>
      </c>
    </row>
    <row r="33" spans="1:15" x14ac:dyDescent="0.3">
      <c r="B33" t="s">
        <v>86</v>
      </c>
      <c r="C33" s="16">
        <f>C27-C30</f>
        <v>14044.399999999969</v>
      </c>
      <c r="D33" s="16">
        <f t="shared" ref="D33:M33" si="12">D27-D30</f>
        <v>45.770000000043638</v>
      </c>
      <c r="E33" s="16">
        <f t="shared" si="12"/>
        <v>3175.7199999999975</v>
      </c>
      <c r="F33" s="16">
        <f t="shared" si="12"/>
        <v>-2631.6199999999926</v>
      </c>
      <c r="G33" s="16">
        <f t="shared" si="12"/>
        <v>-8450.5000000000364</v>
      </c>
      <c r="H33" s="16">
        <f t="shared" si="12"/>
        <v>5327.7099999999846</v>
      </c>
      <c r="I33" s="16">
        <f t="shared" si="12"/>
        <v>-7836.9699999999893</v>
      </c>
      <c r="J33" s="16">
        <f t="shared" si="12"/>
        <v>-8051.6600000000344</v>
      </c>
      <c r="K33" s="16">
        <f t="shared" si="12"/>
        <v>21425</v>
      </c>
      <c r="L33" s="16">
        <f t="shared" si="12"/>
        <v>29713</v>
      </c>
      <c r="M33" s="16">
        <f t="shared" si="12"/>
        <v>-36129</v>
      </c>
    </row>
    <row r="34" spans="1:15" x14ac:dyDescent="0.3">
      <c r="B34" s="19" t="s">
        <v>87</v>
      </c>
      <c r="C34" s="22">
        <f>C33/C6</f>
        <v>5.1436097120773856E-2</v>
      </c>
      <c r="D34" s="22">
        <f t="shared" ref="D34:M34" si="13">D33/D6</f>
        <v>1.697117951108232E-4</v>
      </c>
      <c r="E34" s="22">
        <f t="shared" si="13"/>
        <v>1.0892521939939861E-2</v>
      </c>
      <c r="F34" s="22">
        <f t="shared" si="13"/>
        <v>-8.7157512923165537E-3</v>
      </c>
      <c r="G34" s="22">
        <f t="shared" si="13"/>
        <v>-3.236896506300653E-2</v>
      </c>
      <c r="H34" s="22">
        <f t="shared" si="13"/>
        <v>2.1328350575822688E-2</v>
      </c>
      <c r="I34" s="22">
        <f t="shared" si="13"/>
        <v>-2.8144615250467887E-2</v>
      </c>
      <c r="J34" s="22">
        <f t="shared" si="13"/>
        <v>-2.3272915330616779E-2</v>
      </c>
      <c r="K34" s="22">
        <f t="shared" si="13"/>
        <v>4.9364539556145393E-2</v>
      </c>
      <c r="L34" s="22">
        <f t="shared" si="13"/>
        <v>6.7576388178168953E-2</v>
      </c>
      <c r="M34" s="22">
        <f t="shared" si="13"/>
        <v>-8.2492328206626969E-2</v>
      </c>
    </row>
    <row r="36" spans="1:15" x14ac:dyDescent="0.3">
      <c r="B36" t="s">
        <v>88</v>
      </c>
      <c r="C36" s="16">
        <f>IFERROR('Screener - Data Sheet'!B93,0)</f>
        <v>288.72000000000003</v>
      </c>
      <c r="D36" s="16">
        <f>IFERROR('Screener - Data Sheet'!C93,0)</f>
        <v>288.73</v>
      </c>
      <c r="E36" s="16">
        <f>IFERROR('Screener - Data Sheet'!D93,0)</f>
        <v>288.73</v>
      </c>
      <c r="F36" s="16">
        <f>IFERROR('Screener - Data Sheet'!E93,0)</f>
        <v>288.73</v>
      </c>
      <c r="G36" s="16">
        <f>IFERROR('Screener - Data Sheet'!F93,0)</f>
        <v>308.89999999999998</v>
      </c>
      <c r="H36" s="16">
        <f>IFERROR('Screener - Data Sheet'!G93,0)</f>
        <v>332.03</v>
      </c>
      <c r="I36" s="16">
        <f>IFERROR('Screener - Data Sheet'!H93,0)</f>
        <v>332.07</v>
      </c>
      <c r="J36" s="16">
        <f>IFERROR('Screener - Data Sheet'!I93,0)</f>
        <v>332.13</v>
      </c>
      <c r="K36" s="16">
        <f>IFERROR('Screener - Data Sheet'!J93,0)</f>
        <v>332.37</v>
      </c>
      <c r="L36" s="16">
        <f>IFERROR('Screener - Data Sheet'!K93,0)</f>
        <v>368.13</v>
      </c>
      <c r="M36" s="16">
        <f>IFERROR('Screener - Data Sheet'!L93,0)</f>
        <v>0</v>
      </c>
    </row>
    <row r="38" spans="1:15" x14ac:dyDescent="0.3">
      <c r="B38" t="s">
        <v>89</v>
      </c>
      <c r="C38" s="16">
        <f>C33/C36</f>
        <v>48.643668606262011</v>
      </c>
      <c r="D38" s="16">
        <f t="shared" ref="D38:L38" si="14">D33/D36</f>
        <v>0.15852180237607327</v>
      </c>
      <c r="E38" s="16">
        <f t="shared" si="14"/>
        <v>10.998926332559822</v>
      </c>
      <c r="F38" s="16">
        <f t="shared" si="14"/>
        <v>-9.1144668028954126</v>
      </c>
      <c r="G38" s="16">
        <f t="shared" si="14"/>
        <v>-27.356749757203097</v>
      </c>
      <c r="H38" s="16">
        <f t="shared" si="14"/>
        <v>16.045869349155151</v>
      </c>
      <c r="I38" s="16">
        <f t="shared" si="14"/>
        <v>-23.600355346764204</v>
      </c>
      <c r="J38" s="16">
        <f t="shared" si="14"/>
        <v>-24.242495408424517</v>
      </c>
      <c r="K38" s="16">
        <f t="shared" si="14"/>
        <v>64.461293137166408</v>
      </c>
      <c r="L38" s="16">
        <f t="shared" si="14"/>
        <v>80.713334963192352</v>
      </c>
      <c r="M38" s="16" t="s">
        <v>71</v>
      </c>
    </row>
    <row r="39" spans="1:15" x14ac:dyDescent="0.3">
      <c r="B39" s="19" t="s">
        <v>91</v>
      </c>
      <c r="C39" s="22" t="s">
        <v>71</v>
      </c>
      <c r="D39" s="22">
        <f>IFERROR(D38/C38-1,0)</f>
        <v>-0.9967411626853393</v>
      </c>
      <c r="E39" s="22">
        <f t="shared" ref="E39:L39" si="15">IFERROR(E38/D38-1,0)</f>
        <v>68.384312868625074</v>
      </c>
      <c r="F39" s="22">
        <f t="shared" si="15"/>
        <v>-1.8286687743251906</v>
      </c>
      <c r="G39" s="22">
        <f t="shared" si="15"/>
        <v>2.0014646329626893</v>
      </c>
      <c r="H39" s="22">
        <f t="shared" si="15"/>
        <v>-1.5865415113844157</v>
      </c>
      <c r="I39" s="22">
        <f t="shared" si="15"/>
        <v>-2.4708056530453311</v>
      </c>
      <c r="J39" s="22">
        <f t="shared" si="15"/>
        <v>2.7208914960187514E-2</v>
      </c>
      <c r="K39" s="22">
        <f t="shared" si="15"/>
        <v>-3.659020536094046</v>
      </c>
      <c r="L39" s="22">
        <f t="shared" si="15"/>
        <v>0.25212094010344188</v>
      </c>
      <c r="M39" s="22" t="s">
        <v>71</v>
      </c>
    </row>
    <row r="41" spans="1:15" x14ac:dyDescent="0.3">
      <c r="B41" t="s">
        <v>90</v>
      </c>
      <c r="C41" s="16">
        <f>IFERROR('Screener - Data Sheet'!B31/C36,0)</f>
        <v>0.23524522028262676</v>
      </c>
      <c r="D41" s="16">
        <f>IFERROR('Screener - Data Sheet'!C31/D36,0)</f>
        <v>0</v>
      </c>
      <c r="E41" s="16">
        <f>IFERROR('Screener - Data Sheet'!D31/E36,0)</f>
        <v>0</v>
      </c>
      <c r="F41" s="16">
        <f>IFERROR('Screener - Data Sheet'!E31/F36,0)</f>
        <v>0</v>
      </c>
      <c r="G41" s="16">
        <f>IFERROR('Screener - Data Sheet'!F31/G36,0)</f>
        <v>0</v>
      </c>
      <c r="H41" s="16">
        <f>IFERROR('Screener - Data Sheet'!G31/H36,0)</f>
        <v>0</v>
      </c>
      <c r="I41" s="16">
        <f>IFERROR('Screener - Data Sheet'!H31/I36,0)</f>
        <v>0</v>
      </c>
      <c r="J41" s="16">
        <f>IFERROR('Screener - Data Sheet'!I31/J36,0)</f>
        <v>2.3063860536536898</v>
      </c>
      <c r="K41" s="16">
        <f>IFERROR('Screener - Data Sheet'!J31/K36,0)</f>
        <v>6.9230074916508713</v>
      </c>
      <c r="L41" s="16">
        <f>IFERROR('Screener - Data Sheet'!K31/L36,0)</f>
        <v>5.9978811832776469</v>
      </c>
      <c r="M41" s="16">
        <f>IFERROR('Screener - Data Sheet'!L31/M36,0)</f>
        <v>0</v>
      </c>
    </row>
    <row r="42" spans="1:15" x14ac:dyDescent="0.3">
      <c r="B42" s="19" t="s">
        <v>92</v>
      </c>
      <c r="C42" s="22">
        <f>IFERROR(C41/C38,0)</f>
        <v>4.8360912534533449E-3</v>
      </c>
      <c r="D42" s="22">
        <f t="shared" ref="D42:M42" si="16">IFERROR(D41/D38,0)</f>
        <v>0</v>
      </c>
      <c r="E42" s="22">
        <f t="shared" si="16"/>
        <v>0</v>
      </c>
      <c r="F42" s="22">
        <f t="shared" si="16"/>
        <v>0</v>
      </c>
      <c r="G42" s="22">
        <f t="shared" si="16"/>
        <v>0</v>
      </c>
      <c r="H42" s="22">
        <f t="shared" si="16"/>
        <v>0</v>
      </c>
      <c r="I42" s="22">
        <f t="shared" si="16"/>
        <v>0</v>
      </c>
      <c r="J42" s="22">
        <f t="shared" si="16"/>
        <v>-9.5138145425911758E-2</v>
      </c>
      <c r="K42" s="22">
        <f t="shared" si="16"/>
        <v>0.10739789964994166</v>
      </c>
      <c r="L42" s="22">
        <f t="shared" si="16"/>
        <v>7.4310907683505539E-2</v>
      </c>
      <c r="M42" s="22">
        <f t="shared" si="16"/>
        <v>0</v>
      </c>
    </row>
    <row r="43" spans="1:15" x14ac:dyDescent="0.3">
      <c r="O43" s="16">
        <v>1</v>
      </c>
    </row>
    <row r="44" spans="1:15" x14ac:dyDescent="0.3">
      <c r="B44" t="s">
        <v>93</v>
      </c>
      <c r="C44" s="17">
        <f>IFERROR(1-C42,0)</f>
        <v>0.9951639087465467</v>
      </c>
      <c r="D44" s="17">
        <f t="shared" ref="D44:M44" si="17">IFERROR((1-D42),0)</f>
        <v>1</v>
      </c>
      <c r="E44" s="17">
        <f t="shared" si="17"/>
        <v>1</v>
      </c>
      <c r="F44" s="17">
        <f t="shared" si="17"/>
        <v>1</v>
      </c>
      <c r="G44" s="17">
        <f t="shared" si="17"/>
        <v>1</v>
      </c>
      <c r="H44" s="17">
        <f t="shared" si="17"/>
        <v>1</v>
      </c>
      <c r="I44" s="17">
        <f t="shared" si="17"/>
        <v>1</v>
      </c>
      <c r="J44" s="17">
        <f t="shared" si="17"/>
        <v>1.0951381454259117</v>
      </c>
      <c r="K44" s="17">
        <f t="shared" si="17"/>
        <v>0.89260210035005838</v>
      </c>
      <c r="L44" s="17">
        <f t="shared" si="17"/>
        <v>0.92568909231649443</v>
      </c>
      <c r="M44" s="17">
        <f t="shared" si="17"/>
        <v>1</v>
      </c>
    </row>
    <row r="46" spans="1:15" x14ac:dyDescent="0.3">
      <c r="A46" t="s">
        <v>69</v>
      </c>
      <c r="B46" s="26" t="s">
        <v>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5" x14ac:dyDescent="0.3">
      <c r="B47" t="s">
        <v>11</v>
      </c>
      <c r="C47" s="16">
        <f>IFERROR('Screener - Data Sheet'!B57,0)</f>
        <v>679.18</v>
      </c>
      <c r="D47" s="16">
        <f>IFERROR('Screener - Data Sheet'!C57,0)</f>
        <v>679.22</v>
      </c>
      <c r="E47" s="16">
        <f>IFERROR('Screener - Data Sheet'!D57,0)</f>
        <v>679.22</v>
      </c>
      <c r="F47" s="16">
        <f>IFERROR('Screener - Data Sheet'!E57,0)</f>
        <v>679.22</v>
      </c>
      <c r="G47" s="16">
        <f>IFERROR('Screener - Data Sheet'!F57,0)</f>
        <v>719.54</v>
      </c>
      <c r="H47" s="16">
        <f>IFERROR('Screener - Data Sheet'!G57,0)</f>
        <v>765.81</v>
      </c>
      <c r="I47" s="16">
        <f>IFERROR('Screener - Data Sheet'!H57,0)</f>
        <v>765.88</v>
      </c>
      <c r="J47" s="16">
        <f>IFERROR('Screener - Data Sheet'!I57,0)</f>
        <v>766.02</v>
      </c>
      <c r="K47" s="16">
        <f>IFERROR('Screener - Data Sheet'!J57,0)</f>
        <v>767</v>
      </c>
      <c r="L47" s="16">
        <f>IFERROR('Screener - Data Sheet'!K57,0)</f>
        <v>736</v>
      </c>
    </row>
    <row r="48" spans="1:15" x14ac:dyDescent="0.3">
      <c r="B48" t="s">
        <v>12</v>
      </c>
      <c r="C48" s="16">
        <f>IFERROR('Screener - Data Sheet'!B58,0)</f>
        <v>78273.23</v>
      </c>
      <c r="D48" s="16">
        <f>IFERROR('Screener - Data Sheet'!C58,0)</f>
        <v>57382.67</v>
      </c>
      <c r="E48" s="16">
        <f>IFERROR('Screener - Data Sheet'!D58,0)</f>
        <v>94748.69</v>
      </c>
      <c r="F48" s="16">
        <f>IFERROR('Screener - Data Sheet'!E58,0)</f>
        <v>59500.34</v>
      </c>
      <c r="G48" s="16">
        <f>IFERROR('Screener - Data Sheet'!F58,0)</f>
        <v>62358.99</v>
      </c>
      <c r="H48" s="16">
        <f>IFERROR('Screener - Data Sheet'!G58,0)</f>
        <v>54480.91</v>
      </c>
      <c r="I48" s="16">
        <f>IFERROR('Screener - Data Sheet'!H58,0)</f>
        <v>43795.360000000001</v>
      </c>
      <c r="J48" s="16">
        <f>IFERROR('Screener - Data Sheet'!I58,0)</f>
        <v>44555.77</v>
      </c>
      <c r="K48" s="16">
        <f>IFERROR('Screener - Data Sheet'!J58,0)</f>
        <v>84151</v>
      </c>
      <c r="L48" s="16">
        <f>IFERROR('Screener - Data Sheet'!K58,0)</f>
        <v>115408</v>
      </c>
    </row>
    <row r="49" spans="2:12" x14ac:dyDescent="0.3">
      <c r="B49" t="s">
        <v>45</v>
      </c>
      <c r="C49" s="16">
        <f>IFERROR('Screener - Data Sheet'!B59,0)</f>
        <v>69359.960000000006</v>
      </c>
      <c r="D49" s="16">
        <f>IFERROR('Screener - Data Sheet'!C59,0)</f>
        <v>78603.98</v>
      </c>
      <c r="E49" s="16">
        <f>IFERROR('Screener - Data Sheet'!D59,0)</f>
        <v>88950.47</v>
      </c>
      <c r="F49" s="16">
        <f>IFERROR('Screener - Data Sheet'!E59,0)</f>
        <v>106175.34</v>
      </c>
      <c r="G49" s="16">
        <f>IFERROR('Screener - Data Sheet'!F59,0)</f>
        <v>124787.64</v>
      </c>
      <c r="H49" s="16">
        <f>IFERROR('Screener - Data Sheet'!G59,0)</f>
        <v>142130.57</v>
      </c>
      <c r="I49" s="16">
        <f>IFERROR('Screener - Data Sheet'!H59,0)</f>
        <v>146449.03</v>
      </c>
      <c r="J49" s="16">
        <f>IFERROR('Screener - Data Sheet'!I59,0)</f>
        <v>134113.44</v>
      </c>
      <c r="K49" s="16">
        <f>IFERROR('Screener - Data Sheet'!J59,0)</f>
        <v>107264</v>
      </c>
      <c r="L49" s="16">
        <f>IFERROR('Screener - Data Sheet'!K59,0)</f>
        <v>71540</v>
      </c>
    </row>
    <row r="50" spans="2:12" x14ac:dyDescent="0.3">
      <c r="B50" t="s">
        <v>46</v>
      </c>
      <c r="C50" s="16">
        <f>IFERROR('Screener - Data Sheet'!B60,0)</f>
        <v>114871.75</v>
      </c>
      <c r="D50" s="16">
        <f>IFERROR('Screener - Data Sheet'!C60,0)</f>
        <v>135914.49</v>
      </c>
      <c r="E50" s="16">
        <f>IFERROR('Screener - Data Sheet'!D60,0)</f>
        <v>142813.43</v>
      </c>
      <c r="F50" s="16">
        <f>IFERROR('Screener - Data Sheet'!E60,0)</f>
        <v>139348.59</v>
      </c>
      <c r="G50" s="16">
        <f>IFERROR('Screener - Data Sheet'!F60,0)</f>
        <v>132313.22</v>
      </c>
      <c r="H50" s="16">
        <f>IFERROR('Screener - Data Sheet'!G60,0)</f>
        <v>144192.62</v>
      </c>
      <c r="I50" s="16">
        <f>IFERROR('Screener - Data Sheet'!H60,0)</f>
        <v>138051.22</v>
      </c>
      <c r="J50" s="16">
        <f>IFERROR('Screener - Data Sheet'!I60,0)</f>
        <v>155239.20000000001</v>
      </c>
      <c r="K50" s="16">
        <f>IFERROR('Screener - Data Sheet'!J60,0)</f>
        <v>177339</v>
      </c>
      <c r="L50" s="16">
        <f>IFERROR('Screener - Data Sheet'!K60,0)</f>
        <v>189289</v>
      </c>
    </row>
    <row r="51" spans="2:12" s="2" customFormat="1" x14ac:dyDescent="0.3">
      <c r="B51" s="2" t="s">
        <v>95</v>
      </c>
      <c r="C51" s="28">
        <f>IFERROR('Screener - Data Sheet'!B61,0)</f>
        <v>263184.12</v>
      </c>
      <c r="D51" s="28">
        <f>IFERROR('Screener - Data Sheet'!C61,0)</f>
        <v>272580.36</v>
      </c>
      <c r="E51" s="28">
        <f>IFERROR('Screener - Data Sheet'!D61,0)</f>
        <v>327191.81</v>
      </c>
      <c r="F51" s="28">
        <f>IFERROR('Screener - Data Sheet'!E61,0)</f>
        <v>305703.49</v>
      </c>
      <c r="G51" s="28">
        <f>IFERROR('Screener - Data Sheet'!F61,0)</f>
        <v>320179.39</v>
      </c>
      <c r="H51" s="28">
        <f>IFERROR('Screener - Data Sheet'!G61,0)</f>
        <v>341569.91</v>
      </c>
      <c r="I51" s="28">
        <f>IFERROR('Screener - Data Sheet'!H61,0)</f>
        <v>329061.49</v>
      </c>
      <c r="J51" s="28">
        <f>IFERROR('Screener - Data Sheet'!I61,0)</f>
        <v>334674.43</v>
      </c>
      <c r="K51" s="28">
        <f>IFERROR('Screener - Data Sheet'!J61,0)</f>
        <v>369521</v>
      </c>
      <c r="L51" s="28">
        <f>IFERROR('Screener - Data Sheet'!K61,0)</f>
        <v>376973</v>
      </c>
    </row>
    <row r="53" spans="2:12" x14ac:dyDescent="0.3">
      <c r="B53" t="s">
        <v>97</v>
      </c>
      <c r="C53" s="16">
        <f>IFERROR('Screener - Data Sheet'!B62,0)</f>
        <v>107231.76</v>
      </c>
      <c r="D53" s="16">
        <f>IFERROR('Screener - Data Sheet'!C62,0)</f>
        <v>95944.08</v>
      </c>
      <c r="E53" s="16">
        <f>IFERROR('Screener - Data Sheet'!D62,0)</f>
        <v>121413.86</v>
      </c>
      <c r="F53" s="16">
        <f>IFERROR('Screener - Data Sheet'!E62,0)</f>
        <v>111234.47</v>
      </c>
      <c r="G53" s="16">
        <f>IFERROR('Screener - Data Sheet'!F62,0)</f>
        <v>127107.14</v>
      </c>
      <c r="H53" s="16">
        <f>IFERROR('Screener - Data Sheet'!G62,0)</f>
        <v>138707.60999999999</v>
      </c>
      <c r="I53" s="16">
        <f>IFERROR('Screener - Data Sheet'!H62,0)</f>
        <v>138855.45000000001</v>
      </c>
      <c r="J53" s="16">
        <f>IFERROR('Screener - Data Sheet'!I62,0)</f>
        <v>132079.76</v>
      </c>
      <c r="K53" s="16">
        <f>IFERROR('Screener - Data Sheet'!J62,0)</f>
        <v>121285</v>
      </c>
      <c r="L53" s="16">
        <f>IFERROR('Screener - Data Sheet'!K62,0)</f>
        <v>115697</v>
      </c>
    </row>
    <row r="54" spans="2:12" x14ac:dyDescent="0.3">
      <c r="B54" t="s">
        <v>15</v>
      </c>
      <c r="C54" s="16">
        <f>IFERROR('Screener - Data Sheet'!B63,0)</f>
        <v>25918.94</v>
      </c>
      <c r="D54" s="16">
        <f>IFERROR('Screener - Data Sheet'!C63,0)</f>
        <v>33698.839999999997</v>
      </c>
      <c r="E54" s="16">
        <f>IFERROR('Screener - Data Sheet'!D63,0)</f>
        <v>40033.5</v>
      </c>
      <c r="F54" s="16">
        <f>IFERROR('Screener - Data Sheet'!E63,0)</f>
        <v>31883.84</v>
      </c>
      <c r="G54" s="16">
        <f>IFERROR('Screener - Data Sheet'!F63,0)</f>
        <v>35622.29</v>
      </c>
      <c r="H54" s="16">
        <f>IFERROR('Screener - Data Sheet'!G63,0)</f>
        <v>20963.93</v>
      </c>
      <c r="I54" s="16">
        <f>IFERROR('Screener - Data Sheet'!H63,0)</f>
        <v>10251.09</v>
      </c>
      <c r="J54" s="16">
        <f>IFERROR('Screener - Data Sheet'!I63,0)</f>
        <v>14274.5</v>
      </c>
      <c r="K54" s="16">
        <f>IFERROR('Screener - Data Sheet'!J63,0)</f>
        <v>35698</v>
      </c>
      <c r="L54" s="16">
        <f>IFERROR('Screener - Data Sheet'!K63,0)</f>
        <v>65806</v>
      </c>
    </row>
    <row r="55" spans="2:12" x14ac:dyDescent="0.3">
      <c r="B55" t="s">
        <v>16</v>
      </c>
      <c r="C55" s="16">
        <f>IFERROR('Screener - Data Sheet'!B64,0)</f>
        <v>23767.02</v>
      </c>
      <c r="D55" s="16">
        <f>IFERROR('Screener - Data Sheet'!C64,0)</f>
        <v>20337.919999999998</v>
      </c>
      <c r="E55" s="16">
        <f>IFERROR('Screener - Data Sheet'!D64,0)</f>
        <v>20812.75</v>
      </c>
      <c r="F55" s="16">
        <f>IFERROR('Screener - Data Sheet'!E64,0)</f>
        <v>15770.72</v>
      </c>
      <c r="G55" s="16">
        <f>IFERROR('Screener - Data Sheet'!F64,0)</f>
        <v>16308.48</v>
      </c>
      <c r="H55" s="16">
        <f>IFERROR('Screener - Data Sheet'!G64,0)</f>
        <v>24620.28</v>
      </c>
      <c r="I55" s="16">
        <f>IFERROR('Screener - Data Sheet'!H64,0)</f>
        <v>29379.53</v>
      </c>
      <c r="J55" s="16">
        <f>IFERROR('Screener - Data Sheet'!I64,0)</f>
        <v>26379.16</v>
      </c>
      <c r="K55" s="16">
        <f>IFERROR('Screener - Data Sheet'!J64,0)</f>
        <v>22971</v>
      </c>
      <c r="L55" s="16">
        <f>IFERROR('Screener - Data Sheet'!K64,0)</f>
        <v>35656</v>
      </c>
    </row>
    <row r="56" spans="2:12" x14ac:dyDescent="0.3">
      <c r="B56" t="s">
        <v>47</v>
      </c>
      <c r="C56" s="16">
        <f>IFERROR('Screener - Data Sheet'!B65-SUM(HistoricalFS!C59:C61),0)</f>
        <v>29579.359999999986</v>
      </c>
      <c r="D56" s="16">
        <f>IFERROR('Screener - Data Sheet'!C65-SUM(HistoricalFS!D59:D61),0)</f>
        <v>37360.780000000013</v>
      </c>
      <c r="E56" s="16">
        <f>IFERROR('Screener - Data Sheet'!D65-SUM(HistoricalFS!E59:E61),0)</f>
        <v>48286.860000000015</v>
      </c>
      <c r="F56" s="16">
        <f>IFERROR('Screener - Data Sheet'!E65-SUM(HistoricalFS!F59:F61),0)</f>
        <v>56155.739999999991</v>
      </c>
      <c r="G56" s="16">
        <f>IFERROR('Screener - Data Sheet'!F65-SUM(HistoricalFS!G59:G61),0)</f>
        <v>58784.94</v>
      </c>
      <c r="H56" s="16">
        <f>IFERROR('Screener - Data Sheet'!G65-SUM(HistoricalFS!H59:H61),0)</f>
        <v>61717.959999999992</v>
      </c>
      <c r="I56" s="16">
        <f>IFERROR('Screener - Data Sheet'!H65-SUM(HistoricalFS!I59:I61),0)</f>
        <v>62223.770000000019</v>
      </c>
      <c r="J56" s="16">
        <f>IFERROR('Screener - Data Sheet'!I65-SUM(HistoricalFS!J59:J61),0)</f>
        <v>68432.090000000011</v>
      </c>
      <c r="K56" s="16">
        <f>IFERROR('Screener - Data Sheet'!J65-SUM(HistoricalFS!K59:K61),0)</f>
        <v>79020</v>
      </c>
      <c r="L56" s="16">
        <f>IFERROR('Screener - Data Sheet'!K65-SUM(HistoricalFS!L59:L61),0)</f>
        <v>58463</v>
      </c>
    </row>
    <row r="57" spans="2:12" s="2" customFormat="1" x14ac:dyDescent="0.3">
      <c r="B57" s="2" t="s">
        <v>96</v>
      </c>
      <c r="C57" s="28">
        <f>IFERROR(SUM(C53:C56),0)</f>
        <v>186497.07999999996</v>
      </c>
      <c r="D57" s="28">
        <f t="shared" ref="D57:L57" si="18">IFERROR(SUM(D53:D56),0)</f>
        <v>187341.62</v>
      </c>
      <c r="E57" s="28">
        <f t="shared" si="18"/>
        <v>230546.97</v>
      </c>
      <c r="F57" s="28">
        <f t="shared" si="18"/>
        <v>215044.77</v>
      </c>
      <c r="G57" s="28">
        <f t="shared" si="18"/>
        <v>237822.85</v>
      </c>
      <c r="H57" s="28">
        <f t="shared" si="18"/>
        <v>246009.77999999997</v>
      </c>
      <c r="I57" s="28">
        <f t="shared" si="18"/>
        <v>240709.84000000003</v>
      </c>
      <c r="J57" s="28">
        <f t="shared" si="18"/>
        <v>241165.51</v>
      </c>
      <c r="K57" s="28">
        <f t="shared" si="18"/>
        <v>258974</v>
      </c>
      <c r="L57" s="28">
        <f t="shared" si="18"/>
        <v>275622</v>
      </c>
    </row>
    <row r="59" spans="2:12" x14ac:dyDescent="0.3">
      <c r="B59" t="s">
        <v>52</v>
      </c>
      <c r="C59" s="16">
        <f>IFERROR('Screener - Data Sheet'!B67,0)</f>
        <v>13570.91</v>
      </c>
      <c r="D59" s="16">
        <f>IFERROR('Screener - Data Sheet'!C67,0)</f>
        <v>14075.55</v>
      </c>
      <c r="E59" s="16">
        <f>IFERROR('Screener - Data Sheet'!D67,0)</f>
        <v>19893.3</v>
      </c>
      <c r="F59" s="16">
        <f>IFERROR('Screener - Data Sheet'!E67,0)</f>
        <v>18996.169999999998</v>
      </c>
      <c r="G59" s="16">
        <f>IFERROR('Screener - Data Sheet'!F67,0)</f>
        <v>11172.69</v>
      </c>
      <c r="H59" s="16">
        <f>IFERROR('Screener - Data Sheet'!G67,0)</f>
        <v>12679.08</v>
      </c>
      <c r="I59" s="16">
        <f>IFERROR('Screener - Data Sheet'!H67,0)</f>
        <v>12442.12</v>
      </c>
      <c r="J59" s="16">
        <f>IFERROR('Screener - Data Sheet'!I67,0)</f>
        <v>15737.97</v>
      </c>
      <c r="K59" s="16">
        <f>IFERROR('Screener - Data Sheet'!J67,0)</f>
        <v>16952</v>
      </c>
      <c r="L59" s="16">
        <f>IFERROR('Screener - Data Sheet'!K67,0)</f>
        <v>13248</v>
      </c>
    </row>
    <row r="60" spans="2:12" x14ac:dyDescent="0.3">
      <c r="B60" t="s">
        <v>30</v>
      </c>
      <c r="C60" s="16">
        <f>IFERROR('Screener - Data Sheet'!B68,0)</f>
        <v>32655.73</v>
      </c>
      <c r="D60" s="16">
        <f>IFERROR('Screener - Data Sheet'!C68,0)</f>
        <v>35085.31</v>
      </c>
      <c r="E60" s="16">
        <f>IFERROR('Screener - Data Sheet'!D68,0)</f>
        <v>42137.63</v>
      </c>
      <c r="F60" s="16">
        <f>IFERROR('Screener - Data Sheet'!E68,0)</f>
        <v>39013.730000000003</v>
      </c>
      <c r="G60" s="16">
        <f>IFERROR('Screener - Data Sheet'!F68,0)</f>
        <v>37456.879999999997</v>
      </c>
      <c r="H60" s="16">
        <f>IFERROR('Screener - Data Sheet'!G68,0)</f>
        <v>36088.589999999997</v>
      </c>
      <c r="I60" s="16">
        <f>IFERROR('Screener - Data Sheet'!H68,0)</f>
        <v>35240.339999999997</v>
      </c>
      <c r="J60" s="16">
        <f>IFERROR('Screener - Data Sheet'!I68,0)</f>
        <v>40755.39</v>
      </c>
      <c r="K60" s="16">
        <f>IFERROR('Screener - Data Sheet'!J68,0)</f>
        <v>47788</v>
      </c>
      <c r="L60" s="16">
        <f>IFERROR('Screener - Data Sheet'!K68,0)</f>
        <v>47269</v>
      </c>
    </row>
    <row r="61" spans="2:12" x14ac:dyDescent="0.3">
      <c r="B61" t="s">
        <v>61</v>
      </c>
      <c r="C61" s="16">
        <f>IFERROR('Screener - Data Sheet'!B69,0)</f>
        <v>30460.400000000001</v>
      </c>
      <c r="D61" s="16">
        <f>IFERROR('Screener - Data Sheet'!C69,0)</f>
        <v>36077.879999999997</v>
      </c>
      <c r="E61" s="16">
        <f>IFERROR('Screener - Data Sheet'!D69,0)</f>
        <v>34613.910000000003</v>
      </c>
      <c r="F61" s="16">
        <f>IFERROR('Screener - Data Sheet'!E69,0)</f>
        <v>32648.82</v>
      </c>
      <c r="G61" s="16">
        <f>IFERROR('Screener - Data Sheet'!F69,0)</f>
        <v>33726.97</v>
      </c>
      <c r="H61" s="16">
        <f>IFERROR('Screener - Data Sheet'!G69,0)</f>
        <v>46792.46</v>
      </c>
      <c r="I61" s="16">
        <f>IFERROR('Screener - Data Sheet'!H69,0)</f>
        <v>40669.19</v>
      </c>
      <c r="J61" s="16">
        <f>IFERROR('Screener - Data Sheet'!I69,0)</f>
        <v>37015.56</v>
      </c>
      <c r="K61" s="16">
        <f>IFERROR('Screener - Data Sheet'!J69,0)</f>
        <v>45807</v>
      </c>
      <c r="L61" s="16">
        <f>IFERROR('Screener - Data Sheet'!K69,0)</f>
        <v>40834</v>
      </c>
    </row>
    <row r="62" spans="2:12" x14ac:dyDescent="0.3">
      <c r="B62" s="2" t="s">
        <v>98</v>
      </c>
      <c r="C62" s="28">
        <f>IFERROR(SUM(C59:C61),0)</f>
        <v>76687.040000000008</v>
      </c>
      <c r="D62" s="28">
        <f t="shared" ref="D62:L62" si="19">IFERROR(SUM(D59:D61),0)</f>
        <v>85238.739999999991</v>
      </c>
      <c r="E62" s="28">
        <f t="shared" si="19"/>
        <v>96644.84</v>
      </c>
      <c r="F62" s="28">
        <f t="shared" si="19"/>
        <v>90658.72</v>
      </c>
      <c r="G62" s="28">
        <f t="shared" si="19"/>
        <v>82356.540000000008</v>
      </c>
      <c r="H62" s="28">
        <f t="shared" si="19"/>
        <v>95560.13</v>
      </c>
      <c r="I62" s="28">
        <f t="shared" si="19"/>
        <v>88351.65</v>
      </c>
      <c r="J62" s="28">
        <f t="shared" si="19"/>
        <v>93508.92</v>
      </c>
      <c r="K62" s="28">
        <f t="shared" si="19"/>
        <v>110547</v>
      </c>
      <c r="L62" s="28">
        <f t="shared" si="19"/>
        <v>101351</v>
      </c>
    </row>
    <row r="64" spans="2:12" x14ac:dyDescent="0.3">
      <c r="B64" s="2" t="s">
        <v>99</v>
      </c>
      <c r="C64" s="28">
        <f>IFERROR(SUM(C62,C57),0)</f>
        <v>263184.12</v>
      </c>
      <c r="D64" s="28">
        <f t="shared" ref="D64:L64" si="20">IFERROR(SUM(D62,D57),0)</f>
        <v>272580.36</v>
      </c>
      <c r="E64" s="28">
        <f t="shared" si="20"/>
        <v>327191.81</v>
      </c>
      <c r="F64" s="28">
        <f t="shared" si="20"/>
        <v>305703.49</v>
      </c>
      <c r="G64" s="28">
        <f t="shared" si="20"/>
        <v>320179.39</v>
      </c>
      <c r="H64" s="28">
        <f t="shared" si="20"/>
        <v>341569.91</v>
      </c>
      <c r="I64" s="28">
        <f t="shared" si="20"/>
        <v>329061.49</v>
      </c>
      <c r="J64" s="28">
        <f t="shared" si="20"/>
        <v>334674.43</v>
      </c>
      <c r="K64" s="28">
        <f t="shared" si="20"/>
        <v>369521</v>
      </c>
      <c r="L64" s="28">
        <f t="shared" si="20"/>
        <v>376973</v>
      </c>
    </row>
    <row r="66" spans="1:13" s="18" customFormat="1" x14ac:dyDescent="0.3">
      <c r="B66" s="29" t="s">
        <v>100</v>
      </c>
      <c r="C66" s="18" t="b">
        <f>IF(C64=C51,TRUE,FALSE)</f>
        <v>1</v>
      </c>
      <c r="D66" s="18" t="b">
        <f t="shared" ref="D66:L66" si="21">IF(D64=D51,TRUE,FALSE)</f>
        <v>1</v>
      </c>
      <c r="E66" s="18" t="b">
        <f t="shared" si="21"/>
        <v>1</v>
      </c>
      <c r="F66" s="18" t="b">
        <f t="shared" si="21"/>
        <v>1</v>
      </c>
      <c r="G66" s="18" t="b">
        <f t="shared" si="21"/>
        <v>1</v>
      </c>
      <c r="H66" s="18" t="b">
        <f t="shared" si="21"/>
        <v>1</v>
      </c>
      <c r="I66" s="18" t="b">
        <f t="shared" si="21"/>
        <v>1</v>
      </c>
      <c r="J66" s="18" t="b">
        <f t="shared" si="21"/>
        <v>1</v>
      </c>
      <c r="K66" s="18" t="b">
        <f t="shared" si="21"/>
        <v>1</v>
      </c>
      <c r="L66" s="18" t="b">
        <f t="shared" si="21"/>
        <v>1</v>
      </c>
    </row>
    <row r="69" spans="1:13" x14ac:dyDescent="0.3">
      <c r="A69" t="s">
        <v>69</v>
      </c>
      <c r="B69" s="26" t="s">
        <v>130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x14ac:dyDescent="0.3">
      <c r="B70" s="2" t="s">
        <v>131</v>
      </c>
    </row>
    <row r="71" spans="1:13" x14ac:dyDescent="0.3">
      <c r="B71" t="s">
        <v>101</v>
      </c>
      <c r="C71" s="16">
        <f>IFERROR('Cash Flow Statement'!E4,0)</f>
        <v>38626</v>
      </c>
      <c r="D71" s="16">
        <f>IFERROR('Cash Flow Statement'!F4,0)</f>
        <v>28840</v>
      </c>
      <c r="E71" s="16">
        <f>IFERROR('Cash Flow Statement'!G4,0)</f>
        <v>33312</v>
      </c>
      <c r="F71" s="16">
        <f>IFERROR('Cash Flow Statement'!H4,0)</f>
        <v>28771</v>
      </c>
      <c r="G71" s="16">
        <f>IFERROR('Cash Flow Statement'!I4,0)</f>
        <v>23352</v>
      </c>
      <c r="H71" s="16">
        <f>IFERROR('Cash Flow Statement'!J4,0)</f>
        <v>31198</v>
      </c>
      <c r="I71" s="16">
        <f>IFERROR('Cash Flow Statement'!K4,0)</f>
        <v>26943</v>
      </c>
      <c r="J71" s="16">
        <f>IFERROR('Cash Flow Statement'!L4,0)</f>
        <v>41694</v>
      </c>
      <c r="K71" s="16">
        <f>IFERROR('Cash Flow Statement'!M4,0)</f>
        <v>65106</v>
      </c>
      <c r="L71" s="16">
        <f>IFERROR('Cash Flow Statement'!N4,0)</f>
        <v>58937</v>
      </c>
    </row>
    <row r="72" spans="1:13" x14ac:dyDescent="0.3">
      <c r="B72" t="s">
        <v>52</v>
      </c>
      <c r="C72" s="16">
        <f>IFERROR('Cash Flow Statement'!E5,0)</f>
        <v>-2223</v>
      </c>
      <c r="D72" s="16">
        <f>IFERROR('Cash Flow Statement'!F5,0)</f>
        <v>-4152</v>
      </c>
      <c r="E72" s="16">
        <f>IFERROR('Cash Flow Statement'!G5,0)</f>
        <v>-10688</v>
      </c>
      <c r="F72" s="16">
        <f>IFERROR('Cash Flow Statement'!H5,0)</f>
        <v>-9109</v>
      </c>
      <c r="G72" s="16">
        <f>IFERROR('Cash Flow Statement'!I5,0)</f>
        <v>9950</v>
      </c>
      <c r="H72" s="16">
        <f>IFERROR('Cash Flow Statement'!J5,0)</f>
        <v>-5505</v>
      </c>
      <c r="I72" s="16">
        <f>IFERROR('Cash Flow Statement'!K5,0)</f>
        <v>185</v>
      </c>
      <c r="J72" s="16">
        <f>IFERROR('Cash Flow Statement'!L5,0)</f>
        <v>-2213</v>
      </c>
      <c r="K72" s="16">
        <f>IFERROR('Cash Flow Statement'!M5,0)</f>
        <v>-1876</v>
      </c>
      <c r="L72" s="16">
        <f>IFERROR('Cash Flow Statement'!N5,0)</f>
        <v>3573</v>
      </c>
    </row>
    <row r="73" spans="1:13" x14ac:dyDescent="0.3">
      <c r="B73" t="s">
        <v>30</v>
      </c>
      <c r="C73" s="16">
        <f>IFERROR('Cash Flow Statement'!E6,0)</f>
        <v>-5743</v>
      </c>
      <c r="D73" s="16">
        <f>IFERROR('Cash Flow Statement'!F6,0)</f>
        <v>-6621</v>
      </c>
      <c r="E73" s="16">
        <f>IFERROR('Cash Flow Statement'!G6,0)</f>
        <v>-3560</v>
      </c>
      <c r="F73" s="16">
        <f>IFERROR('Cash Flow Statement'!H6,0)</f>
        <v>2069</v>
      </c>
      <c r="G73" s="16">
        <f>IFERROR('Cash Flow Statement'!I6,0)</f>
        <v>2326</v>
      </c>
      <c r="H73" s="16">
        <f>IFERROR('Cash Flow Statement'!J6,0)</f>
        <v>3814</v>
      </c>
      <c r="I73" s="16">
        <f>IFERROR('Cash Flow Statement'!K6,0)</f>
        <v>472</v>
      </c>
      <c r="J73" s="16">
        <f>IFERROR('Cash Flow Statement'!L6,0)</f>
        <v>-5665</v>
      </c>
      <c r="K73" s="16">
        <f>IFERROR('Cash Flow Statement'!M6,0)</f>
        <v>-7265</v>
      </c>
      <c r="L73" s="16">
        <f>IFERROR('Cash Flow Statement'!N6,0)</f>
        <v>2127</v>
      </c>
    </row>
    <row r="74" spans="1:13" x14ac:dyDescent="0.3">
      <c r="B74" t="s">
        <v>102</v>
      </c>
      <c r="C74" s="16">
        <f>IFERROR('Cash Flow Statement'!E7,0)</f>
        <v>3947</v>
      </c>
      <c r="D74" s="16">
        <f>IFERROR('Cash Flow Statement'!F7,0)</f>
        <v>9301</v>
      </c>
      <c r="E74" s="16">
        <f>IFERROR('Cash Flow Statement'!G7,0)</f>
        <v>7320</v>
      </c>
      <c r="F74" s="16">
        <f>IFERROR('Cash Flow Statement'!H7,0)</f>
        <v>-4692</v>
      </c>
      <c r="G74" s="16">
        <f>IFERROR('Cash Flow Statement'!I7,0)</f>
        <v>-8085</v>
      </c>
      <c r="H74" s="16">
        <f>IFERROR('Cash Flow Statement'!J7,0)</f>
        <v>5748</v>
      </c>
      <c r="I74" s="16">
        <f>IFERROR('Cash Flow Statement'!K7,0)</f>
        <v>-7012</v>
      </c>
      <c r="J74" s="16">
        <f>IFERROR('Cash Flow Statement'!L7,0)</f>
        <v>6945</v>
      </c>
      <c r="K74" s="16">
        <f>IFERROR('Cash Flow Statement'!M7,0)</f>
        <v>13706</v>
      </c>
      <c r="L74" s="16">
        <f>IFERROR('Cash Flow Statement'!N7,0)</f>
        <v>1303</v>
      </c>
    </row>
    <row r="75" spans="1:13" x14ac:dyDescent="0.3">
      <c r="B75" t="s">
        <v>103</v>
      </c>
      <c r="C75" s="16">
        <f>IFERROR('Cash Flow Statement'!E8,0)</f>
        <v>-520</v>
      </c>
      <c r="D75" s="16">
        <f>IFERROR('Cash Flow Statement'!F8,0)</f>
        <v>0</v>
      </c>
      <c r="E75" s="16">
        <f>IFERROR('Cash Flow Statement'!G8,0)</f>
        <v>0</v>
      </c>
      <c r="F75" s="16">
        <f>IFERROR('Cash Flow Statement'!H8,0)</f>
        <v>0</v>
      </c>
      <c r="G75" s="16">
        <f>IFERROR('Cash Flow Statement'!I8,0)</f>
        <v>0</v>
      </c>
      <c r="H75" s="16">
        <f>IFERROR('Cash Flow Statement'!J8,0)</f>
        <v>0</v>
      </c>
      <c r="I75" s="16">
        <f>IFERROR('Cash Flow Statement'!K8,0)</f>
        <v>0</v>
      </c>
      <c r="J75" s="16">
        <f>IFERROR('Cash Flow Statement'!L8,0)</f>
        <v>0</v>
      </c>
      <c r="K75" s="16">
        <f>IFERROR('Cash Flow Statement'!M8,0)</f>
        <v>0</v>
      </c>
      <c r="L75" s="16">
        <f>IFERROR('Cash Flow Statement'!N8,0)</f>
        <v>0</v>
      </c>
    </row>
    <row r="76" spans="1:13" x14ac:dyDescent="0.3">
      <c r="B76" t="s">
        <v>104</v>
      </c>
      <c r="C76" s="16">
        <f>IFERROR('Cash Flow Statement'!E9,0)</f>
        <v>5852</v>
      </c>
      <c r="D76" s="16">
        <f>IFERROR('Cash Flow Statement'!F9,0)</f>
        <v>4727</v>
      </c>
      <c r="E76" s="16">
        <f>IFERROR('Cash Flow Statement'!G9,0)</f>
        <v>494</v>
      </c>
      <c r="F76" s="16">
        <f>IFERROR('Cash Flow Statement'!H9,0)</f>
        <v>4512</v>
      </c>
      <c r="G76" s="16">
        <f>IFERROR('Cash Flow Statement'!I9,0)</f>
        <v>875</v>
      </c>
      <c r="H76" s="16">
        <f>IFERROR('Cash Flow Statement'!J9,0)</f>
        <v>-4150</v>
      </c>
      <c r="I76" s="16">
        <f>IFERROR('Cash Flow Statement'!K9,0)</f>
        <v>-4396</v>
      </c>
      <c r="J76" s="16">
        <f>IFERROR('Cash Flow Statement'!L9,0)</f>
        <v>-2194</v>
      </c>
      <c r="K76" s="16">
        <f>IFERROR('Cash Flow Statement'!M9,0)</f>
        <v>2760</v>
      </c>
      <c r="L76" s="16">
        <f>IFERROR('Cash Flow Statement'!N9,0)</f>
        <v>1153</v>
      </c>
    </row>
    <row r="77" spans="1:13" x14ac:dyDescent="0.3">
      <c r="B77" t="s">
        <v>105</v>
      </c>
      <c r="C77" s="16">
        <f>IFERROR('Cash Flow Statement'!E10,0)</f>
        <v>1313</v>
      </c>
      <c r="D77" s="16">
        <f>IFERROR('Cash Flow Statement'!F10,0)</f>
        <v>3254</v>
      </c>
      <c r="E77" s="16">
        <f>IFERROR('Cash Flow Statement'!G10,0)</f>
        <v>-6434</v>
      </c>
      <c r="F77" s="16">
        <f>IFERROR('Cash Flow Statement'!H10,0)</f>
        <v>-7221</v>
      </c>
      <c r="G77" s="16">
        <f>IFERROR('Cash Flow Statement'!I10,0)</f>
        <v>5065</v>
      </c>
      <c r="H77" s="16">
        <f>IFERROR('Cash Flow Statement'!J10,0)</f>
        <v>-93</v>
      </c>
      <c r="I77" s="16">
        <f>IFERROR('Cash Flow Statement'!K10,0)</f>
        <v>-10750</v>
      </c>
      <c r="J77" s="16">
        <f>IFERROR('Cash Flow Statement'!L10,0)</f>
        <v>-3127</v>
      </c>
      <c r="K77" s="16">
        <f>IFERROR('Cash Flow Statement'!M10,0)</f>
        <v>7325</v>
      </c>
      <c r="L77" s="16">
        <f>IFERROR('Cash Flow Statement'!N10,0)</f>
        <v>8156</v>
      </c>
    </row>
    <row r="78" spans="1:13" x14ac:dyDescent="0.3">
      <c r="B78" t="s">
        <v>106</v>
      </c>
      <c r="C78" s="16">
        <f>IFERROR('Cash Flow Statement'!E11,0)</f>
        <v>-2040</v>
      </c>
      <c r="D78" s="16">
        <f>IFERROR('Cash Flow Statement'!F11,0)</f>
        <v>-1895</v>
      </c>
      <c r="E78" s="16">
        <f>IFERROR('Cash Flow Statement'!G11,0)</f>
        <v>-3021</v>
      </c>
      <c r="F78" s="16">
        <f>IFERROR('Cash Flow Statement'!H11,0)</f>
        <v>-2659</v>
      </c>
      <c r="G78" s="16">
        <f>IFERROR('Cash Flow Statement'!I11,0)</f>
        <v>-1785</v>
      </c>
      <c r="H78" s="16">
        <f>IFERROR('Cash Flow Statement'!J11,0)</f>
        <v>-2105</v>
      </c>
      <c r="I78" s="16">
        <f>IFERROR('Cash Flow Statement'!K11,0)</f>
        <v>-1910</v>
      </c>
      <c r="J78" s="16">
        <f>IFERROR('Cash Flow Statement'!L11,0)</f>
        <v>-3179</v>
      </c>
      <c r="K78" s="16">
        <f>IFERROR('Cash Flow Statement'!M11,0)</f>
        <v>-4516</v>
      </c>
      <c r="L78" s="16">
        <f>IFERROR('Cash Flow Statement'!N11,0)</f>
        <v>-3991</v>
      </c>
    </row>
    <row r="79" spans="1:13" x14ac:dyDescent="0.3">
      <c r="B79" s="2" t="s">
        <v>129</v>
      </c>
      <c r="C79" s="28">
        <f>SUM(C71:C78)</f>
        <v>39212</v>
      </c>
      <c r="D79" s="28">
        <f t="shared" ref="D79:L79" si="22">SUM(D71:D78)</f>
        <v>33454</v>
      </c>
      <c r="E79" s="28">
        <f t="shared" si="22"/>
        <v>17423</v>
      </c>
      <c r="F79" s="28">
        <f t="shared" si="22"/>
        <v>11671</v>
      </c>
      <c r="G79" s="28">
        <f t="shared" si="22"/>
        <v>31698</v>
      </c>
      <c r="H79" s="28">
        <f t="shared" si="22"/>
        <v>28907</v>
      </c>
      <c r="I79" s="28">
        <f t="shared" si="22"/>
        <v>3532</v>
      </c>
      <c r="J79" s="28">
        <f t="shared" si="22"/>
        <v>32261</v>
      </c>
      <c r="K79" s="28">
        <f t="shared" si="22"/>
        <v>75240</v>
      </c>
      <c r="L79" s="28">
        <f t="shared" si="22"/>
        <v>71258</v>
      </c>
    </row>
    <row r="81" spans="2:12" x14ac:dyDescent="0.3">
      <c r="B81" s="2" t="s">
        <v>132</v>
      </c>
    </row>
    <row r="82" spans="2:12" x14ac:dyDescent="0.3">
      <c r="B82" t="s">
        <v>107</v>
      </c>
      <c r="C82" s="16">
        <f>IFERROR('Cash Flow Statement'!E13,0)</f>
        <v>-31503</v>
      </c>
      <c r="D82" s="16">
        <f>IFERROR('Cash Flow Statement'!F13,0)</f>
        <v>-16072</v>
      </c>
      <c r="E82" s="16">
        <f>IFERROR('Cash Flow Statement'!G13,0)</f>
        <v>-35079</v>
      </c>
      <c r="F82" s="16">
        <f>IFERROR('Cash Flow Statement'!H13,0)</f>
        <v>-35304</v>
      </c>
      <c r="G82" s="16">
        <f>IFERROR('Cash Flow Statement'!I13,0)</f>
        <v>-29702</v>
      </c>
      <c r="H82" s="16">
        <f>IFERROR('Cash Flow Statement'!J13,0)</f>
        <v>-20205</v>
      </c>
      <c r="I82" s="16">
        <f>IFERROR('Cash Flow Statement'!K13,0)</f>
        <v>-15168</v>
      </c>
      <c r="J82" s="16">
        <f>IFERROR('Cash Flow Statement'!L13,0)</f>
        <v>-19230</v>
      </c>
      <c r="K82" s="16">
        <f>IFERROR('Cash Flow Statement'!M13,0)</f>
        <v>-31414</v>
      </c>
      <c r="L82" s="16">
        <f>IFERROR('Cash Flow Statement'!N13,0)</f>
        <v>-38042</v>
      </c>
    </row>
    <row r="83" spans="2:12" x14ac:dyDescent="0.3">
      <c r="B83" t="s">
        <v>108</v>
      </c>
      <c r="C83" s="16">
        <f>IFERROR('Cash Flow Statement'!E14,0)</f>
        <v>59</v>
      </c>
      <c r="D83" s="16">
        <f>IFERROR('Cash Flow Statement'!F14,0)</f>
        <v>53</v>
      </c>
      <c r="E83" s="16">
        <f>IFERROR('Cash Flow Statement'!G14,0)</f>
        <v>30</v>
      </c>
      <c r="F83" s="16">
        <f>IFERROR('Cash Flow Statement'!H14,0)</f>
        <v>67</v>
      </c>
      <c r="G83" s="16">
        <f>IFERROR('Cash Flow Statement'!I14,0)</f>
        <v>171</v>
      </c>
      <c r="H83" s="16">
        <f>IFERROR('Cash Flow Statement'!J14,0)</f>
        <v>351</v>
      </c>
      <c r="I83" s="16">
        <f>IFERROR('Cash Flow Statement'!K14,0)</f>
        <v>230</v>
      </c>
      <c r="J83" s="16">
        <f>IFERROR('Cash Flow Statement'!L14,0)</f>
        <v>285</v>
      </c>
      <c r="K83" s="16">
        <f>IFERROR('Cash Flow Statement'!M14,0)</f>
        <v>231</v>
      </c>
      <c r="L83" s="16">
        <f>IFERROR('Cash Flow Statement'!N14,0)</f>
        <v>974</v>
      </c>
    </row>
    <row r="84" spans="2:12" x14ac:dyDescent="0.3">
      <c r="B84" t="s">
        <v>109</v>
      </c>
      <c r="C84" s="16">
        <f>IFERROR('Cash Flow Statement'!E15,0)</f>
        <v>-4728</v>
      </c>
      <c r="D84" s="16">
        <f>IFERROR('Cash Flow Statement'!F15,0)</f>
        <v>-6</v>
      </c>
      <c r="E84" s="16">
        <f>IFERROR('Cash Flow Statement'!G15,0)</f>
        <v>-329</v>
      </c>
      <c r="F84" s="16">
        <f>IFERROR('Cash Flow Statement'!H15,0)</f>
        <v>-130</v>
      </c>
      <c r="G84" s="16">
        <f>IFERROR('Cash Flow Statement'!I15,0)</f>
        <v>-1439</v>
      </c>
      <c r="H84" s="16">
        <f>IFERROR('Cash Flow Statement'!J15,0)</f>
        <v>-7530</v>
      </c>
      <c r="I84" s="16">
        <f>IFERROR('Cash Flow Statement'!K15,0)</f>
        <v>-3008</v>
      </c>
      <c r="J84" s="16">
        <f>IFERROR('Cash Flow Statement'!L15,0)</f>
        <v>-50</v>
      </c>
      <c r="K84" s="16">
        <f>IFERROR('Cash Flow Statement'!M15,0)</f>
        <v>-74</v>
      </c>
      <c r="L84" s="16">
        <f>IFERROR('Cash Flow Statement'!N15,0)</f>
        <v>-12677</v>
      </c>
    </row>
    <row r="85" spans="2:12" x14ac:dyDescent="0.3">
      <c r="B85" t="s">
        <v>110</v>
      </c>
      <c r="C85" s="16">
        <f>IFERROR('Cash Flow Statement'!E16,0)</f>
        <v>89</v>
      </c>
      <c r="D85" s="16">
        <f>IFERROR('Cash Flow Statement'!F16,0)</f>
        <v>1965</v>
      </c>
      <c r="E85" s="16">
        <f>IFERROR('Cash Flow Statement'!G16,0)</f>
        <v>2381</v>
      </c>
      <c r="F85" s="16">
        <f>IFERROR('Cash Flow Statement'!H16,0)</f>
        <v>5644</v>
      </c>
      <c r="G85" s="16">
        <f>IFERROR('Cash Flow Statement'!I16,0)</f>
        <v>21</v>
      </c>
      <c r="H85" s="16">
        <f>IFERROR('Cash Flow Statement'!J16,0)</f>
        <v>226</v>
      </c>
      <c r="I85" s="16">
        <f>IFERROR('Cash Flow Statement'!K16,0)</f>
        <v>104</v>
      </c>
      <c r="J85" s="16">
        <f>IFERROR('Cash Flow Statement'!L16,0)</f>
        <v>6895</v>
      </c>
      <c r="K85" s="16">
        <f>IFERROR('Cash Flow Statement'!M16,0)</f>
        <v>10821</v>
      </c>
      <c r="L85" s="16">
        <f>IFERROR('Cash Flow Statement'!N16,0)</f>
        <v>111</v>
      </c>
    </row>
    <row r="86" spans="2:12" x14ac:dyDescent="0.3">
      <c r="B86" t="s">
        <v>111</v>
      </c>
      <c r="C86" s="16">
        <f>IFERROR('Cash Flow Statement'!E17,0)</f>
        <v>731</v>
      </c>
      <c r="D86" s="16">
        <f>IFERROR('Cash Flow Statement'!F17,0)</f>
        <v>638</v>
      </c>
      <c r="E86" s="16">
        <f>IFERROR('Cash Flow Statement'!G17,0)</f>
        <v>690</v>
      </c>
      <c r="F86" s="16">
        <f>IFERROR('Cash Flow Statement'!H17,0)</f>
        <v>761</v>
      </c>
      <c r="G86" s="16">
        <f>IFERROR('Cash Flow Statement'!I17,0)</f>
        <v>1104</v>
      </c>
      <c r="H86" s="16">
        <f>IFERROR('Cash Flow Statement'!J17,0)</f>
        <v>428</v>
      </c>
      <c r="I86" s="16">
        <f>IFERROR('Cash Flow Statement'!K17,0)</f>
        <v>653</v>
      </c>
      <c r="J86" s="16">
        <f>IFERROR('Cash Flow Statement'!L17,0)</f>
        <v>973</v>
      </c>
      <c r="K86" s="16">
        <f>IFERROR('Cash Flow Statement'!M17,0)</f>
        <v>2493</v>
      </c>
      <c r="L86" s="16">
        <f>IFERROR('Cash Flow Statement'!N17,0)</f>
        <v>2420</v>
      </c>
    </row>
    <row r="87" spans="2:12" x14ac:dyDescent="0.3">
      <c r="B87" t="s">
        <v>112</v>
      </c>
      <c r="C87" s="16">
        <f>IFERROR('Cash Flow Statement'!E18,0)</f>
        <v>58</v>
      </c>
      <c r="D87" s="16">
        <f>IFERROR('Cash Flow Statement'!F18,0)</f>
        <v>620</v>
      </c>
      <c r="E87" s="16">
        <f>IFERROR('Cash Flow Statement'!G18,0)</f>
        <v>1797</v>
      </c>
      <c r="F87" s="16">
        <f>IFERROR('Cash Flow Statement'!H18,0)</f>
        <v>232</v>
      </c>
      <c r="G87" s="16">
        <f>IFERROR('Cash Flow Statement'!I18,0)</f>
        <v>21</v>
      </c>
      <c r="H87" s="16">
        <f>IFERROR('Cash Flow Statement'!J18,0)</f>
        <v>18</v>
      </c>
      <c r="I87" s="16">
        <f>IFERROR('Cash Flow Statement'!K18,0)</f>
        <v>32</v>
      </c>
      <c r="J87" s="16">
        <f>IFERROR('Cash Flow Statement'!L18,0)</f>
        <v>46</v>
      </c>
      <c r="K87" s="16">
        <f>IFERROR('Cash Flow Statement'!M18,0)</f>
        <v>47</v>
      </c>
      <c r="L87" s="16">
        <f>IFERROR('Cash Flow Statement'!N18,0)</f>
        <v>64</v>
      </c>
    </row>
    <row r="88" spans="2:12" x14ac:dyDescent="0.3">
      <c r="B88" t="s">
        <v>113</v>
      </c>
      <c r="C88" s="16">
        <f>IFERROR('Cash Flow Statement'!E19,0)</f>
        <v>0</v>
      </c>
      <c r="D88" s="16">
        <f>IFERROR('Cash Flow Statement'!F19,0)</f>
        <v>-107</v>
      </c>
      <c r="E88" s="16">
        <f>IFERROR('Cash Flow Statement'!G19,0)</f>
        <v>-4</v>
      </c>
      <c r="F88" s="16">
        <f>IFERROR('Cash Flow Statement'!H19,0)</f>
        <v>-9</v>
      </c>
      <c r="G88" s="16">
        <f>IFERROR('Cash Flow Statement'!I19,0)</f>
        <v>-606</v>
      </c>
      <c r="H88" s="16">
        <f>IFERROR('Cash Flow Statement'!J19,0)</f>
        <v>-10</v>
      </c>
      <c r="I88" s="16">
        <f>IFERROR('Cash Flow Statement'!K19,0)</f>
        <v>0</v>
      </c>
      <c r="J88" s="16">
        <f>IFERROR('Cash Flow Statement'!L19,0)</f>
        <v>0</v>
      </c>
      <c r="K88" s="16">
        <f>IFERROR('Cash Flow Statement'!M19,0)</f>
        <v>-150</v>
      </c>
      <c r="L88" s="16">
        <f>IFERROR('Cash Flow Statement'!N19,0)</f>
        <v>0</v>
      </c>
    </row>
    <row r="89" spans="2:12" x14ac:dyDescent="0.3">
      <c r="B89" t="s">
        <v>114</v>
      </c>
      <c r="C89" s="16">
        <f>IFERROR('Cash Flow Statement'!E20,0)</f>
        <v>0</v>
      </c>
      <c r="D89" s="16">
        <f>IFERROR('Cash Flow Statement'!F20,0)</f>
        <v>0</v>
      </c>
      <c r="E89" s="16">
        <f>IFERROR('Cash Flow Statement'!G20,0)</f>
        <v>14</v>
      </c>
      <c r="F89" s="16">
        <f>IFERROR('Cash Flow Statement'!H20,0)</f>
        <v>533</v>
      </c>
      <c r="G89" s="16">
        <f>IFERROR('Cash Flow Statement'!I20,0)</f>
        <v>0</v>
      </c>
      <c r="H89" s="16">
        <f>IFERROR('Cash Flow Statement'!J20,0)</f>
        <v>0</v>
      </c>
      <c r="I89" s="16">
        <f>IFERROR('Cash Flow Statement'!K20,0)</f>
        <v>0</v>
      </c>
      <c r="J89" s="16">
        <f>IFERROR('Cash Flow Statement'!L20,0)</f>
        <v>19</v>
      </c>
      <c r="K89" s="16">
        <f>IFERROR('Cash Flow Statement'!M20,0)</f>
        <v>107</v>
      </c>
      <c r="L89" s="16">
        <f>IFERROR('Cash Flow Statement'!N20,0)</f>
        <v>765</v>
      </c>
    </row>
    <row r="90" spans="2:12" x14ac:dyDescent="0.3">
      <c r="B90" t="s">
        <v>115</v>
      </c>
      <c r="C90" s="16">
        <f>IFERROR('Cash Flow Statement'!E21,0)</f>
        <v>-111</v>
      </c>
      <c r="D90" s="16">
        <f>IFERROR('Cash Flow Statement'!F21,0)</f>
        <v>0</v>
      </c>
      <c r="E90" s="16">
        <f>IFERROR('Cash Flow Statement'!G21,0)</f>
        <v>0</v>
      </c>
      <c r="F90" s="16">
        <f>IFERROR('Cash Flow Statement'!H21,0)</f>
        <v>-8</v>
      </c>
      <c r="G90" s="16">
        <f>IFERROR('Cash Flow Statement'!I21,0)</f>
        <v>-27</v>
      </c>
      <c r="H90" s="16">
        <f>IFERROR('Cash Flow Statement'!J21,0)</f>
        <v>0</v>
      </c>
      <c r="I90" s="16">
        <f>IFERROR('Cash Flow Statement'!K21,0)</f>
        <v>-98</v>
      </c>
      <c r="J90" s="16">
        <f>IFERROR('Cash Flow Statement'!L21,0)</f>
        <v>0</v>
      </c>
      <c r="K90" s="16">
        <f>IFERROR('Cash Flow Statement'!M21,0)</f>
        <v>0</v>
      </c>
      <c r="L90" s="16">
        <f>IFERROR('Cash Flow Statement'!N21,0)</f>
        <v>-688</v>
      </c>
    </row>
    <row r="91" spans="2:12" x14ac:dyDescent="0.3">
      <c r="B91" t="s">
        <v>116</v>
      </c>
      <c r="C91" s="16">
        <f>IFERROR('Cash Flow Statement'!E22,0)</f>
        <v>0</v>
      </c>
      <c r="D91" s="16">
        <f>IFERROR('Cash Flow Statement'!F22,0)</f>
        <v>0</v>
      </c>
      <c r="E91" s="16">
        <f>IFERROR('Cash Flow Statement'!G22,0)</f>
        <v>0</v>
      </c>
      <c r="F91" s="16">
        <f>IFERROR('Cash Flow Statement'!H22,0)</f>
        <v>0</v>
      </c>
      <c r="G91" s="16">
        <f>IFERROR('Cash Flow Statement'!I22,0)</f>
        <v>0</v>
      </c>
      <c r="H91" s="16">
        <f>IFERROR('Cash Flow Statement'!J22,0)</f>
        <v>0</v>
      </c>
      <c r="I91" s="16">
        <f>IFERROR('Cash Flow Statement'!K22,0)</f>
        <v>0</v>
      </c>
      <c r="J91" s="16">
        <f>IFERROR('Cash Flow Statement'!L22,0)</f>
        <v>0</v>
      </c>
      <c r="K91" s="16">
        <f>IFERROR('Cash Flow Statement'!M22,0)</f>
        <v>-25</v>
      </c>
      <c r="L91" s="16">
        <f>IFERROR('Cash Flow Statement'!N22,0)</f>
        <v>-20</v>
      </c>
    </row>
    <row r="92" spans="2:12" x14ac:dyDescent="0.3">
      <c r="B92" t="s">
        <v>117</v>
      </c>
      <c r="C92" s="16">
        <f>IFERROR('Cash Flow Statement'!E23,0)</f>
        <v>-1289</v>
      </c>
      <c r="D92" s="16">
        <f>IFERROR('Cash Flow Statement'!F23,0)</f>
        <v>-26663</v>
      </c>
      <c r="E92" s="16">
        <f>IFERROR('Cash Flow Statement'!G23,0)</f>
        <v>5360</v>
      </c>
      <c r="F92" s="16">
        <f>IFERROR('Cash Flow Statement'!H23,0)</f>
        <v>7335</v>
      </c>
      <c r="G92" s="16">
        <f>IFERROR('Cash Flow Statement'!I23,0)</f>
        <v>-2659</v>
      </c>
      <c r="H92" s="16">
        <f>IFERROR('Cash Flow Statement'!J23,0)</f>
        <v>1051</v>
      </c>
      <c r="I92" s="16">
        <f>IFERROR('Cash Flow Statement'!K23,0)</f>
        <v>12813</v>
      </c>
      <c r="J92" s="16">
        <f>IFERROR('Cash Flow Statement'!L23,0)</f>
        <v>-4357</v>
      </c>
      <c r="K92" s="16">
        <f>IFERROR('Cash Flow Statement'!M23,0)</f>
        <v>-4817</v>
      </c>
      <c r="L92" s="16">
        <f>IFERROR('Cash Flow Statement'!N23,0)</f>
        <v>-2889</v>
      </c>
    </row>
    <row r="93" spans="2:12" x14ac:dyDescent="0.3">
      <c r="B93" s="2" t="s">
        <v>133</v>
      </c>
      <c r="C93" s="28">
        <f>SUM(C82:C92)</f>
        <v>-36694</v>
      </c>
      <c r="D93" s="28">
        <f t="shared" ref="D93:L93" si="23">SUM(D82:D92)</f>
        <v>-39572</v>
      </c>
      <c r="E93" s="28">
        <f t="shared" si="23"/>
        <v>-25140</v>
      </c>
      <c r="F93" s="28">
        <f t="shared" si="23"/>
        <v>-20879</v>
      </c>
      <c r="G93" s="28">
        <f t="shared" si="23"/>
        <v>-33116</v>
      </c>
      <c r="H93" s="28">
        <f t="shared" si="23"/>
        <v>-25671</v>
      </c>
      <c r="I93" s="28">
        <f t="shared" si="23"/>
        <v>-4442</v>
      </c>
      <c r="J93" s="28">
        <f t="shared" si="23"/>
        <v>-15419</v>
      </c>
      <c r="K93" s="28">
        <f t="shared" si="23"/>
        <v>-22781</v>
      </c>
      <c r="L93" s="28">
        <f t="shared" si="23"/>
        <v>-49982</v>
      </c>
    </row>
    <row r="95" spans="2:12" x14ac:dyDescent="0.3">
      <c r="B95" s="2" t="s">
        <v>134</v>
      </c>
    </row>
    <row r="96" spans="2:12" x14ac:dyDescent="0.3">
      <c r="B96" t="s">
        <v>118</v>
      </c>
      <c r="C96" s="16">
        <f>IFERROR('Cash Flow Statement'!E25,0)</f>
        <v>7433</v>
      </c>
      <c r="D96" s="16">
        <f>IFERROR('Cash Flow Statement'!F25,0)</f>
        <v>5</v>
      </c>
      <c r="E96" s="16">
        <f>IFERROR('Cash Flow Statement'!G25,0)</f>
        <v>0</v>
      </c>
      <c r="F96" s="16">
        <f>IFERROR('Cash Flow Statement'!H25,0)</f>
        <v>0</v>
      </c>
      <c r="G96" s="16">
        <f>IFERROR('Cash Flow Statement'!I25,0)</f>
        <v>3889</v>
      </c>
      <c r="H96" s="16">
        <f>IFERROR('Cash Flow Statement'!J25,0)</f>
        <v>2603</v>
      </c>
      <c r="I96" s="16">
        <f>IFERROR('Cash Flow Statement'!K25,0)</f>
        <v>19</v>
      </c>
      <c r="J96" s="16">
        <f>IFERROR('Cash Flow Statement'!L25,0)</f>
        <v>20</v>
      </c>
      <c r="K96" s="16">
        <f>IFERROR('Cash Flow Statement'!M25,0)</f>
        <v>82</v>
      </c>
      <c r="L96" s="16">
        <f>IFERROR('Cash Flow Statement'!N25,0)</f>
        <v>1108</v>
      </c>
    </row>
    <row r="97" spans="2:13" x14ac:dyDescent="0.3">
      <c r="B97" t="s">
        <v>119</v>
      </c>
      <c r="C97" s="16">
        <f>IFERROR('Cash Flow Statement'!E26,0)</f>
        <v>0</v>
      </c>
      <c r="D97" s="16">
        <f>IFERROR('Cash Flow Statement'!F26,0)</f>
        <v>0</v>
      </c>
      <c r="E97" s="16">
        <f>IFERROR('Cash Flow Statement'!G26,0)</f>
        <v>0</v>
      </c>
      <c r="F97" s="16">
        <f>IFERROR('Cash Flow Statement'!H26,0)</f>
        <v>0</v>
      </c>
      <c r="G97" s="16">
        <f>IFERROR('Cash Flow Statement'!I26,0)</f>
        <v>0</v>
      </c>
      <c r="H97" s="16">
        <f>IFERROR('Cash Flow Statement'!J26,0)</f>
        <v>0</v>
      </c>
      <c r="I97" s="16">
        <f>IFERROR('Cash Flow Statement'!K26,0)</f>
        <v>0</v>
      </c>
      <c r="J97" s="16">
        <f>IFERROR('Cash Flow Statement'!L26,0)</f>
        <v>0</v>
      </c>
      <c r="K97" s="16">
        <f>IFERROR('Cash Flow Statement'!M26,0)</f>
        <v>0</v>
      </c>
      <c r="L97" s="16">
        <f>IFERROR('Cash Flow Statement'!N26,0)</f>
        <v>0</v>
      </c>
    </row>
    <row r="98" spans="2:13" x14ac:dyDescent="0.3">
      <c r="B98" t="s">
        <v>120</v>
      </c>
      <c r="C98" s="16">
        <f>IFERROR('Cash Flow Statement'!E27,0)</f>
        <v>19519</v>
      </c>
      <c r="D98" s="16">
        <f>IFERROR('Cash Flow Statement'!F27,0)</f>
        <v>33390</v>
      </c>
      <c r="E98" s="16">
        <f>IFERROR('Cash Flow Statement'!G27,0)</f>
        <v>37482</v>
      </c>
      <c r="F98" s="16">
        <f>IFERROR('Cash Flow Statement'!H27,0)</f>
        <v>51128</v>
      </c>
      <c r="G98" s="16">
        <f>IFERROR('Cash Flow Statement'!I27,0)</f>
        <v>38297</v>
      </c>
      <c r="H98" s="16">
        <f>IFERROR('Cash Flow Statement'!J27,0)</f>
        <v>46641</v>
      </c>
      <c r="I98" s="16">
        <f>IFERROR('Cash Flow Statement'!K27,0)</f>
        <v>46578</v>
      </c>
      <c r="J98" s="16">
        <f>IFERROR('Cash Flow Statement'!L27,0)</f>
        <v>43934</v>
      </c>
      <c r="K98" s="16">
        <f>IFERROR('Cash Flow Statement'!M27,0)</f>
        <v>18829</v>
      </c>
      <c r="L98" s="16">
        <f>IFERROR('Cash Flow Statement'!N27,0)</f>
        <v>13384</v>
      </c>
    </row>
    <row r="99" spans="2:13" x14ac:dyDescent="0.3">
      <c r="B99" t="s">
        <v>121</v>
      </c>
      <c r="C99" s="16">
        <f>IFERROR('Cash Flow Statement'!E28,0)</f>
        <v>-24924</v>
      </c>
      <c r="D99" s="16">
        <f>IFERROR('Cash Flow Statement'!F28,0)</f>
        <v>-21732</v>
      </c>
      <c r="E99" s="16">
        <f>IFERROR('Cash Flow Statement'!G28,0)</f>
        <v>-29964</v>
      </c>
      <c r="F99" s="16">
        <f>IFERROR('Cash Flow Statement'!H28,0)</f>
        <v>-35198</v>
      </c>
      <c r="G99" s="16">
        <f>IFERROR('Cash Flow Statement'!I28,0)</f>
        <v>-29847</v>
      </c>
      <c r="H99" s="16">
        <f>IFERROR('Cash Flow Statement'!J28,0)</f>
        <v>-29709</v>
      </c>
      <c r="I99" s="16">
        <f>IFERROR('Cash Flow Statement'!K28,0)</f>
        <v>-42816</v>
      </c>
      <c r="J99" s="16">
        <f>IFERROR('Cash Flow Statement'!L28,0)</f>
        <v>-62557</v>
      </c>
      <c r="K99" s="16">
        <f>IFERROR('Cash Flow Statement'!M28,0)</f>
        <v>-47414</v>
      </c>
      <c r="L99" s="16">
        <f>IFERROR('Cash Flow Statement'!N28,0)</f>
        <v>-21443</v>
      </c>
    </row>
    <row r="100" spans="2:13" x14ac:dyDescent="0.3">
      <c r="B100" t="s">
        <v>122</v>
      </c>
      <c r="C100" s="16">
        <f>IFERROR('Cash Flow Statement'!E29,0)</f>
        <v>-5716</v>
      </c>
      <c r="D100" s="16">
        <f>IFERROR('Cash Flow Statement'!F29,0)</f>
        <v>-5336</v>
      </c>
      <c r="E100" s="16">
        <f>IFERROR('Cash Flow Statement'!G29,0)</f>
        <v>-5411</v>
      </c>
      <c r="F100" s="16">
        <f>IFERROR('Cash Flow Statement'!H29,0)</f>
        <v>-7005</v>
      </c>
      <c r="G100" s="16">
        <f>IFERROR('Cash Flow Statement'!I29,0)</f>
        <v>-7518</v>
      </c>
      <c r="H100" s="16">
        <f>IFERROR('Cash Flow Statement'!J29,0)</f>
        <v>-8123</v>
      </c>
      <c r="I100" s="16">
        <f>IFERROR('Cash Flow Statement'!K29,0)</f>
        <v>-9251</v>
      </c>
      <c r="J100" s="16">
        <f>IFERROR('Cash Flow Statement'!L29,0)</f>
        <v>-9336</v>
      </c>
      <c r="K100" s="16">
        <f>IFERROR('Cash Flow Statement'!M29,0)</f>
        <v>-9332</v>
      </c>
      <c r="L100" s="16">
        <f>IFERROR('Cash Flow Statement'!N29,0)</f>
        <v>-5814</v>
      </c>
    </row>
    <row r="101" spans="2:13" x14ac:dyDescent="0.3">
      <c r="B101" t="s">
        <v>123</v>
      </c>
      <c r="C101" s="16">
        <f>IFERROR('Cash Flow Statement'!E30,0)</f>
        <v>-108</v>
      </c>
      <c r="D101" s="16">
        <f>IFERROR('Cash Flow Statement'!F30,0)</f>
        <v>-121</v>
      </c>
      <c r="E101" s="16">
        <f>IFERROR('Cash Flow Statement'!G30,0)</f>
        <v>-96</v>
      </c>
      <c r="F101" s="16">
        <f>IFERROR('Cash Flow Statement'!H30,0)</f>
        <v>-95</v>
      </c>
      <c r="G101" s="16">
        <f>IFERROR('Cash Flow Statement'!I30,0)</f>
        <v>-57</v>
      </c>
      <c r="H101" s="16">
        <f>IFERROR('Cash Flow Statement'!J30,0)</f>
        <v>-30</v>
      </c>
      <c r="I101" s="16">
        <f>IFERROR('Cash Flow Statement'!K30,0)</f>
        <v>-100</v>
      </c>
      <c r="J101" s="16">
        <f>IFERROR('Cash Flow Statement'!L30,0)</f>
        <v>-141</v>
      </c>
      <c r="K101" s="16">
        <f>IFERROR('Cash Flow Statement'!M30,0)</f>
        <v>-1059</v>
      </c>
      <c r="L101" s="16">
        <f>IFERROR('Cash Flow Statement'!N30,0)</f>
        <v>-2492</v>
      </c>
    </row>
    <row r="102" spans="2:13" x14ac:dyDescent="0.3">
      <c r="B102" t="s">
        <v>124</v>
      </c>
      <c r="C102" s="16">
        <f>IFERROR('Cash Flow Statement'!E31,0)</f>
        <v>0</v>
      </c>
      <c r="D102" s="16">
        <f>IFERROR('Cash Flow Statement'!F31,0)</f>
        <v>0</v>
      </c>
      <c r="E102" s="16">
        <f>IFERROR('Cash Flow Statement'!G31,0)</f>
        <v>0</v>
      </c>
      <c r="F102" s="16">
        <f>IFERROR('Cash Flow Statement'!H31,0)</f>
        <v>0</v>
      </c>
      <c r="G102" s="16">
        <f>IFERROR('Cash Flow Statement'!I31,0)</f>
        <v>-1346</v>
      </c>
      <c r="H102" s="16">
        <f>IFERROR('Cash Flow Statement'!J31,0)</f>
        <v>-1477</v>
      </c>
      <c r="I102" s="16">
        <f>IFERROR('Cash Flow Statement'!K31,0)</f>
        <v>-1559</v>
      </c>
      <c r="J102" s="16">
        <f>IFERROR('Cash Flow Statement'!L31,0)</f>
        <v>-1517</v>
      </c>
      <c r="K102" s="16">
        <f>IFERROR('Cash Flow Statement'!M31,0)</f>
        <v>-1924</v>
      </c>
      <c r="L102" s="16">
        <f>IFERROR('Cash Flow Statement'!N31,0)</f>
        <v>-2393</v>
      </c>
    </row>
    <row r="103" spans="2:13" x14ac:dyDescent="0.3">
      <c r="B103" t="s">
        <v>125</v>
      </c>
      <c r="C103" s="16">
        <f>IFERROR('Cash Flow Statement'!E32,0)</f>
        <v>0</v>
      </c>
      <c r="D103" s="16">
        <f>IFERROR('Cash Flow Statement'!F32,0)</f>
        <v>0</v>
      </c>
      <c r="E103" s="16">
        <f>IFERROR('Cash Flow Statement'!G32,0)</f>
        <v>0</v>
      </c>
      <c r="F103" s="16">
        <f>IFERROR('Cash Flow Statement'!H32,0)</f>
        <v>0</v>
      </c>
      <c r="G103" s="16">
        <f>IFERROR('Cash Flow Statement'!I32,0)</f>
        <v>-29</v>
      </c>
      <c r="H103" s="16">
        <f>IFERROR('Cash Flow Statement'!J32,0)</f>
        <v>0</v>
      </c>
      <c r="I103" s="16">
        <f>IFERROR('Cash Flow Statement'!K32,0)</f>
        <v>3750</v>
      </c>
      <c r="J103" s="16">
        <f>IFERROR('Cash Flow Statement'!L32,0)</f>
        <v>3355</v>
      </c>
      <c r="K103" s="16">
        <f>IFERROR('Cash Flow Statement'!M32,0)</f>
        <v>3812</v>
      </c>
      <c r="L103" s="16">
        <f>IFERROR('Cash Flow Statement'!N32,0)</f>
        <v>-1136</v>
      </c>
    </row>
    <row r="104" spans="2:13" x14ac:dyDescent="0.3">
      <c r="B104" s="2" t="s">
        <v>135</v>
      </c>
      <c r="C104" s="28">
        <f>SUM(C96:C103)</f>
        <v>-3796</v>
      </c>
      <c r="D104" s="28">
        <f t="shared" ref="D104:L104" si="24">SUM(D96:D103)</f>
        <v>6206</v>
      </c>
      <c r="E104" s="28">
        <f t="shared" si="24"/>
        <v>2011</v>
      </c>
      <c r="F104" s="28">
        <f t="shared" si="24"/>
        <v>8830</v>
      </c>
      <c r="G104" s="28">
        <f t="shared" si="24"/>
        <v>3389</v>
      </c>
      <c r="H104" s="28">
        <f t="shared" si="24"/>
        <v>9905</v>
      </c>
      <c r="I104" s="28">
        <f t="shared" si="24"/>
        <v>-3379</v>
      </c>
      <c r="J104" s="28">
        <f t="shared" si="24"/>
        <v>-26242</v>
      </c>
      <c r="K104" s="28">
        <f t="shared" si="24"/>
        <v>-37006</v>
      </c>
      <c r="L104" s="28">
        <f t="shared" si="24"/>
        <v>-18786</v>
      </c>
    </row>
    <row r="106" spans="2:13" s="2" customFormat="1" x14ac:dyDescent="0.3">
      <c r="B106" s="2" t="s">
        <v>21</v>
      </c>
      <c r="C106" s="28">
        <f>IFERROR(SUM(C79,C93,C104),0)</f>
        <v>-1278</v>
      </c>
      <c r="D106" s="28">
        <f t="shared" ref="D106:L106" si="25">IFERROR(SUM(D79,D93,D104),0)</f>
        <v>88</v>
      </c>
      <c r="E106" s="28">
        <f t="shared" si="25"/>
        <v>-5706</v>
      </c>
      <c r="F106" s="28">
        <f t="shared" si="25"/>
        <v>-378</v>
      </c>
      <c r="G106" s="28">
        <f t="shared" si="25"/>
        <v>1971</v>
      </c>
      <c r="H106" s="28">
        <f t="shared" si="25"/>
        <v>13141</v>
      </c>
      <c r="I106" s="28">
        <f t="shared" si="25"/>
        <v>-4289</v>
      </c>
      <c r="J106" s="28">
        <f t="shared" si="25"/>
        <v>-9400</v>
      </c>
      <c r="K106" s="28">
        <f t="shared" si="25"/>
        <v>15453</v>
      </c>
      <c r="L106" s="28">
        <f t="shared" si="25"/>
        <v>2490</v>
      </c>
      <c r="M106" s="16"/>
    </row>
  </sheetData>
  <mergeCells count="1">
    <mergeCell ref="B2:M2"/>
  </mergeCells>
  <pageMargins left="0.7" right="0.7" top="0.75" bottom="0.75" header="0.3" footer="0.3"/>
  <ignoredErrors>
    <ignoredError sqref="M6 M9 C15:L15 M21 M24 M3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1994-79D4-4D75-8817-9CE600C65452}">
  <dimension ref="B2:N33"/>
  <sheetViews>
    <sheetView zoomScale="80" zoomScaleNormal="80" workbookViewId="0"/>
  </sheetViews>
  <sheetFormatPr defaultRowHeight="14.4" x14ac:dyDescent="0.3"/>
  <cols>
    <col min="2" max="2" width="37.88671875" customWidth="1"/>
    <col min="3" max="14" width="8.5546875" bestFit="1" customWidth="1"/>
  </cols>
  <sheetData>
    <row r="2" spans="2:14" x14ac:dyDescent="0.3">
      <c r="B2" s="30"/>
      <c r="C2" s="31">
        <v>41699</v>
      </c>
      <c r="D2" s="31">
        <v>42064</v>
      </c>
      <c r="E2" s="31">
        <v>42430</v>
      </c>
      <c r="F2" s="31">
        <v>42795</v>
      </c>
      <c r="G2" s="31">
        <v>43160</v>
      </c>
      <c r="H2" s="31">
        <v>43525</v>
      </c>
      <c r="I2" s="31">
        <v>43891</v>
      </c>
      <c r="J2" s="31">
        <v>44256</v>
      </c>
      <c r="K2" s="31">
        <v>44621</v>
      </c>
      <c r="L2" s="31">
        <v>44986</v>
      </c>
      <c r="M2" s="31">
        <v>45352</v>
      </c>
      <c r="N2" s="31">
        <v>45717</v>
      </c>
    </row>
    <row r="3" spans="2:14" x14ac:dyDescent="0.3">
      <c r="B3" s="32" t="s">
        <v>126</v>
      </c>
      <c r="C3" s="33">
        <v>36151</v>
      </c>
      <c r="D3" s="33">
        <v>35531</v>
      </c>
      <c r="E3" s="33">
        <v>37900</v>
      </c>
      <c r="F3" s="33">
        <v>30199</v>
      </c>
      <c r="G3" s="33">
        <v>23857</v>
      </c>
      <c r="H3" s="33">
        <v>18891</v>
      </c>
      <c r="I3" s="33">
        <v>26633</v>
      </c>
      <c r="J3" s="33">
        <v>29001</v>
      </c>
      <c r="K3" s="33">
        <v>14283</v>
      </c>
      <c r="L3" s="33">
        <v>35388</v>
      </c>
      <c r="M3" s="33">
        <v>67915</v>
      </c>
      <c r="N3" s="33">
        <v>63102</v>
      </c>
    </row>
    <row r="4" spans="2:14" x14ac:dyDescent="0.3">
      <c r="B4" s="34" t="s">
        <v>101</v>
      </c>
      <c r="C4" s="33">
        <v>36303</v>
      </c>
      <c r="D4" s="33">
        <v>43397</v>
      </c>
      <c r="E4" s="33">
        <v>38626</v>
      </c>
      <c r="F4" s="33">
        <v>28840</v>
      </c>
      <c r="G4" s="33">
        <v>33312</v>
      </c>
      <c r="H4" s="33">
        <v>28771</v>
      </c>
      <c r="I4" s="33">
        <v>23352</v>
      </c>
      <c r="J4" s="33">
        <v>31198</v>
      </c>
      <c r="K4" s="33">
        <v>26943</v>
      </c>
      <c r="L4" s="33">
        <v>41694</v>
      </c>
      <c r="M4" s="33">
        <v>65106</v>
      </c>
      <c r="N4" s="33">
        <v>58937</v>
      </c>
    </row>
    <row r="5" spans="2:14" x14ac:dyDescent="0.3">
      <c r="B5" s="35" t="s">
        <v>52</v>
      </c>
      <c r="C5" s="36">
        <v>445</v>
      </c>
      <c r="D5" s="37">
        <v>-3179</v>
      </c>
      <c r="E5" s="37">
        <v>-2223</v>
      </c>
      <c r="F5" s="37">
        <v>-4152</v>
      </c>
      <c r="G5" s="37">
        <v>-10688</v>
      </c>
      <c r="H5" s="37">
        <v>-9109</v>
      </c>
      <c r="I5" s="37">
        <v>9950</v>
      </c>
      <c r="J5" s="37">
        <v>-5505</v>
      </c>
      <c r="K5" s="36">
        <v>185</v>
      </c>
      <c r="L5" s="37">
        <v>-2213</v>
      </c>
      <c r="M5" s="37">
        <v>-1876</v>
      </c>
      <c r="N5" s="37">
        <v>3573</v>
      </c>
    </row>
    <row r="6" spans="2:14" x14ac:dyDescent="0.3">
      <c r="B6" s="35" t="s">
        <v>30</v>
      </c>
      <c r="C6" s="37">
        <v>-2853</v>
      </c>
      <c r="D6" s="37">
        <v>-3692</v>
      </c>
      <c r="E6" s="37">
        <v>-5743</v>
      </c>
      <c r="F6" s="37">
        <v>-6621</v>
      </c>
      <c r="G6" s="37">
        <v>-3560</v>
      </c>
      <c r="H6" s="37">
        <v>2069</v>
      </c>
      <c r="I6" s="37">
        <v>2326</v>
      </c>
      <c r="J6" s="37">
        <v>3814</v>
      </c>
      <c r="K6" s="36">
        <v>472</v>
      </c>
      <c r="L6" s="37">
        <v>-5665</v>
      </c>
      <c r="M6" s="37">
        <v>-7265</v>
      </c>
      <c r="N6" s="37">
        <v>2127</v>
      </c>
    </row>
    <row r="7" spans="2:14" x14ac:dyDescent="0.3">
      <c r="B7" s="35" t="s">
        <v>102</v>
      </c>
      <c r="C7" s="37">
        <v>4694</v>
      </c>
      <c r="D7" s="37">
        <v>3598</v>
      </c>
      <c r="E7" s="37">
        <v>3947</v>
      </c>
      <c r="F7" s="37">
        <v>9301</v>
      </c>
      <c r="G7" s="37">
        <v>7320</v>
      </c>
      <c r="H7" s="37">
        <v>-4692</v>
      </c>
      <c r="I7" s="37">
        <v>-8085</v>
      </c>
      <c r="J7" s="37">
        <v>5748</v>
      </c>
      <c r="K7" s="37">
        <v>-7012</v>
      </c>
      <c r="L7" s="37">
        <v>6945</v>
      </c>
      <c r="M7" s="37">
        <v>13706</v>
      </c>
      <c r="N7" s="37">
        <v>1303</v>
      </c>
    </row>
    <row r="8" spans="2:14" x14ac:dyDescent="0.3">
      <c r="B8" s="35" t="s">
        <v>103</v>
      </c>
      <c r="C8" s="36">
        <v>0</v>
      </c>
      <c r="D8" s="36">
        <v>0</v>
      </c>
      <c r="E8" s="36">
        <v>-520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</row>
    <row r="9" spans="2:14" x14ac:dyDescent="0.3">
      <c r="B9" s="35" t="s">
        <v>104</v>
      </c>
      <c r="C9" s="37">
        <v>1870</v>
      </c>
      <c r="D9" s="36">
        <v>-398</v>
      </c>
      <c r="E9" s="37">
        <v>5852</v>
      </c>
      <c r="F9" s="37">
        <v>4727</v>
      </c>
      <c r="G9" s="36">
        <v>494</v>
      </c>
      <c r="H9" s="37">
        <v>4512</v>
      </c>
      <c r="I9" s="36">
        <v>875</v>
      </c>
      <c r="J9" s="37">
        <v>-4150</v>
      </c>
      <c r="K9" s="37">
        <v>-4396</v>
      </c>
      <c r="L9" s="37">
        <v>-2194</v>
      </c>
      <c r="M9" s="37">
        <v>2760</v>
      </c>
      <c r="N9" s="37">
        <v>1153</v>
      </c>
    </row>
    <row r="10" spans="2:14" x14ac:dyDescent="0.3">
      <c r="B10" s="34" t="s">
        <v>105</v>
      </c>
      <c r="C10" s="33">
        <v>4157</v>
      </c>
      <c r="D10" s="33">
        <v>-3672</v>
      </c>
      <c r="E10" s="33">
        <v>1313</v>
      </c>
      <c r="F10" s="33">
        <v>3254</v>
      </c>
      <c r="G10" s="33">
        <v>-6434</v>
      </c>
      <c r="H10" s="33">
        <v>-7221</v>
      </c>
      <c r="I10" s="33">
        <v>5065</v>
      </c>
      <c r="J10" s="38">
        <v>-93</v>
      </c>
      <c r="K10" s="33">
        <v>-10750</v>
      </c>
      <c r="L10" s="33">
        <v>-3127</v>
      </c>
      <c r="M10" s="33">
        <v>7325</v>
      </c>
      <c r="N10" s="33">
        <v>8156</v>
      </c>
    </row>
    <row r="11" spans="2:14" x14ac:dyDescent="0.3">
      <c r="B11" s="35" t="s">
        <v>106</v>
      </c>
      <c r="C11" s="37">
        <v>-4308</v>
      </c>
      <c r="D11" s="37">
        <v>-4194</v>
      </c>
      <c r="E11" s="37">
        <v>-2040</v>
      </c>
      <c r="F11" s="37">
        <v>-1895</v>
      </c>
      <c r="G11" s="37">
        <v>-3021</v>
      </c>
      <c r="H11" s="37">
        <v>-2659</v>
      </c>
      <c r="I11" s="37">
        <v>-1785</v>
      </c>
      <c r="J11" s="37">
        <v>-2105</v>
      </c>
      <c r="K11" s="37">
        <v>-1910</v>
      </c>
      <c r="L11" s="37">
        <v>-3179</v>
      </c>
      <c r="M11" s="37">
        <v>-4516</v>
      </c>
      <c r="N11" s="37">
        <v>-3991</v>
      </c>
    </row>
    <row r="12" spans="2:14" x14ac:dyDescent="0.3">
      <c r="B12" s="39" t="s">
        <v>127</v>
      </c>
      <c r="C12" s="40">
        <v>-27991</v>
      </c>
      <c r="D12" s="40">
        <v>-36232</v>
      </c>
      <c r="E12" s="40">
        <v>-36694</v>
      </c>
      <c r="F12" s="40">
        <v>-39571</v>
      </c>
      <c r="G12" s="40">
        <v>-25139</v>
      </c>
      <c r="H12" s="40">
        <v>-20878</v>
      </c>
      <c r="I12" s="40">
        <v>-33115</v>
      </c>
      <c r="J12" s="40">
        <v>-25672</v>
      </c>
      <c r="K12" s="40">
        <v>-4444</v>
      </c>
      <c r="L12" s="40">
        <v>-15417</v>
      </c>
      <c r="M12" s="40">
        <v>-22781</v>
      </c>
      <c r="N12" s="40">
        <v>-49982</v>
      </c>
    </row>
    <row r="13" spans="2:14" x14ac:dyDescent="0.3">
      <c r="B13" s="41" t="s">
        <v>107</v>
      </c>
      <c r="C13" s="42">
        <v>-26975</v>
      </c>
      <c r="D13" s="42">
        <v>-31962</v>
      </c>
      <c r="E13" s="42">
        <v>-31503</v>
      </c>
      <c r="F13" s="42">
        <v>-16072</v>
      </c>
      <c r="G13" s="42">
        <v>-35079</v>
      </c>
      <c r="H13" s="42">
        <v>-35304</v>
      </c>
      <c r="I13" s="42">
        <v>-29702</v>
      </c>
      <c r="J13" s="42">
        <v>-20205</v>
      </c>
      <c r="K13" s="42">
        <v>-15168</v>
      </c>
      <c r="L13" s="42">
        <v>-19230</v>
      </c>
      <c r="M13" s="42">
        <v>-31414</v>
      </c>
      <c r="N13" s="42">
        <v>-38042</v>
      </c>
    </row>
    <row r="14" spans="2:14" x14ac:dyDescent="0.3">
      <c r="B14" s="41" t="s">
        <v>108</v>
      </c>
      <c r="C14" s="43">
        <v>50</v>
      </c>
      <c r="D14" s="43">
        <v>74</v>
      </c>
      <c r="E14" s="43">
        <v>59</v>
      </c>
      <c r="F14" s="43">
        <v>53</v>
      </c>
      <c r="G14" s="43">
        <v>30</v>
      </c>
      <c r="H14" s="43">
        <v>67</v>
      </c>
      <c r="I14" s="43">
        <v>171</v>
      </c>
      <c r="J14" s="43">
        <v>351</v>
      </c>
      <c r="K14" s="43">
        <v>230</v>
      </c>
      <c r="L14" s="43">
        <v>285</v>
      </c>
      <c r="M14" s="43">
        <v>231</v>
      </c>
      <c r="N14" s="43">
        <v>974</v>
      </c>
    </row>
    <row r="15" spans="2:14" x14ac:dyDescent="0.3">
      <c r="B15" s="41" t="s">
        <v>109</v>
      </c>
      <c r="C15" s="43">
        <v>-429</v>
      </c>
      <c r="D15" s="42">
        <v>-5461</v>
      </c>
      <c r="E15" s="42">
        <v>-4728</v>
      </c>
      <c r="F15" s="43">
        <v>-6</v>
      </c>
      <c r="G15" s="43">
        <v>-329</v>
      </c>
      <c r="H15" s="43">
        <v>-130</v>
      </c>
      <c r="I15" s="42">
        <v>-1439</v>
      </c>
      <c r="J15" s="42">
        <v>-7530</v>
      </c>
      <c r="K15" s="42">
        <v>-3008</v>
      </c>
      <c r="L15" s="43">
        <v>-50</v>
      </c>
      <c r="M15" s="43">
        <v>-74</v>
      </c>
      <c r="N15" s="42">
        <v>-12677</v>
      </c>
    </row>
    <row r="16" spans="2:14" x14ac:dyDescent="0.3">
      <c r="B16" s="41" t="s">
        <v>110</v>
      </c>
      <c r="C16" s="43">
        <v>4</v>
      </c>
      <c r="D16" s="43">
        <v>42</v>
      </c>
      <c r="E16" s="43">
        <v>89</v>
      </c>
      <c r="F16" s="42">
        <v>1965</v>
      </c>
      <c r="G16" s="42">
        <v>2381</v>
      </c>
      <c r="H16" s="42">
        <v>5644</v>
      </c>
      <c r="I16" s="43">
        <v>21</v>
      </c>
      <c r="J16" s="43">
        <v>226</v>
      </c>
      <c r="K16" s="43">
        <v>104</v>
      </c>
      <c r="L16" s="42">
        <v>6895</v>
      </c>
      <c r="M16" s="42">
        <v>10821</v>
      </c>
      <c r="N16" s="43">
        <v>111</v>
      </c>
    </row>
    <row r="17" spans="2:14" x14ac:dyDescent="0.3">
      <c r="B17" s="41" t="s">
        <v>111</v>
      </c>
      <c r="C17" s="43">
        <v>653</v>
      </c>
      <c r="D17" s="43">
        <v>698</v>
      </c>
      <c r="E17" s="43">
        <v>731</v>
      </c>
      <c r="F17" s="43">
        <v>638</v>
      </c>
      <c r="G17" s="43">
        <v>690</v>
      </c>
      <c r="H17" s="43">
        <v>761</v>
      </c>
      <c r="I17" s="42">
        <v>1104</v>
      </c>
      <c r="J17" s="43">
        <v>428</v>
      </c>
      <c r="K17" s="43">
        <v>653</v>
      </c>
      <c r="L17" s="43">
        <v>973</v>
      </c>
      <c r="M17" s="42">
        <v>2493</v>
      </c>
      <c r="N17" s="42">
        <v>2420</v>
      </c>
    </row>
    <row r="18" spans="2:14" x14ac:dyDescent="0.3">
      <c r="B18" s="41" t="s">
        <v>112</v>
      </c>
      <c r="C18" s="43">
        <v>40</v>
      </c>
      <c r="D18" s="43">
        <v>80</v>
      </c>
      <c r="E18" s="43">
        <v>58</v>
      </c>
      <c r="F18" s="43">
        <v>620</v>
      </c>
      <c r="G18" s="42">
        <v>1797</v>
      </c>
      <c r="H18" s="43">
        <v>232</v>
      </c>
      <c r="I18" s="43">
        <v>21</v>
      </c>
      <c r="J18" s="43">
        <v>18</v>
      </c>
      <c r="K18" s="43">
        <v>32</v>
      </c>
      <c r="L18" s="43">
        <v>46</v>
      </c>
      <c r="M18" s="43">
        <v>47</v>
      </c>
      <c r="N18" s="43">
        <v>64</v>
      </c>
    </row>
    <row r="19" spans="2:14" x14ac:dyDescent="0.3">
      <c r="B19" s="41" t="s">
        <v>113</v>
      </c>
      <c r="C19" s="43">
        <v>0</v>
      </c>
      <c r="D19" s="43">
        <v>-160</v>
      </c>
      <c r="E19" s="43">
        <v>0</v>
      </c>
      <c r="F19" s="43">
        <v>-107</v>
      </c>
      <c r="G19" s="43">
        <v>-4</v>
      </c>
      <c r="H19" s="43">
        <v>-9</v>
      </c>
      <c r="I19" s="43">
        <v>-606</v>
      </c>
      <c r="J19" s="43">
        <v>-10</v>
      </c>
      <c r="K19" s="43">
        <v>0</v>
      </c>
      <c r="L19" s="43">
        <v>0</v>
      </c>
      <c r="M19" s="43">
        <v>-150</v>
      </c>
      <c r="N19" s="43">
        <v>0</v>
      </c>
    </row>
    <row r="20" spans="2:14" x14ac:dyDescent="0.3">
      <c r="B20" s="41" t="s">
        <v>114</v>
      </c>
      <c r="C20" s="43">
        <v>0</v>
      </c>
      <c r="D20" s="43">
        <v>0</v>
      </c>
      <c r="E20" s="43">
        <v>0</v>
      </c>
      <c r="F20" s="43">
        <v>0</v>
      </c>
      <c r="G20" s="43">
        <v>14</v>
      </c>
      <c r="H20" s="43">
        <v>533</v>
      </c>
      <c r="I20" s="43">
        <v>0</v>
      </c>
      <c r="J20" s="43">
        <v>0</v>
      </c>
      <c r="K20" s="43">
        <v>0</v>
      </c>
      <c r="L20" s="43">
        <v>19</v>
      </c>
      <c r="M20" s="43">
        <v>107</v>
      </c>
      <c r="N20" s="43">
        <v>765</v>
      </c>
    </row>
    <row r="21" spans="2:14" x14ac:dyDescent="0.3">
      <c r="B21" s="41" t="s">
        <v>115</v>
      </c>
      <c r="C21" s="43">
        <v>-185</v>
      </c>
      <c r="D21" s="43">
        <v>0</v>
      </c>
      <c r="E21" s="43">
        <v>-111</v>
      </c>
      <c r="F21" s="43">
        <v>0</v>
      </c>
      <c r="G21" s="43">
        <v>0</v>
      </c>
      <c r="H21" s="43">
        <v>-8</v>
      </c>
      <c r="I21" s="43">
        <v>-27</v>
      </c>
      <c r="J21" s="43">
        <v>0</v>
      </c>
      <c r="K21" s="43">
        <v>-98</v>
      </c>
      <c r="L21" s="43">
        <v>0</v>
      </c>
      <c r="M21" s="43">
        <v>0</v>
      </c>
      <c r="N21" s="43">
        <v>-688</v>
      </c>
    </row>
    <row r="22" spans="2:14" x14ac:dyDescent="0.3">
      <c r="B22" s="41" t="s">
        <v>116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-25</v>
      </c>
      <c r="N22" s="43">
        <v>-20</v>
      </c>
    </row>
    <row r="23" spans="2:14" x14ac:dyDescent="0.3">
      <c r="B23" s="41" t="s">
        <v>117</v>
      </c>
      <c r="C23" s="42">
        <v>-1149</v>
      </c>
      <c r="D23" s="43">
        <v>456</v>
      </c>
      <c r="E23" s="42">
        <v>-1289</v>
      </c>
      <c r="F23" s="42">
        <v>-26663</v>
      </c>
      <c r="G23" s="42">
        <v>5360</v>
      </c>
      <c r="H23" s="42">
        <v>7335</v>
      </c>
      <c r="I23" s="42">
        <v>-2659</v>
      </c>
      <c r="J23" s="42">
        <v>1051</v>
      </c>
      <c r="K23" s="42">
        <v>12813</v>
      </c>
      <c r="L23" s="42">
        <v>-4357</v>
      </c>
      <c r="M23" s="42">
        <v>-4817</v>
      </c>
      <c r="N23" s="42">
        <v>-2889</v>
      </c>
    </row>
    <row r="24" spans="2:14" x14ac:dyDescent="0.3">
      <c r="B24" s="32" t="s">
        <v>128</v>
      </c>
      <c r="C24" s="33">
        <v>-3883</v>
      </c>
      <c r="D24" s="33">
        <v>5201</v>
      </c>
      <c r="E24" s="33">
        <v>-3795</v>
      </c>
      <c r="F24" s="33">
        <v>6205</v>
      </c>
      <c r="G24" s="33">
        <v>2012</v>
      </c>
      <c r="H24" s="33">
        <v>8830</v>
      </c>
      <c r="I24" s="33">
        <v>3390</v>
      </c>
      <c r="J24" s="33">
        <v>9904</v>
      </c>
      <c r="K24" s="33">
        <v>-3380</v>
      </c>
      <c r="L24" s="33">
        <v>-26243</v>
      </c>
      <c r="M24" s="33">
        <v>-37006</v>
      </c>
      <c r="N24" s="33">
        <v>-18786</v>
      </c>
    </row>
    <row r="25" spans="2:14" x14ac:dyDescent="0.3">
      <c r="B25" s="35" t="s">
        <v>118</v>
      </c>
      <c r="C25" s="36">
        <v>0</v>
      </c>
      <c r="D25" s="36">
        <v>0</v>
      </c>
      <c r="E25" s="37">
        <v>7433</v>
      </c>
      <c r="F25" s="36">
        <v>5</v>
      </c>
      <c r="G25" s="36">
        <v>0</v>
      </c>
      <c r="H25" s="36">
        <v>0</v>
      </c>
      <c r="I25" s="37">
        <v>3889</v>
      </c>
      <c r="J25" s="37">
        <v>2603</v>
      </c>
      <c r="K25" s="36">
        <v>19</v>
      </c>
      <c r="L25" s="36">
        <v>20</v>
      </c>
      <c r="M25" s="36">
        <v>82</v>
      </c>
      <c r="N25" s="37">
        <v>1108</v>
      </c>
    </row>
    <row r="26" spans="2:14" x14ac:dyDescent="0.3">
      <c r="B26" s="35" t="s">
        <v>119</v>
      </c>
      <c r="C26" s="36">
        <v>-658</v>
      </c>
      <c r="D26" s="36">
        <v>-744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</row>
    <row r="27" spans="2:14" x14ac:dyDescent="0.3">
      <c r="B27" s="35" t="s">
        <v>120</v>
      </c>
      <c r="C27" s="37">
        <v>33258</v>
      </c>
      <c r="D27" s="37">
        <v>36363</v>
      </c>
      <c r="E27" s="37">
        <v>19519</v>
      </c>
      <c r="F27" s="37">
        <v>33390</v>
      </c>
      <c r="G27" s="37">
        <v>37482</v>
      </c>
      <c r="H27" s="37">
        <v>51128</v>
      </c>
      <c r="I27" s="37">
        <v>38297</v>
      </c>
      <c r="J27" s="37">
        <v>46641</v>
      </c>
      <c r="K27" s="37">
        <v>46578</v>
      </c>
      <c r="L27" s="37">
        <v>43934</v>
      </c>
      <c r="M27" s="37">
        <v>18829</v>
      </c>
      <c r="N27" s="37">
        <v>13384</v>
      </c>
    </row>
    <row r="28" spans="2:14" x14ac:dyDescent="0.3">
      <c r="B28" s="35" t="s">
        <v>121</v>
      </c>
      <c r="C28" s="37">
        <v>-29141</v>
      </c>
      <c r="D28" s="37">
        <v>-23332</v>
      </c>
      <c r="E28" s="37">
        <v>-24924</v>
      </c>
      <c r="F28" s="37">
        <v>-21732</v>
      </c>
      <c r="G28" s="37">
        <v>-29964</v>
      </c>
      <c r="H28" s="37">
        <v>-35198</v>
      </c>
      <c r="I28" s="37">
        <v>-29847</v>
      </c>
      <c r="J28" s="37">
        <v>-29709</v>
      </c>
      <c r="K28" s="37">
        <v>-42816</v>
      </c>
      <c r="L28" s="37">
        <v>-62557</v>
      </c>
      <c r="M28" s="37">
        <v>-47414</v>
      </c>
      <c r="N28" s="37">
        <v>-21443</v>
      </c>
    </row>
    <row r="29" spans="2:14" x14ac:dyDescent="0.3">
      <c r="B29" s="35" t="s">
        <v>122</v>
      </c>
      <c r="C29" s="37">
        <v>-6171</v>
      </c>
      <c r="D29" s="37">
        <v>-6307</v>
      </c>
      <c r="E29" s="37">
        <v>-5716</v>
      </c>
      <c r="F29" s="37">
        <v>-5336</v>
      </c>
      <c r="G29" s="37">
        <v>-5411</v>
      </c>
      <c r="H29" s="37">
        <v>-7005</v>
      </c>
      <c r="I29" s="37">
        <v>-7518</v>
      </c>
      <c r="J29" s="37">
        <v>-8123</v>
      </c>
      <c r="K29" s="37">
        <v>-9251</v>
      </c>
      <c r="L29" s="37">
        <v>-9336</v>
      </c>
      <c r="M29" s="37">
        <v>-9332</v>
      </c>
      <c r="N29" s="37">
        <v>-5814</v>
      </c>
    </row>
    <row r="30" spans="2:14" x14ac:dyDescent="0.3">
      <c r="B30" s="35" t="s">
        <v>123</v>
      </c>
      <c r="C30" s="36">
        <v>-722</v>
      </c>
      <c r="D30" s="36">
        <v>-720</v>
      </c>
      <c r="E30" s="36">
        <v>-108</v>
      </c>
      <c r="F30" s="36">
        <v>-121</v>
      </c>
      <c r="G30" s="36">
        <v>-96</v>
      </c>
      <c r="H30" s="36">
        <v>-95</v>
      </c>
      <c r="I30" s="36">
        <v>-57</v>
      </c>
      <c r="J30" s="36">
        <v>-30</v>
      </c>
      <c r="K30" s="36">
        <v>-100</v>
      </c>
      <c r="L30" s="36">
        <v>-141</v>
      </c>
      <c r="M30" s="37">
        <v>-1059</v>
      </c>
      <c r="N30" s="37">
        <v>-2492</v>
      </c>
    </row>
    <row r="31" spans="2:14" x14ac:dyDescent="0.3">
      <c r="B31" s="35" t="s">
        <v>124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v>-1346</v>
      </c>
      <c r="J31" s="37">
        <v>-1477</v>
      </c>
      <c r="K31" s="37">
        <v>-1559</v>
      </c>
      <c r="L31" s="37">
        <v>-1517</v>
      </c>
      <c r="M31" s="37">
        <v>-1924</v>
      </c>
      <c r="N31" s="37">
        <v>-2393</v>
      </c>
    </row>
    <row r="32" spans="2:14" x14ac:dyDescent="0.3">
      <c r="B32" s="35" t="s">
        <v>125</v>
      </c>
      <c r="C32" s="36">
        <v>-450</v>
      </c>
      <c r="D32" s="36">
        <v>-57</v>
      </c>
      <c r="E32" s="36">
        <v>0</v>
      </c>
      <c r="F32" s="36">
        <v>0</v>
      </c>
      <c r="G32" s="36">
        <v>0</v>
      </c>
      <c r="H32" s="36">
        <v>0</v>
      </c>
      <c r="I32" s="36">
        <v>-29</v>
      </c>
      <c r="J32" s="36">
        <v>0</v>
      </c>
      <c r="K32" s="37">
        <v>3750</v>
      </c>
      <c r="L32" s="37">
        <v>3355</v>
      </c>
      <c r="M32" s="37">
        <v>3812</v>
      </c>
      <c r="N32" s="37">
        <v>-1136</v>
      </c>
    </row>
    <row r="33" spans="2:14" x14ac:dyDescent="0.3">
      <c r="B33" s="39" t="s">
        <v>21</v>
      </c>
      <c r="C33" s="40">
        <v>4277</v>
      </c>
      <c r="D33" s="40">
        <v>4500</v>
      </c>
      <c r="E33" s="40">
        <v>-2589</v>
      </c>
      <c r="F33" s="40">
        <v>-3167</v>
      </c>
      <c r="G33" s="44">
        <v>730</v>
      </c>
      <c r="H33" s="40">
        <v>6843</v>
      </c>
      <c r="I33" s="40">
        <v>-3092</v>
      </c>
      <c r="J33" s="40">
        <v>13232</v>
      </c>
      <c r="K33" s="40">
        <v>6459</v>
      </c>
      <c r="L33" s="40">
        <v>-6272</v>
      </c>
      <c r="M33" s="40">
        <v>8128</v>
      </c>
      <c r="N33" s="40">
        <v>-5666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Customization</vt:lpstr>
      <vt:lpstr>Screener - Data Sheet</vt:lpstr>
      <vt:lpstr>Financials&gt;</vt:lpstr>
      <vt:lpstr>HistoricalFS</vt:lpstr>
      <vt:lpstr>Cash Flow Statement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amit mirge</cp:lastModifiedBy>
  <cp:lastPrinted>2012-12-06T18:14:13Z</cp:lastPrinted>
  <dcterms:created xsi:type="dcterms:W3CDTF">2012-08-17T09:55:37Z</dcterms:created>
  <dcterms:modified xsi:type="dcterms:W3CDTF">2025-09-24T05:11:19Z</dcterms:modified>
</cp:coreProperties>
</file>