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A01E33D-E6F6-4B25-ADD4-AC505659EA60}" xr6:coauthVersionLast="47" xr6:coauthVersionMax="47" xr10:uidLastSave="{00000000-0000-0000-0000-000000000000}"/>
  <bookViews>
    <workbookView xWindow="-120" yWindow="-120" windowWidth="29040" windowHeight="15225" activeTab="3" xr2:uid="{7F44916C-1E4E-465D-B80A-003481D63224}"/>
  </bookViews>
  <sheets>
    <sheet name="Computation - ADA" sheetId="2" r:id="rId1"/>
    <sheet name="Chart" sheetId="1" r:id="rId2"/>
    <sheet name="Comparision" sheetId="3" r:id="rId3"/>
    <sheet name="XGboost" sheetId="4" r:id="rId4"/>
  </sheets>
  <definedNames>
    <definedName name="_xlnm._FilterDatabase" localSheetId="0" hidden="1">'Computation - ADA'!$B$6:$E$16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5" i="4"/>
  <c r="P8" i="4"/>
  <c r="P9" i="4"/>
  <c r="P10" i="4"/>
  <c r="P7" i="4"/>
  <c r="Q7" i="4" s="1"/>
  <c r="P6" i="4"/>
  <c r="Q6" i="4" s="1"/>
  <c r="P5" i="4"/>
  <c r="Q5" i="4" s="1"/>
  <c r="Q10" i="4"/>
  <c r="Q9" i="4"/>
  <c r="Q8" i="4"/>
  <c r="I6" i="4"/>
  <c r="I7" i="4"/>
  <c r="I8" i="4"/>
  <c r="I9" i="4"/>
  <c r="I10" i="4"/>
  <c r="I5" i="4"/>
  <c r="H6" i="4"/>
  <c r="H7" i="4"/>
  <c r="H8" i="4"/>
  <c r="H9" i="4"/>
  <c r="H10" i="4"/>
  <c r="H5" i="4"/>
  <c r="F6" i="4"/>
  <c r="F7" i="4"/>
  <c r="F8" i="4"/>
  <c r="F9" i="4"/>
  <c r="F10" i="4"/>
  <c r="F5" i="4"/>
  <c r="R20" i="2"/>
  <c r="R21" i="2"/>
  <c r="R22" i="2"/>
  <c r="R23" i="2"/>
  <c r="R24" i="2"/>
  <c r="R19" i="2"/>
  <c r="A20" i="2"/>
  <c r="A21" i="2" s="1"/>
  <c r="A22" i="2" s="1"/>
  <c r="A23" i="2" s="1"/>
  <c r="A24" i="2" s="1"/>
  <c r="U21" i="2"/>
  <c r="U22" i="2" s="1"/>
  <c r="U23" i="2" s="1"/>
  <c r="U12" i="2"/>
  <c r="U9" i="2"/>
  <c r="U10" i="2" s="1"/>
  <c r="U11" i="2" s="1"/>
  <c r="F8" i="2" s="1"/>
  <c r="H38" i="4" l="1"/>
  <c r="H39" i="4"/>
  <c r="H34" i="4"/>
  <c r="H33" i="4"/>
  <c r="H36" i="4" s="1"/>
  <c r="C20" i="2"/>
  <c r="F20" i="2" s="1"/>
  <c r="C24" i="2"/>
  <c r="F24" i="2" s="1"/>
  <c r="C23" i="2"/>
  <c r="F23" i="2" s="1"/>
  <c r="C21" i="2"/>
  <c r="F21" i="2" s="1"/>
  <c r="C19" i="2"/>
  <c r="F19" i="2" s="1"/>
  <c r="C22" i="2"/>
  <c r="F22" i="2" s="1"/>
  <c r="F14" i="2"/>
  <c r="F7" i="2"/>
  <c r="F10" i="2"/>
  <c r="F16" i="2"/>
  <c r="F13" i="2"/>
  <c r="F9" i="2"/>
  <c r="F15" i="2"/>
  <c r="F11" i="2"/>
  <c r="F12" i="2"/>
  <c r="U14" i="2"/>
  <c r="U13" i="2"/>
  <c r="H41" i="4" l="1"/>
  <c r="K6" i="4"/>
  <c r="L6" i="4" s="1"/>
  <c r="K5" i="4"/>
  <c r="L5" i="4" s="1"/>
  <c r="G23" i="2"/>
  <c r="G22" i="2"/>
  <c r="G19" i="2"/>
  <c r="F25" i="2"/>
  <c r="G20" i="2"/>
  <c r="G24" i="2"/>
  <c r="G21" i="2"/>
  <c r="K10" i="4" l="1"/>
  <c r="L10" i="4" s="1"/>
  <c r="K9" i="4"/>
  <c r="L9" i="4" s="1"/>
  <c r="K8" i="4"/>
  <c r="L8" i="4" s="1"/>
  <c r="K7" i="4"/>
  <c r="L7" i="4" s="1"/>
  <c r="N5" i="4"/>
  <c r="M5" i="4"/>
  <c r="M6" i="4"/>
  <c r="N6" i="4"/>
  <c r="G25" i="2"/>
  <c r="V21" i="2"/>
  <c r="V22" i="2" s="1"/>
  <c r="V23" i="2" s="1"/>
  <c r="M7" i="4" l="1"/>
  <c r="N7" i="4"/>
  <c r="M8" i="4"/>
  <c r="N8" i="4"/>
  <c r="H60" i="4"/>
  <c r="M9" i="4"/>
  <c r="N9" i="4"/>
  <c r="M10" i="4"/>
  <c r="N10" i="4"/>
  <c r="H61" i="4"/>
  <c r="H63" i="4" s="1"/>
  <c r="J21" i="2"/>
  <c r="J23" i="2"/>
  <c r="J22" i="2"/>
  <c r="J24" i="2"/>
  <c r="J19" i="2"/>
  <c r="J20" i="2"/>
  <c r="K20" i="2" s="1"/>
  <c r="G9" i="2"/>
  <c r="J9" i="2" s="1"/>
  <c r="G7" i="2"/>
  <c r="J7" i="2" s="1"/>
  <c r="G12" i="2"/>
  <c r="J12" i="2" s="1"/>
  <c r="G10" i="2"/>
  <c r="J10" i="2" s="1"/>
  <c r="G8" i="2"/>
  <c r="J8" i="2" s="1"/>
  <c r="G15" i="2"/>
  <c r="J15" i="2" s="1"/>
  <c r="G16" i="2"/>
  <c r="J16" i="2" s="1"/>
  <c r="G13" i="2"/>
  <c r="J13" i="2" s="1"/>
  <c r="G11" i="2"/>
  <c r="J11" i="2" s="1"/>
  <c r="G14" i="2"/>
  <c r="J14" i="2" s="1"/>
  <c r="H66" i="4" l="1"/>
  <c r="H65" i="4"/>
  <c r="H68" i="4" s="1"/>
  <c r="K23" i="2"/>
  <c r="K19" i="2"/>
  <c r="J25" i="2"/>
  <c r="K25" i="2" s="1"/>
  <c r="K24" i="2"/>
  <c r="K22" i="2"/>
  <c r="K21" i="2"/>
  <c r="K13" i="2"/>
  <c r="K12" i="2"/>
  <c r="K16" i="2"/>
  <c r="K14" i="2"/>
  <c r="K15" i="2"/>
  <c r="K7" i="2"/>
  <c r="K10" i="2"/>
  <c r="K11" i="2"/>
  <c r="K8" i="2"/>
  <c r="K9" i="2"/>
  <c r="W21" i="2" l="1"/>
  <c r="W22" i="2" s="1"/>
  <c r="W23" i="2" s="1"/>
  <c r="N23" i="2" s="1"/>
  <c r="N24" i="2" l="1"/>
  <c r="N19" i="2"/>
  <c r="N21" i="2"/>
  <c r="O21" i="2" s="1"/>
  <c r="Q20" i="2"/>
  <c r="Q24" i="2"/>
  <c r="Q21" i="2"/>
  <c r="Q22" i="2"/>
  <c r="Q19" i="2"/>
  <c r="Q23" i="2"/>
  <c r="N20" i="2"/>
  <c r="N22" i="2"/>
  <c r="O22" i="2" s="1"/>
  <c r="O20" i="2" l="1"/>
  <c r="O19" i="2"/>
  <c r="N25" i="2"/>
  <c r="O25" i="2" s="1"/>
  <c r="O24" i="2"/>
  <c r="O23" i="2"/>
</calcChain>
</file>

<file path=xl/sharedStrings.xml><?xml version="1.0" encoding="utf-8"?>
<sst xmlns="http://schemas.openxmlformats.org/spreadsheetml/2006/main" count="179" uniqueCount="116">
  <si>
    <t>Bagging</t>
  </si>
  <si>
    <t>Boosting</t>
  </si>
  <si>
    <t>weight</t>
  </si>
  <si>
    <t>Target</t>
  </si>
  <si>
    <t>weighted 
actual</t>
  </si>
  <si>
    <t>Accuracy : (1/2) * ln [ (1 - Total Error) / Total Error ]</t>
  </si>
  <si>
    <t xml:space="preserve">correctly classified = Previous Weight * e^(-accuracy) </t>
  </si>
  <si>
    <t>wrongly classified   = Previous Weight * e^(+accuracy)</t>
  </si>
  <si>
    <t>Divide each weight by the sum of all weights</t>
  </si>
  <si>
    <t>Total obs.</t>
  </si>
  <si>
    <t>Error</t>
  </si>
  <si>
    <t>1 - Error</t>
  </si>
  <si>
    <t>Initial Weight</t>
  </si>
  <si>
    <t>Model-1</t>
  </si>
  <si>
    <t xml:space="preserve">New Weight - correctly classified </t>
  </si>
  <si>
    <t xml:space="preserve">New Weight  - wrongly classified  </t>
  </si>
  <si>
    <t>New Weight</t>
  </si>
  <si>
    <t>Normalize New Weight</t>
  </si>
  <si>
    <t>Normalize New Weight Actual</t>
  </si>
  <si>
    <t>Model-2</t>
  </si>
  <si>
    <t>Accuracy /Alpha</t>
  </si>
  <si>
    <t>Prediction</t>
  </si>
  <si>
    <t>%Error / epsilon</t>
  </si>
  <si>
    <t>https://sefiks.com/2018/11/02/a-step-by-step-adaboost-example/#google_vignette</t>
  </si>
  <si>
    <t>https://pradeep-dhote9.medium.com/adaboost-gradient-boosting-algorithm-xgboost-ensemble-model-361ede2d442c</t>
  </si>
  <si>
    <t>yes</t>
  </si>
  <si>
    <t>no</t>
  </si>
  <si>
    <t>Model-3</t>
  </si>
  <si>
    <t>Score of ADA Boosting</t>
  </si>
  <si>
    <t>Weighted 
Avg</t>
  </si>
  <si>
    <t>Final 
Prediction</t>
  </si>
  <si>
    <t>  Algorithms</t>
  </si>
  <si>
    <t>Gradient Boosting</t>
  </si>
  <si>
    <t>     XGBoost      </t>
  </si>
  <si>
    <t>      CatBoost      </t>
  </si>
  <si>
    <t>      LightGBM     </t>
  </si>
  <si>
    <t>Year</t>
  </si>
  <si>
    <t>Handling Categorical Variables</t>
  </si>
  <si>
    <t>No</t>
  </si>
  <si>
    <t>Speed/Scalability</t>
  </si>
  <si>
    <t>Moderate</t>
  </si>
  <si>
    <t>Fast </t>
  </si>
  <si>
    <t> Fast </t>
  </si>
  <si>
    <t>Memory Usage</t>
  </si>
  <si>
    <t>Moderate </t>
  </si>
  <si>
    <t>Low </t>
  </si>
  <si>
    <t>High </t>
  </si>
  <si>
    <t>Low</t>
  </si>
  <si>
    <t>Regularization</t>
  </si>
  <si>
    <t>Yes</t>
  </si>
  <si>
    <t>Parallel Processing</t>
  </si>
  <si>
    <t>No </t>
  </si>
  <si>
    <t>GPU Support</t>
  </si>
  <si>
    <t xml:space="preserve">        AdaBoost     </t>
  </si>
  <si>
    <t>Classifier Weight</t>
  </si>
  <si>
    <t>Different</t>
  </si>
  <si>
    <t>Equal</t>
  </si>
  <si>
    <t>Encoding</t>
  </si>
  <si>
    <t>X1</t>
  </si>
  <si>
    <t>X2</t>
  </si>
  <si>
    <t>Y</t>
  </si>
  <si>
    <t>F0
 Initial Model</t>
  </si>
  <si>
    <t>F0=log⁡(odds)=0 ⟹p=0.5 ⟹ odds=1</t>
  </si>
  <si>
    <t>P=1/(1+exp^-F)</t>
  </si>
  <si>
    <t>XGBoost uses the logistic loss for binary classification</t>
  </si>
  <si>
    <t xml:space="preserve"> The gradient (gi) is the first derivative of the loss with respect to F</t>
  </si>
  <si>
    <t>The hessian (hi) is the second derivative.</t>
  </si>
  <si>
    <t>L(y,F): Y*log(P) - (1-Y)*Log(1-P)</t>
  </si>
  <si>
    <t>gi = dL/dF = p-y</t>
  </si>
  <si>
    <t>hi = d^2L / dF^2 = p(1-p)</t>
  </si>
  <si>
    <t>p0</t>
  </si>
  <si>
    <t>p0: probability of 0.5</t>
  </si>
  <si>
    <t>https://medium.com/@ryassminh/xgboost-with-a-simple-example-92d5d91789e2</t>
  </si>
  <si>
    <t>g0
(p-y)</t>
  </si>
  <si>
    <t>h0
[p*(1-p)]</t>
  </si>
  <si>
    <t>XGBoost looks for the best split that minimizes the regularized loss. In this example, we assume the algorithm finds a split on X1 &lt; 3:</t>
  </si>
  <si>
    <t>Left branch: X1 &lt; 3→ Samples 1 and 2 (both have Y=0Y=0).</t>
  </si>
  <si>
    <t>Right branch: X1≥3 →Samples 3, 4, 5, and 6 (labels 1,1,1,0).</t>
  </si>
  <si>
    <t>Once data lands in a leaf, XGBoost assigns a leaf value to that leaf. The formula is (with L2 regularization λ\lambda):</t>
  </si>
  <si>
    <t>(sum of residuals squared) / [ pr(1-pr) + λ ]</t>
  </si>
  <si>
    <t>(p-y) / [(p*(1-p)) + λ]</t>
  </si>
  <si>
    <t xml:space="preserve">(p*(1-p)) = </t>
  </si>
  <si>
    <t xml:space="preserve">(p-y) = </t>
  </si>
  <si>
    <t xml:space="preserve">λ = </t>
  </si>
  <si>
    <r>
      <t>Left Branch</t>
    </r>
    <r>
      <rPr>
        <sz val="11"/>
        <color theme="1"/>
        <rFont val="Aptos Narrow"/>
        <family val="2"/>
        <scheme val="minor"/>
      </rPr>
      <t xml:space="preserve"> (samples 1, 2):</t>
    </r>
  </si>
  <si>
    <r>
      <t>Right Branch</t>
    </r>
    <r>
      <rPr>
        <sz val="11"/>
        <color theme="1"/>
        <rFont val="Aptos Narrow"/>
        <family val="2"/>
        <scheme val="minor"/>
      </rPr>
      <t xml:space="preserve"> (samples 3, 4, 5, 6):</t>
    </r>
  </si>
  <si>
    <t>Leaf Left (-0.6667)</t>
  </si>
  <si>
    <t>Leaf Right (0.5)</t>
  </si>
  <si>
    <t>Tree1_Leaf
(X1 &lt; 3)</t>
  </si>
  <si>
    <r>
      <t xml:space="preserve">We have a </t>
    </r>
    <r>
      <rPr>
        <i/>
        <sz val="11"/>
        <color theme="1"/>
        <rFont val="Aptos Narrow"/>
        <family val="2"/>
        <scheme val="minor"/>
      </rPr>
      <t>learning rate</t>
    </r>
    <r>
      <rPr>
        <sz val="11"/>
        <color theme="1"/>
        <rFont val="Aptos Narrow"/>
        <family val="2"/>
        <scheme val="minor"/>
      </rPr>
      <t xml:space="preserve"> (often called </t>
    </r>
    <r>
      <rPr>
        <i/>
        <sz val="11"/>
        <color theme="1"/>
        <rFont val="Aptos Narrow"/>
        <family val="2"/>
        <scheme val="minor"/>
      </rPr>
      <t>eta</t>
    </r>
    <r>
      <rPr>
        <sz val="11"/>
        <color theme="1"/>
        <rFont val="Aptos Narrow"/>
        <family val="2"/>
        <scheme val="minor"/>
      </rPr>
      <t>), which scales how much of the new tree we add to the old predictions. Let’s pick. The updated model after the first tree:</t>
    </r>
  </si>
  <si>
    <t>If a sample goes left, we add -0.6667×0.1=-0.0667</t>
  </si>
  <si>
    <t>If a sample goes right, we add 0.5×0.1=0.05</t>
  </si>
  <si>
    <t>n * Tree1 output:</t>
  </si>
  <si>
    <t>n is learning rate =</t>
  </si>
  <si>
    <t>Now, we compute new probabilities using:</t>
  </si>
  <si>
    <t>p1
[1/(1+exp^-F1)]</t>
  </si>
  <si>
    <t>g1
(p1-y)</t>
  </si>
  <si>
    <t>h1
[p1*(1-p1)]</t>
  </si>
  <si>
    <t>Building the Second Tree</t>
  </si>
  <si>
    <t>Building the First Tree</t>
  </si>
  <si>
    <r>
      <t>Left branch</t>
    </r>
    <r>
      <rPr>
        <sz val="11"/>
        <color theme="1"/>
        <rFont val="Aptos Narrow"/>
        <family val="2"/>
        <scheme val="minor"/>
      </rPr>
      <t>: X2 &lt; 3 →samples 1, 2.</t>
    </r>
  </si>
  <si>
    <r>
      <t>Right branch</t>
    </r>
    <r>
      <rPr>
        <sz val="11"/>
        <color theme="1"/>
        <rFont val="Aptos Narrow"/>
        <family val="2"/>
        <scheme val="minor"/>
      </rPr>
      <t>: X2≥3 →samples 3, 4, 5, 6.</t>
    </r>
  </si>
  <si>
    <t xml:space="preserve">g0 = (p-y) = </t>
  </si>
  <si>
    <t xml:space="preserve">h0 = (p*(1-p)) = </t>
  </si>
  <si>
    <t>Tree2_Leaf
(X2 &lt; 3)</t>
  </si>
  <si>
    <t>Leaf Left (-0.6447)</t>
  </si>
  <si>
    <t>Leaf Right (0.4752)</t>
  </si>
  <si>
    <t>F2=F1+η×(Tree2 Output)</t>
  </si>
  <si>
    <t>With η=0.1:</t>
  </si>
  <si>
    <t>If sample goes left ( -0.0667): add -0.6447×0.1=-0.1311</t>
  </si>
  <si>
    <t>If sample goes right(0.05): add 0.4752×0.1=−0.0976</t>
  </si>
  <si>
    <t xml:space="preserve">Leaf Value = </t>
  </si>
  <si>
    <t>Final_Pred</t>
  </si>
  <si>
    <t>p2
[1/(1+exp^-F2)]</t>
  </si>
  <si>
    <t>F1
(F0 + n*Tree1_Leaf)</t>
  </si>
  <si>
    <t>F2
(F1 + n*Tree2_Leaf)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</si>
</sst>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_);_(* \(#,##0\);_(* &quot;-&quot;??_);_(@_)"/>
    <numFmt numFmtId="167" formatCode="0.000"/>
    <numFmt numFmtId="168" formatCode="0.0000"/>
    <numFmt numFmtId="177" formatCode="0.00000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111827"/>
      <name val="Aptos Narrow"/>
      <family val="2"/>
      <scheme val="minor"/>
    </font>
    <font>
      <sz val="10"/>
      <color theme="1"/>
      <name val="Arial Unicode MS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16" fontId="0" fillId="0" borderId="0" xfId="0" quotePrefix="1" applyNumberFormat="1"/>
    <xf numFmtId="43" fontId="0" fillId="0" borderId="0" xfId="1" applyFont="1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43" fontId="0" fillId="0" borderId="0" xfId="0" applyNumberFormat="1"/>
    <xf numFmtId="0" fontId="3" fillId="0" borderId="0" xfId="0" applyFont="1"/>
    <xf numFmtId="16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/>
    <xf numFmtId="164" fontId="0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0" fillId="0" borderId="1" xfId="1" applyNumberFormat="1" applyFont="1" applyBorder="1" applyAlignment="1"/>
    <xf numFmtId="166" fontId="0" fillId="0" borderId="1" xfId="0" applyNumberFormat="1" applyBorder="1"/>
    <xf numFmtId="164" fontId="0" fillId="0" borderId="1" xfId="1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0" xfId="2" applyAlignment="1">
      <alignment horizontal="center"/>
    </xf>
    <xf numFmtId="167" fontId="0" fillId="0" borderId="1" xfId="0" applyNumberForma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/>
    <xf numFmtId="167" fontId="0" fillId="0" borderId="0" xfId="0" applyNumberFormat="1"/>
    <xf numFmtId="167" fontId="0" fillId="0" borderId="0" xfId="0" applyNumberFormat="1" applyAlignment="1">
      <alignment horizontal="center" vertical="center" wrapText="1"/>
    </xf>
    <xf numFmtId="1" fontId="0" fillId="0" borderId="2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2" applyAlignment="1">
      <alignment horizontal="left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5" fillId="0" borderId="0" xfId="2"/>
    <xf numFmtId="0" fontId="0" fillId="0" borderId="0" xfId="0" applyAlignment="1">
      <alignment horizontal="left" vertical="center" indent="1"/>
    </xf>
    <xf numFmtId="0" fontId="0" fillId="0" borderId="0" xfId="0" applyFont="1" applyAlignment="1">
      <alignment vertical="center"/>
    </xf>
    <xf numFmtId="0" fontId="0" fillId="0" borderId="0" xfId="0" applyFont="1"/>
    <xf numFmtId="0" fontId="8" fillId="0" borderId="0" xfId="0" applyFont="1" applyAlignment="1">
      <alignment vertical="center"/>
    </xf>
    <xf numFmtId="0" fontId="0" fillId="0" borderId="3" xfId="0" applyBorder="1" applyAlignment="1">
      <alignment horizontal="left" vertical="center" wrapText="1"/>
    </xf>
    <xf numFmtId="165" fontId="0" fillId="0" borderId="3" xfId="1" applyNumberFormat="1" applyFont="1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6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68" fontId="0" fillId="0" borderId="0" xfId="0" applyNumberFormat="1"/>
    <xf numFmtId="168" fontId="0" fillId="0" borderId="3" xfId="0" applyNumberFormat="1" applyBorder="1" applyAlignment="1">
      <alignment horizontal="center" vertical="center" wrapText="1"/>
    </xf>
    <xf numFmtId="1" fontId="0" fillId="0" borderId="3" xfId="1" applyNumberFormat="1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95892</xdr:colOff>
      <xdr:row>3</xdr:row>
      <xdr:rowOff>180008</xdr:rowOff>
    </xdr:from>
    <xdr:to>
      <xdr:col>11</xdr:col>
      <xdr:colOff>561976</xdr:colOff>
      <xdr:row>18</xdr:row>
      <xdr:rowOff>133350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6522D3CA-292D-1869-4986-92803D303D73}"/>
            </a:ext>
          </a:extLst>
        </xdr:cNvPr>
        <xdr:cNvGrpSpPr/>
      </xdr:nvGrpSpPr>
      <xdr:grpSpPr>
        <a:xfrm>
          <a:off x="705492" y="989633"/>
          <a:ext cx="6685909" cy="2810842"/>
          <a:chOff x="2581916" y="1056308"/>
          <a:chExt cx="4551667" cy="944907"/>
        </a:xfrm>
        <a:solidFill>
          <a:schemeClr val="bg1">
            <a:lumMod val="65000"/>
          </a:schemeClr>
        </a:solidFill>
      </xdr:grpSpPr>
      <xdr:sp macro="" textlink="">
        <xdr:nvSpPr>
          <xdr:cNvPr id="56" name="Freeform: Shape 55">
            <a:extLst>
              <a:ext uri="{FF2B5EF4-FFF2-40B4-BE49-F238E27FC236}">
                <a16:creationId xmlns:a16="http://schemas.microsoft.com/office/drawing/2014/main" id="{F0F4A046-0D2E-FCC7-89DD-7D0FCCC45B94}"/>
              </a:ext>
            </a:extLst>
          </xdr:cNvPr>
          <xdr:cNvSpPr/>
        </xdr:nvSpPr>
        <xdr:spPr>
          <a:xfrm>
            <a:off x="2581916" y="1309015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</xdr:txBody>
      </xdr:sp>
      <xdr:sp macro="" textlink="">
        <xdr:nvSpPr>
          <xdr:cNvPr id="57" name="Freeform: Shape 56">
            <a:extLst>
              <a:ext uri="{FF2B5EF4-FFF2-40B4-BE49-F238E27FC236}">
                <a16:creationId xmlns:a16="http://schemas.microsoft.com/office/drawing/2014/main" id="{36DE67E8-EF8E-043B-EF95-45EA551CC2A2}"/>
              </a:ext>
            </a:extLst>
          </xdr:cNvPr>
          <xdr:cNvSpPr/>
        </xdr:nvSpPr>
        <xdr:spPr>
          <a:xfrm rot="19457599">
            <a:off x="3420202" y="1381951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69" tIns="9632" rIns="218369" bIns="9631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8" name="Freeform: Shape 57">
            <a:extLst>
              <a:ext uri="{FF2B5EF4-FFF2-40B4-BE49-F238E27FC236}">
                <a16:creationId xmlns:a16="http://schemas.microsoft.com/office/drawing/2014/main" id="{5DDD8E56-A452-C234-B16C-5835344D654A}"/>
              </a:ext>
            </a:extLst>
          </xdr:cNvPr>
          <xdr:cNvSpPr/>
        </xdr:nvSpPr>
        <xdr:spPr>
          <a:xfrm>
            <a:off x="3812494" y="1056308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Subset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Data-1</a:t>
            </a:r>
          </a:p>
        </xdr:txBody>
      </xdr:sp>
      <xdr:sp macro="" textlink="">
        <xdr:nvSpPr>
          <xdr:cNvPr id="59" name="Freeform: Shape 58">
            <a:extLst>
              <a:ext uri="{FF2B5EF4-FFF2-40B4-BE49-F238E27FC236}">
                <a16:creationId xmlns:a16="http://schemas.microsoft.com/office/drawing/2014/main" id="{058F5C92-FBDF-F685-0B5B-E5B549CD02C6}"/>
              </a:ext>
            </a:extLst>
          </xdr:cNvPr>
          <xdr:cNvSpPr/>
        </xdr:nvSpPr>
        <xdr:spPr>
          <a:xfrm>
            <a:off x="4691478" y="1255597"/>
            <a:ext cx="351593" cy="40913"/>
          </a:xfrm>
          <a:custGeom>
            <a:avLst/>
            <a:gdLst>
              <a:gd name="connsiteX0" fmla="*/ 0 w 351593"/>
              <a:gd name="connsiteY0" fmla="*/ 20456 h 40913"/>
              <a:gd name="connsiteX1" fmla="*/ 351593 w 351593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351593" h="40913">
                <a:moveTo>
                  <a:pt x="0" y="20456"/>
                </a:moveTo>
                <a:lnTo>
                  <a:pt x="351593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8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79707" tIns="11667" rIns="179707" bIns="11667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0" name="Freeform: Shape 59">
            <a:extLst>
              <a:ext uri="{FF2B5EF4-FFF2-40B4-BE49-F238E27FC236}">
                <a16:creationId xmlns:a16="http://schemas.microsoft.com/office/drawing/2014/main" id="{CB51E942-2D5C-300E-BA2A-BBF2A1F51A3E}"/>
              </a:ext>
            </a:extLst>
          </xdr:cNvPr>
          <xdr:cNvSpPr/>
        </xdr:nvSpPr>
        <xdr:spPr>
          <a:xfrm>
            <a:off x="5043071" y="1056308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Model-1</a:t>
            </a:r>
          </a:p>
        </xdr:txBody>
      </xdr:sp>
      <xdr:sp macro="" textlink="">
        <xdr:nvSpPr>
          <xdr:cNvPr id="61" name="Freeform: Shape 60">
            <a:extLst>
              <a:ext uri="{FF2B5EF4-FFF2-40B4-BE49-F238E27FC236}">
                <a16:creationId xmlns:a16="http://schemas.microsoft.com/office/drawing/2014/main" id="{2E05B592-0095-BE40-624E-9EA7B6A3AFE3}"/>
              </a:ext>
            </a:extLst>
          </xdr:cNvPr>
          <xdr:cNvSpPr/>
        </xdr:nvSpPr>
        <xdr:spPr>
          <a:xfrm rot="2142401">
            <a:off x="3420202" y="1634659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70" tIns="9631" rIns="218368" bIns="963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2" name="Freeform: Shape 61">
            <a:extLst>
              <a:ext uri="{FF2B5EF4-FFF2-40B4-BE49-F238E27FC236}">
                <a16:creationId xmlns:a16="http://schemas.microsoft.com/office/drawing/2014/main" id="{16DF6BD9-7141-1336-28D7-0A5DAE0AB608}"/>
              </a:ext>
            </a:extLst>
          </xdr:cNvPr>
          <xdr:cNvSpPr/>
        </xdr:nvSpPr>
        <xdr:spPr>
          <a:xfrm>
            <a:off x="3812494" y="1561723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Subset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Data-1</a:t>
            </a:r>
          </a:p>
        </xdr:txBody>
      </xdr:sp>
      <xdr:sp macro="" textlink="">
        <xdr:nvSpPr>
          <xdr:cNvPr id="63" name="Freeform: Shape 62">
            <a:extLst>
              <a:ext uri="{FF2B5EF4-FFF2-40B4-BE49-F238E27FC236}">
                <a16:creationId xmlns:a16="http://schemas.microsoft.com/office/drawing/2014/main" id="{1755888C-487E-3AB5-BCB9-F211B139DBC9}"/>
              </a:ext>
            </a:extLst>
          </xdr:cNvPr>
          <xdr:cNvSpPr/>
        </xdr:nvSpPr>
        <xdr:spPr>
          <a:xfrm>
            <a:off x="4691478" y="1761013"/>
            <a:ext cx="351593" cy="40913"/>
          </a:xfrm>
          <a:custGeom>
            <a:avLst/>
            <a:gdLst>
              <a:gd name="connsiteX0" fmla="*/ 0 w 351593"/>
              <a:gd name="connsiteY0" fmla="*/ 20456 h 40913"/>
              <a:gd name="connsiteX1" fmla="*/ 351593 w 351593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351593" h="40913">
                <a:moveTo>
                  <a:pt x="0" y="20456"/>
                </a:moveTo>
                <a:lnTo>
                  <a:pt x="351593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8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79707" tIns="11667" rIns="179707" bIns="11667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4" name="Freeform: Shape 63">
            <a:extLst>
              <a:ext uri="{FF2B5EF4-FFF2-40B4-BE49-F238E27FC236}">
                <a16:creationId xmlns:a16="http://schemas.microsoft.com/office/drawing/2014/main" id="{2321CC94-65EF-99C5-8BEF-A989831C6BA6}"/>
              </a:ext>
            </a:extLst>
          </xdr:cNvPr>
          <xdr:cNvSpPr/>
        </xdr:nvSpPr>
        <xdr:spPr>
          <a:xfrm>
            <a:off x="5043071" y="1561723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Model-1</a:t>
            </a:r>
          </a:p>
        </xdr:txBody>
      </xdr:sp>
      <xdr:sp macro="" textlink="">
        <xdr:nvSpPr>
          <xdr:cNvPr id="66" name="Freeform: Shape 65">
            <a:extLst>
              <a:ext uri="{FF2B5EF4-FFF2-40B4-BE49-F238E27FC236}">
                <a16:creationId xmlns:a16="http://schemas.microsoft.com/office/drawing/2014/main" id="{3B40E67E-FC16-4D7F-5A65-8C6316B21D4B}"/>
              </a:ext>
            </a:extLst>
          </xdr:cNvPr>
          <xdr:cNvSpPr/>
        </xdr:nvSpPr>
        <xdr:spPr>
          <a:xfrm>
            <a:off x="6254599" y="1237873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Final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</a:t>
            </a:r>
          </a:p>
        </xdr:txBody>
      </xdr:sp>
      <xdr:sp macro="" textlink="">
        <xdr:nvSpPr>
          <xdr:cNvPr id="67" name="Freeform: Shape 66">
            <a:extLst>
              <a:ext uri="{FF2B5EF4-FFF2-40B4-BE49-F238E27FC236}">
                <a16:creationId xmlns:a16="http://schemas.microsoft.com/office/drawing/2014/main" id="{AA15FAEF-7574-4C52-BA24-474CDFD2570F}"/>
              </a:ext>
            </a:extLst>
          </xdr:cNvPr>
          <xdr:cNvSpPr/>
        </xdr:nvSpPr>
        <xdr:spPr>
          <a:xfrm rot="19457599">
            <a:off x="5877652" y="1610551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69" tIns="9632" rIns="218369" bIns="9631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8" name="Freeform: Shape 67">
            <a:extLst>
              <a:ext uri="{FF2B5EF4-FFF2-40B4-BE49-F238E27FC236}">
                <a16:creationId xmlns:a16="http://schemas.microsoft.com/office/drawing/2014/main" id="{489657BC-DD23-4631-949F-F21EA02DF3C9}"/>
              </a:ext>
            </a:extLst>
          </xdr:cNvPr>
          <xdr:cNvSpPr/>
        </xdr:nvSpPr>
        <xdr:spPr>
          <a:xfrm rot="2142401">
            <a:off x="5877652" y="1348909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70" tIns="9631" rIns="218368" bIns="963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13</xdr:col>
      <xdr:colOff>136975</xdr:colOff>
      <xdr:row>3</xdr:row>
      <xdr:rowOff>94283</xdr:rowOff>
    </xdr:from>
    <xdr:to>
      <xdr:col>21</xdr:col>
      <xdr:colOff>809625</xdr:colOff>
      <xdr:row>18</xdr:row>
      <xdr:rowOff>133350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403FDF80-0DDA-3591-5D8B-1391E5C3586F}"/>
            </a:ext>
          </a:extLst>
        </xdr:cNvPr>
        <xdr:cNvGrpSpPr/>
      </xdr:nvGrpSpPr>
      <xdr:grpSpPr>
        <a:xfrm>
          <a:off x="8176075" y="903908"/>
          <a:ext cx="6044750" cy="2896567"/>
          <a:chOff x="10633525" y="903908"/>
          <a:chExt cx="5739950" cy="2896567"/>
        </a:xfrm>
      </xdr:grpSpPr>
      <xdr:sp macro="" textlink="">
        <xdr:nvSpPr>
          <xdr:cNvPr id="73" name="Freeform: Shape 72">
            <a:extLst>
              <a:ext uri="{FF2B5EF4-FFF2-40B4-BE49-F238E27FC236}">
                <a16:creationId xmlns:a16="http://schemas.microsoft.com/office/drawing/2014/main" id="{78EAFACF-85A0-BB3B-543F-D4618C0F1C42}"/>
              </a:ext>
            </a:extLst>
          </xdr:cNvPr>
          <xdr:cNvSpPr/>
        </xdr:nvSpPr>
        <xdr:spPr>
          <a:xfrm>
            <a:off x="10633525" y="90390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(equal weight)</a:t>
            </a:r>
          </a:p>
        </xdr:txBody>
      </xdr:sp>
      <xdr:sp macro="" textlink="">
        <xdr:nvSpPr>
          <xdr:cNvPr id="75" name="Freeform: Shape 74">
            <a:extLst>
              <a:ext uri="{FF2B5EF4-FFF2-40B4-BE49-F238E27FC236}">
                <a16:creationId xmlns:a16="http://schemas.microsoft.com/office/drawing/2014/main" id="{AA22CA10-BA1A-0EA4-FF23-9FC298E6A68F}"/>
              </a:ext>
            </a:extLst>
          </xdr:cNvPr>
          <xdr:cNvSpPr/>
        </xdr:nvSpPr>
        <xdr:spPr>
          <a:xfrm>
            <a:off x="12830307" y="90390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Model-1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(weighted)</a:t>
            </a:r>
          </a:p>
        </xdr:txBody>
      </xdr:sp>
      <xdr:sp macro="" textlink="">
        <xdr:nvSpPr>
          <xdr:cNvPr id="77" name="Freeform: Shape 76">
            <a:extLst>
              <a:ext uri="{FF2B5EF4-FFF2-40B4-BE49-F238E27FC236}">
                <a16:creationId xmlns:a16="http://schemas.microsoft.com/office/drawing/2014/main" id="{726B152D-4268-B349-04D9-4852FD96175A}"/>
              </a:ext>
            </a:extLst>
          </xdr:cNvPr>
          <xdr:cNvSpPr/>
        </xdr:nvSpPr>
        <xdr:spPr>
          <a:xfrm>
            <a:off x="10633525" y="249088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(higher weight to misclassified observations)</a:t>
            </a:r>
          </a:p>
        </xdr:txBody>
      </xdr:sp>
      <xdr:sp macro="" textlink="">
        <xdr:nvSpPr>
          <xdr:cNvPr id="79" name="Freeform: Shape 78">
            <a:extLst>
              <a:ext uri="{FF2B5EF4-FFF2-40B4-BE49-F238E27FC236}">
                <a16:creationId xmlns:a16="http://schemas.microsoft.com/office/drawing/2014/main" id="{BE38C2A7-B9E9-A305-F3D8-3235D42836B4}"/>
              </a:ext>
            </a:extLst>
          </xdr:cNvPr>
          <xdr:cNvSpPr/>
        </xdr:nvSpPr>
        <xdr:spPr>
          <a:xfrm>
            <a:off x="12839491" y="249088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Model-2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US" sz="1000" kern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w</a:t>
            </a:r>
            <a:r>
              <a:rPr lang="en-US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eighted)</a:t>
            </a:r>
            <a:endParaRPr lang="en-US" sz="10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0" name="Freeform: Shape 79">
            <a:extLst>
              <a:ext uri="{FF2B5EF4-FFF2-40B4-BE49-F238E27FC236}">
                <a16:creationId xmlns:a16="http://schemas.microsoft.com/office/drawing/2014/main" id="{9DE94773-9B7E-A77C-2810-F149A88BEEC9}"/>
              </a:ext>
            </a:extLst>
          </xdr:cNvPr>
          <xdr:cNvSpPr/>
        </xdr:nvSpPr>
        <xdr:spPr>
          <a:xfrm>
            <a:off x="14962800" y="1659419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Final Model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(weighted sum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of models)</a:t>
            </a:r>
          </a:p>
        </xdr:txBody>
      </xdr:sp>
      <xdr:cxnSp macro="">
        <xdr:nvCxnSpPr>
          <xdr:cNvPr id="87" name="Straight Arrow Connector 86">
            <a:extLst>
              <a:ext uri="{FF2B5EF4-FFF2-40B4-BE49-F238E27FC236}">
                <a16:creationId xmlns:a16="http://schemas.microsoft.com/office/drawing/2014/main" id="{C6643452-7455-CA1A-08AC-AB2762A4E42D}"/>
              </a:ext>
            </a:extLst>
          </xdr:cNvPr>
          <xdr:cNvCxnSpPr/>
        </xdr:nvCxnSpPr>
        <xdr:spPr>
          <a:xfrm flipV="1">
            <a:off x="11837441" y="1577230"/>
            <a:ext cx="1007043" cy="6261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Arrow Connector 94">
            <a:extLst>
              <a:ext uri="{FF2B5EF4-FFF2-40B4-BE49-F238E27FC236}">
                <a16:creationId xmlns:a16="http://schemas.microsoft.com/office/drawing/2014/main" id="{2C114FF9-E2DA-1728-453F-483B1B30850C}"/>
              </a:ext>
            </a:extLst>
          </xdr:cNvPr>
          <xdr:cNvCxnSpPr/>
        </xdr:nvCxnSpPr>
        <xdr:spPr>
          <a:xfrm>
            <a:off x="12057859" y="3113291"/>
            <a:ext cx="793505" cy="3483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Arrow Connector 95">
            <a:extLst>
              <a:ext uri="{FF2B5EF4-FFF2-40B4-BE49-F238E27FC236}">
                <a16:creationId xmlns:a16="http://schemas.microsoft.com/office/drawing/2014/main" id="{4433B582-D328-16A3-03B6-C9588905E721}"/>
              </a:ext>
            </a:extLst>
          </xdr:cNvPr>
          <xdr:cNvCxnSpPr>
            <a:stCxn id="75" idx="6"/>
          </xdr:cNvCxnSpPr>
        </xdr:nvCxnSpPr>
        <xdr:spPr>
          <a:xfrm flipH="1">
            <a:off x="12054653" y="2213495"/>
            <a:ext cx="846187" cy="874047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Arrow Connector 97">
            <a:extLst>
              <a:ext uri="{FF2B5EF4-FFF2-40B4-BE49-F238E27FC236}">
                <a16:creationId xmlns:a16="http://schemas.microsoft.com/office/drawing/2014/main" id="{A70C4A38-0826-00AF-757B-3E4DA07E0361}"/>
              </a:ext>
            </a:extLst>
          </xdr:cNvPr>
          <xdr:cNvCxnSpPr/>
        </xdr:nvCxnSpPr>
        <xdr:spPr>
          <a:xfrm>
            <a:off x="14243671" y="1495795"/>
            <a:ext cx="722336" cy="831719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7F75F007-028A-D105-431A-F0D66EB337BB}"/>
              </a:ext>
            </a:extLst>
          </xdr:cNvPr>
          <xdr:cNvSpPr txBox="1"/>
        </xdr:nvSpPr>
        <xdr:spPr>
          <a:xfrm rot="18920194">
            <a:off x="12054654" y="2405467"/>
            <a:ext cx="844935" cy="253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solidFill>
                  <a:schemeClr val="tx2">
                    <a:lumMod val="50000"/>
                    <a:lumOff val="50000"/>
                  </a:schemeClr>
                </a:solidFill>
              </a:rPr>
              <a:t>Weakness</a:t>
            </a:r>
          </a:p>
        </xdr:txBody>
      </xdr:sp>
      <xdr:cxnSp macro="">
        <xdr:nvCxnSpPr>
          <xdr:cNvPr id="113" name="Straight Arrow Connector 112">
            <a:extLst>
              <a:ext uri="{FF2B5EF4-FFF2-40B4-BE49-F238E27FC236}">
                <a16:creationId xmlns:a16="http://schemas.microsoft.com/office/drawing/2014/main" id="{5921144E-26A3-51C6-E174-D512F995DBD3}"/>
              </a:ext>
            </a:extLst>
          </xdr:cNvPr>
          <xdr:cNvCxnSpPr/>
        </xdr:nvCxnSpPr>
        <xdr:spPr>
          <a:xfrm flipV="1">
            <a:off x="14295569" y="2356746"/>
            <a:ext cx="661254" cy="760028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43</xdr:row>
      <xdr:rowOff>9524</xdr:rowOff>
    </xdr:from>
    <xdr:to>
      <xdr:col>7</xdr:col>
      <xdr:colOff>323850</xdr:colOff>
      <xdr:row>44</xdr:row>
      <xdr:rowOff>133349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F31FA9D-FAA7-9E28-6245-A7C3FA677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391524"/>
          <a:ext cx="31718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50</xdr:row>
      <xdr:rowOff>171450</xdr:rowOff>
    </xdr:from>
    <xdr:to>
      <xdr:col>5</xdr:col>
      <xdr:colOff>72025</xdr:colOff>
      <xdr:row>54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305C9C-AC90-5EC9-D575-37FE38E7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0125075"/>
          <a:ext cx="127217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adeep-dhote9.medium.com/adaboost-gradient-boosting-algorithm-xgboost-ensemble-model-361ede2d442c" TargetMode="External"/><Relationship Id="rId1" Type="http://schemas.openxmlformats.org/officeDocument/2006/relationships/hyperlink" Target="https://sefiks.com/2018/11/02/a-step-by-step-adaboost-examp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medium.com/@ryassminh/xgboost-with-a-simple-example-92d5d91789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33E1-2355-4A04-8385-F33AFBFF5094}">
  <dimension ref="A1:W31"/>
  <sheetViews>
    <sheetView showGridLines="0" workbookViewId="0">
      <selection activeCell="I31" sqref="I31"/>
    </sheetView>
  </sheetViews>
  <sheetFormatPr defaultRowHeight="15"/>
  <cols>
    <col min="2" max="2" width="11.140625" bestFit="1" customWidth="1"/>
    <col min="3" max="3" width="11.5703125" bestFit="1" customWidth="1"/>
    <col min="4" max="4" width="14.28515625" bestFit="1" customWidth="1"/>
    <col min="5" max="5" width="12" customWidth="1"/>
    <col min="6" max="6" width="9" bestFit="1" customWidth="1"/>
    <col min="7" max="7" width="12.7109375" customWidth="1"/>
    <col min="8" max="8" width="12.5703125" customWidth="1"/>
    <col min="9" max="9" width="11" customWidth="1"/>
    <col min="10" max="10" width="19" bestFit="1" customWidth="1"/>
    <col min="11" max="11" width="12" customWidth="1"/>
    <col min="12" max="13" width="12.7109375" customWidth="1"/>
    <col min="15" max="15" width="12" customWidth="1"/>
    <col min="16" max="16" width="13" customWidth="1"/>
    <col min="17" max="17" width="14.28515625" customWidth="1"/>
    <col min="18" max="18" width="10.5703125" customWidth="1"/>
    <col min="19" max="19" width="4.5703125" customWidth="1"/>
    <col min="20" max="20" width="15.28515625" customWidth="1"/>
    <col min="21" max="21" width="11" bestFit="1" customWidth="1"/>
    <col min="22" max="22" width="12" bestFit="1" customWidth="1"/>
    <col min="24" max="24" width="11.7109375" customWidth="1"/>
  </cols>
  <sheetData>
    <row r="1" spans="2:23">
      <c r="B1" s="43" t="s">
        <v>23</v>
      </c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2:23">
      <c r="B2" s="43" t="s">
        <v>24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2:2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5" spans="2:23">
      <c r="E5" s="42" t="s">
        <v>13</v>
      </c>
      <c r="F5" s="42"/>
      <c r="G5" s="42"/>
      <c r="H5" s="42"/>
      <c r="I5" s="42" t="s">
        <v>19</v>
      </c>
      <c r="J5" s="42"/>
      <c r="K5" s="42"/>
      <c r="L5" s="42"/>
      <c r="M5" s="42" t="s">
        <v>27</v>
      </c>
      <c r="N5" s="42"/>
      <c r="O5" s="42"/>
      <c r="P5" s="42"/>
      <c r="Q5" s="42" t="s">
        <v>28</v>
      </c>
      <c r="R5" s="42"/>
    </row>
    <row r="6" spans="2:23" ht="45">
      <c r="B6" s="11" t="s">
        <v>3</v>
      </c>
      <c r="C6" s="11" t="s">
        <v>2</v>
      </c>
      <c r="D6" s="11" t="s">
        <v>4</v>
      </c>
      <c r="E6" s="11" t="s">
        <v>21</v>
      </c>
      <c r="F6" s="11" t="s">
        <v>16</v>
      </c>
      <c r="G6" s="11" t="s">
        <v>17</v>
      </c>
      <c r="H6" s="11" t="s">
        <v>18</v>
      </c>
      <c r="I6" s="11" t="s">
        <v>21</v>
      </c>
      <c r="J6" s="11" t="s">
        <v>16</v>
      </c>
      <c r="K6" s="11" t="s">
        <v>17</v>
      </c>
      <c r="L6" s="11" t="s">
        <v>18</v>
      </c>
      <c r="M6" s="11" t="s">
        <v>21</v>
      </c>
      <c r="N6" s="11" t="s">
        <v>16</v>
      </c>
      <c r="O6" s="11" t="s">
        <v>17</v>
      </c>
      <c r="P6" s="11" t="s">
        <v>18</v>
      </c>
      <c r="Q6" s="11" t="s">
        <v>29</v>
      </c>
      <c r="R6" s="11" t="s">
        <v>30</v>
      </c>
      <c r="U6" s="14" t="s">
        <v>13</v>
      </c>
      <c r="V6" s="14" t="s">
        <v>19</v>
      </c>
      <c r="W6" s="14" t="s">
        <v>27</v>
      </c>
    </row>
    <row r="7" spans="2:23" hidden="1">
      <c r="B7" s="12">
        <v>0</v>
      </c>
      <c r="C7" s="12">
        <v>0.1</v>
      </c>
      <c r="D7" s="12">
        <v>-0.1</v>
      </c>
      <c r="E7" s="12">
        <v>0</v>
      </c>
      <c r="F7" s="19">
        <f t="shared" ref="F7:F13" si="0">C7*EXP(-$U$11)</f>
        <v>6.5465367070797711E-2</v>
      </c>
      <c r="G7" s="16">
        <f t="shared" ref="G7:G16" si="1">F7/SUM($F$7:$F$16)</f>
        <v>7.1428571428571425E-2</v>
      </c>
      <c r="H7" s="17">
        <v>-7.1428571428571397E-2</v>
      </c>
      <c r="I7" s="12">
        <v>0</v>
      </c>
      <c r="J7" s="24">
        <f>G7*EXP(-$U$23)</f>
        <v>5.0507627227610527E-2</v>
      </c>
      <c r="K7" s="23">
        <f>J7/SUM($J$7:$J$16)</f>
        <v>6.2499999999999986E-2</v>
      </c>
      <c r="L7" s="12"/>
      <c r="M7" s="18"/>
      <c r="N7" s="18"/>
      <c r="O7" s="18"/>
      <c r="P7" s="18"/>
      <c r="Q7" s="18"/>
      <c r="T7" s="1" t="s">
        <v>9</v>
      </c>
      <c r="U7" s="21">
        <v>10</v>
      </c>
    </row>
    <row r="8" spans="2:23" hidden="1">
      <c r="B8" s="12">
        <v>0</v>
      </c>
      <c r="C8" s="12">
        <v>0.1</v>
      </c>
      <c r="D8" s="12">
        <v>-0.1</v>
      </c>
      <c r="E8" s="12">
        <v>0</v>
      </c>
      <c r="F8" s="19">
        <f t="shared" si="0"/>
        <v>6.5465367070797711E-2</v>
      </c>
      <c r="G8" s="16">
        <f t="shared" si="1"/>
        <v>7.1428571428571425E-2</v>
      </c>
      <c r="H8" s="17">
        <v>-7.1428571428571397E-2</v>
      </c>
      <c r="I8" s="12">
        <v>0</v>
      </c>
      <c r="J8" s="24">
        <f>G8*EXP(-$U$23)</f>
        <v>5.0507627227610527E-2</v>
      </c>
      <c r="K8" s="23">
        <f t="shared" ref="K8:K16" si="2">J8/SUM($J$7:$J$16)</f>
        <v>6.2499999999999986E-2</v>
      </c>
      <c r="L8" s="12"/>
      <c r="M8" s="18"/>
      <c r="N8" s="18"/>
      <c r="O8" s="18"/>
      <c r="P8" s="18"/>
      <c r="Q8" s="18"/>
      <c r="T8" s="1" t="s">
        <v>10</v>
      </c>
      <c r="U8" s="21">
        <v>3</v>
      </c>
    </row>
    <row r="9" spans="2:23" hidden="1">
      <c r="B9" s="12">
        <v>0</v>
      </c>
      <c r="C9" s="12">
        <v>0.1</v>
      </c>
      <c r="D9" s="12">
        <v>-0.1</v>
      </c>
      <c r="E9" s="12">
        <v>0</v>
      </c>
      <c r="F9" s="19">
        <f t="shared" si="0"/>
        <v>6.5465367070797711E-2</v>
      </c>
      <c r="G9" s="16">
        <f t="shared" si="1"/>
        <v>7.1428571428571425E-2</v>
      </c>
      <c r="H9" s="17">
        <v>-7.1428571428571397E-2</v>
      </c>
      <c r="I9" s="12">
        <v>0</v>
      </c>
      <c r="J9" s="24">
        <f>G9*EXP(-$U$23)</f>
        <v>5.0507627227610527E-2</v>
      </c>
      <c r="K9" s="23">
        <f t="shared" si="2"/>
        <v>6.2499999999999986E-2</v>
      </c>
      <c r="L9" s="12"/>
      <c r="M9" s="18"/>
      <c r="N9" s="18"/>
      <c r="O9" s="18"/>
      <c r="P9" s="18"/>
      <c r="Q9" s="18"/>
      <c r="T9" s="1" t="s">
        <v>22</v>
      </c>
      <c r="U9" s="15">
        <f>U8/U7</f>
        <v>0.3</v>
      </c>
    </row>
    <row r="10" spans="2:23" hidden="1">
      <c r="B10" s="12">
        <v>0</v>
      </c>
      <c r="C10" s="12">
        <v>0.1</v>
      </c>
      <c r="D10" s="12">
        <v>-0.1</v>
      </c>
      <c r="E10" s="12">
        <v>0</v>
      </c>
      <c r="F10" s="19">
        <f t="shared" si="0"/>
        <v>6.5465367070797711E-2</v>
      </c>
      <c r="G10" s="16">
        <f t="shared" si="1"/>
        <v>7.1428571428571425E-2</v>
      </c>
      <c r="H10" s="17">
        <v>-7.1428571428571397E-2</v>
      </c>
      <c r="I10" s="13">
        <v>1</v>
      </c>
      <c r="J10" s="24">
        <f>G10*EXP(-$U$23)</f>
        <v>5.0507627227610527E-2</v>
      </c>
      <c r="K10" s="23">
        <f t="shared" si="2"/>
        <v>6.2499999999999986E-2</v>
      </c>
      <c r="L10" s="12"/>
      <c r="M10" s="18"/>
      <c r="N10" s="18"/>
      <c r="O10" s="18"/>
      <c r="P10" s="18"/>
      <c r="Q10" s="18"/>
      <c r="T10" s="1" t="s">
        <v>11</v>
      </c>
      <c r="U10" s="15">
        <f>1-U9</f>
        <v>0.7</v>
      </c>
    </row>
    <row r="11" spans="2:23" hidden="1">
      <c r="B11" s="12">
        <v>0</v>
      </c>
      <c r="C11" s="12">
        <v>0.1</v>
      </c>
      <c r="D11" s="12">
        <v>-0.1</v>
      </c>
      <c r="E11" s="12">
        <v>0</v>
      </c>
      <c r="F11" s="19">
        <f t="shared" si="0"/>
        <v>6.5465367070797711E-2</v>
      </c>
      <c r="G11" s="16">
        <f t="shared" si="1"/>
        <v>7.1428571428571425E-2</v>
      </c>
      <c r="H11" s="17">
        <v>-7.1428571428571397E-2</v>
      </c>
      <c r="I11" s="12">
        <v>0</v>
      </c>
      <c r="J11" s="24">
        <f>G11*EXP(-$U$23)</f>
        <v>5.0507627227610527E-2</v>
      </c>
      <c r="K11" s="23">
        <f t="shared" si="2"/>
        <v>6.2499999999999986E-2</v>
      </c>
      <c r="L11" s="12"/>
      <c r="M11" s="18"/>
      <c r="N11" s="18"/>
      <c r="O11" s="18"/>
      <c r="P11" s="18"/>
      <c r="Q11" s="18"/>
      <c r="T11" s="1" t="s">
        <v>20</v>
      </c>
      <c r="U11" s="15">
        <f>(1/2)*LN(U10/U9)</f>
        <v>0.42364893019360184</v>
      </c>
    </row>
    <row r="12" spans="2:23" hidden="1">
      <c r="B12" s="12">
        <v>1</v>
      </c>
      <c r="C12" s="12">
        <v>0.1</v>
      </c>
      <c r="D12" s="12">
        <v>0.1</v>
      </c>
      <c r="E12" s="12">
        <v>1</v>
      </c>
      <c r="F12" s="19">
        <f t="shared" si="0"/>
        <v>6.5465367070797711E-2</v>
      </c>
      <c r="G12" s="16">
        <f t="shared" si="1"/>
        <v>7.1428571428571425E-2</v>
      </c>
      <c r="H12" s="17">
        <v>7.1428571428571425E-2</v>
      </c>
      <c r="I12" s="13">
        <v>0</v>
      </c>
      <c r="J12" s="24">
        <f>G12*EXP($U$23)</f>
        <v>0.10101525445522108</v>
      </c>
      <c r="K12" s="23">
        <f t="shared" si="2"/>
        <v>0.125</v>
      </c>
      <c r="L12" s="12"/>
      <c r="M12" s="18"/>
      <c r="N12" s="18"/>
      <c r="O12" s="18"/>
      <c r="P12" s="18"/>
      <c r="Q12" s="18"/>
      <c r="T12" s="1" t="s">
        <v>12</v>
      </c>
      <c r="U12" s="15">
        <f>1/U7</f>
        <v>0.1</v>
      </c>
    </row>
    <row r="13" spans="2:23" hidden="1">
      <c r="B13" s="12">
        <v>1</v>
      </c>
      <c r="C13" s="12">
        <v>0.1</v>
      </c>
      <c r="D13" s="12">
        <v>0.1</v>
      </c>
      <c r="E13" s="12">
        <v>1</v>
      </c>
      <c r="F13" s="19">
        <f t="shared" si="0"/>
        <v>6.5465367070797711E-2</v>
      </c>
      <c r="G13" s="16">
        <f t="shared" si="1"/>
        <v>7.1428571428571425E-2</v>
      </c>
      <c r="H13" s="17">
        <v>7.1428571428571425E-2</v>
      </c>
      <c r="I13" s="13">
        <v>0</v>
      </c>
      <c r="J13" s="24">
        <f>G13*EXP($U$23)</f>
        <v>0.10101525445522108</v>
      </c>
      <c r="K13" s="23">
        <f t="shared" si="2"/>
        <v>0.125</v>
      </c>
      <c r="L13" s="12"/>
      <c r="M13" s="18"/>
      <c r="N13" s="18"/>
      <c r="O13" s="18"/>
      <c r="P13" s="18"/>
      <c r="Q13" s="18"/>
      <c r="T13" s="1" t="s">
        <v>14</v>
      </c>
      <c r="U13" s="15">
        <f>U12*EXP(-U11)</f>
        <v>6.5465367070797711E-2</v>
      </c>
    </row>
    <row r="14" spans="2:23" hidden="1">
      <c r="B14" s="12">
        <v>1</v>
      </c>
      <c r="C14" s="12">
        <v>0.1</v>
      </c>
      <c r="D14" s="12">
        <v>0.1</v>
      </c>
      <c r="E14" s="13">
        <v>0</v>
      </c>
      <c r="F14" s="20">
        <f>C14*EXP($U$11)</f>
        <v>0.15275252316519469</v>
      </c>
      <c r="G14" s="16">
        <f t="shared" si="1"/>
        <v>0.16666666666666669</v>
      </c>
      <c r="H14" s="17">
        <v>0.16666666666666669</v>
      </c>
      <c r="I14" s="12">
        <v>1</v>
      </c>
      <c r="J14" s="24">
        <f>G14*EXP(-$U$23)</f>
        <v>0.11785113019775792</v>
      </c>
      <c r="K14" s="23">
        <f t="shared" si="2"/>
        <v>0.14583333333333331</v>
      </c>
      <c r="L14" s="12"/>
      <c r="M14" s="18"/>
      <c r="N14" s="18"/>
      <c r="O14" s="18"/>
      <c r="P14" s="18"/>
      <c r="Q14" s="18"/>
      <c r="T14" s="1" t="s">
        <v>15</v>
      </c>
      <c r="U14" s="15">
        <f>U12*EXP(U11)</f>
        <v>0.15275252316519469</v>
      </c>
    </row>
    <row r="15" spans="2:23" hidden="1">
      <c r="B15" s="12">
        <v>1</v>
      </c>
      <c r="C15" s="12">
        <v>0.1</v>
      </c>
      <c r="D15" s="12">
        <v>0.1</v>
      </c>
      <c r="E15" s="13">
        <v>0</v>
      </c>
      <c r="F15" s="20">
        <f t="shared" ref="F15:F16" si="3">C15*EXP($U$11)</f>
        <v>0.15275252316519469</v>
      </c>
      <c r="G15" s="16">
        <f t="shared" si="1"/>
        <v>0.16666666666666669</v>
      </c>
      <c r="H15" s="17">
        <v>0.16666666666666669</v>
      </c>
      <c r="I15" s="12">
        <v>1</v>
      </c>
      <c r="J15" s="24">
        <f>G15*EXP(-$U$23)</f>
        <v>0.11785113019775792</v>
      </c>
      <c r="K15" s="23">
        <f t="shared" si="2"/>
        <v>0.14583333333333331</v>
      </c>
      <c r="L15" s="12"/>
      <c r="M15" s="18"/>
      <c r="N15" s="18"/>
      <c r="O15" s="18"/>
      <c r="P15" s="18"/>
      <c r="Q15" s="18"/>
    </row>
    <row r="16" spans="2:23" hidden="1">
      <c r="B16" s="12">
        <v>1</v>
      </c>
      <c r="C16" s="12">
        <v>0.1</v>
      </c>
      <c r="D16" s="12">
        <v>0.1</v>
      </c>
      <c r="E16" s="13">
        <v>0</v>
      </c>
      <c r="F16" s="20">
        <f t="shared" si="3"/>
        <v>0.15275252316519469</v>
      </c>
      <c r="G16" s="16">
        <f t="shared" si="1"/>
        <v>0.16666666666666669</v>
      </c>
      <c r="H16" s="17">
        <v>0.16666666666666669</v>
      </c>
      <c r="I16" s="12">
        <v>1</v>
      </c>
      <c r="J16" s="24">
        <f>G16*EXP(-$U$23)</f>
        <v>0.11785113019775792</v>
      </c>
      <c r="K16" s="23">
        <f t="shared" si="2"/>
        <v>0.14583333333333331</v>
      </c>
      <c r="L16" s="12"/>
      <c r="M16" s="18"/>
      <c r="N16" s="18"/>
      <c r="O16" s="18"/>
      <c r="P16" s="18"/>
      <c r="Q16" s="18"/>
    </row>
    <row r="17" spans="1:23" hidden="1"/>
    <row r="18" spans="1:23" hidden="1"/>
    <row r="19" spans="1:23">
      <c r="A19" s="12">
        <v>1</v>
      </c>
      <c r="B19" s="12" t="s">
        <v>25</v>
      </c>
      <c r="C19" s="26">
        <f>1/$A$24</f>
        <v>0.16666666666666666</v>
      </c>
      <c r="D19" s="12"/>
      <c r="E19" s="12">
        <v>1</v>
      </c>
      <c r="F19" s="26">
        <f>C19*EXP(-$U$23)</f>
        <v>0.11785113019775791</v>
      </c>
      <c r="G19" s="26">
        <f>F19/SUM($F$19:$F$24)</f>
        <v>0.12499999999999997</v>
      </c>
      <c r="I19" s="12">
        <v>1</v>
      </c>
      <c r="J19" s="26">
        <f>G19*EXP(-$V$23)</f>
        <v>7.2168783648703203E-2</v>
      </c>
      <c r="K19" s="26">
        <f>J19/SUM($J$19:$J$24)</f>
        <v>8.3333333333333343E-2</v>
      </c>
      <c r="M19" s="12">
        <v>1</v>
      </c>
      <c r="N19" s="26">
        <f>K19*EXP(-$W$23)</f>
        <v>0.14433756729740652</v>
      </c>
      <c r="O19" s="26">
        <f>N19/SUM($N$19:$N$24)</f>
        <v>0.16666666666666671</v>
      </c>
      <c r="Q19" s="36">
        <f>$U$23*E19+$V$23*I19+$W$23*M19</f>
        <v>0.34657359027997259</v>
      </c>
      <c r="R19" s="35">
        <f>IF(Q19&gt;0,1,0)</f>
        <v>1</v>
      </c>
      <c r="T19" s="1" t="s">
        <v>9</v>
      </c>
      <c r="U19" s="22">
        <v>6</v>
      </c>
      <c r="V19" s="22">
        <v>6</v>
      </c>
      <c r="W19" s="22">
        <v>6</v>
      </c>
    </row>
    <row r="20" spans="1:23">
      <c r="A20" s="12">
        <f>A19+1</f>
        <v>2</v>
      </c>
      <c r="B20" s="12" t="s">
        <v>25</v>
      </c>
      <c r="C20" s="26">
        <f t="shared" ref="C20:C24" si="4">1/$A$24</f>
        <v>0.16666666666666666</v>
      </c>
      <c r="D20" s="12"/>
      <c r="E20" s="13">
        <v>0</v>
      </c>
      <c r="F20" s="27">
        <f>C20*EXP($U$23)</f>
        <v>0.23570226039551584</v>
      </c>
      <c r="G20" s="27">
        <f t="shared" ref="G20:G24" si="5">F20/SUM($F$19:$F$24)</f>
        <v>0.24999999999999997</v>
      </c>
      <c r="I20" s="13">
        <v>0</v>
      </c>
      <c r="J20" s="27">
        <f>G20*EXP($V$23)</f>
        <v>0.4330127018922193</v>
      </c>
      <c r="K20" s="27">
        <f t="shared" ref="K20:K25" si="6">J20/SUM($J$19:$J$24)</f>
        <v>0.50000000000000011</v>
      </c>
      <c r="M20" s="13">
        <v>0</v>
      </c>
      <c r="N20" s="26">
        <f>K20*EXP($W$23)</f>
        <v>0.28867513459481287</v>
      </c>
      <c r="O20" s="26">
        <f t="shared" ref="O20:O25" si="7">N20/SUM($N$19:$N$24)</f>
        <v>0.33333333333333326</v>
      </c>
      <c r="Q20" s="36">
        <f t="shared" ref="Q20:Q24" si="8">$U$23*E20+$V$23*I20+$W$23*M20</f>
        <v>0</v>
      </c>
      <c r="R20" s="34">
        <f t="shared" ref="R20:R24" si="9">IF(Q20&gt;0,1,0)</f>
        <v>0</v>
      </c>
      <c r="T20" s="1" t="s">
        <v>10</v>
      </c>
      <c r="U20" s="1">
        <v>2</v>
      </c>
      <c r="V20" s="1">
        <v>1</v>
      </c>
      <c r="W20" s="1">
        <v>4</v>
      </c>
    </row>
    <row r="21" spans="1:23">
      <c r="A21" s="12">
        <f t="shared" ref="A21:A24" si="10">A20+1</f>
        <v>3</v>
      </c>
      <c r="B21" s="12" t="s">
        <v>26</v>
      </c>
      <c r="C21" s="26">
        <f t="shared" si="4"/>
        <v>0.16666666666666666</v>
      </c>
      <c r="D21" s="12"/>
      <c r="E21" s="13">
        <v>1</v>
      </c>
      <c r="F21" s="27">
        <f>C21*EXP($U$23)</f>
        <v>0.23570226039551584</v>
      </c>
      <c r="G21" s="27">
        <f t="shared" si="5"/>
        <v>0.24999999999999997</v>
      </c>
      <c r="I21" s="12">
        <v>0</v>
      </c>
      <c r="J21" s="26">
        <f>G21*EXP(-$V$23)</f>
        <v>0.14433756729740641</v>
      </c>
      <c r="K21" s="26">
        <f t="shared" si="6"/>
        <v>0.16666666666666669</v>
      </c>
      <c r="M21" s="12">
        <v>0</v>
      </c>
      <c r="N21" s="26">
        <f>K21*EXP(-$W$23)</f>
        <v>0.28867513459481303</v>
      </c>
      <c r="O21" s="26">
        <f t="shared" si="7"/>
        <v>0.33333333333333343</v>
      </c>
      <c r="Q21" s="36">
        <f t="shared" si="8"/>
        <v>0.34657359027997275</v>
      </c>
      <c r="R21" s="34">
        <f t="shared" si="9"/>
        <v>1</v>
      </c>
      <c r="T21" s="1" t="s">
        <v>22</v>
      </c>
      <c r="U21" s="15">
        <f>U20/U19</f>
        <v>0.33333333333333331</v>
      </c>
      <c r="V21" s="15">
        <f>G20</f>
        <v>0.24999999999999997</v>
      </c>
      <c r="W21" s="15">
        <f>1*K20+3*K22</f>
        <v>0.75000000000000011</v>
      </c>
    </row>
    <row r="22" spans="1:23">
      <c r="A22" s="12">
        <f t="shared" si="10"/>
        <v>4</v>
      </c>
      <c r="B22" s="12" t="s">
        <v>26</v>
      </c>
      <c r="C22" s="26">
        <f t="shared" si="4"/>
        <v>0.16666666666666666</v>
      </c>
      <c r="D22" s="12"/>
      <c r="E22" s="12">
        <v>0</v>
      </c>
      <c r="F22" s="26">
        <f>C22*EXP(-$U$23)</f>
        <v>0.11785113019775791</v>
      </c>
      <c r="G22" s="26">
        <f t="shared" si="5"/>
        <v>0.12499999999999997</v>
      </c>
      <c r="I22" s="12">
        <v>0</v>
      </c>
      <c r="J22" s="26">
        <f>G22*EXP(-$V$23)</f>
        <v>7.2168783648703203E-2</v>
      </c>
      <c r="K22" s="26">
        <f t="shared" si="6"/>
        <v>8.3333333333333343E-2</v>
      </c>
      <c r="M22" s="13">
        <v>1</v>
      </c>
      <c r="N22" s="26">
        <f>K22*EXP($W$23)</f>
        <v>4.8112522432468809E-2</v>
      </c>
      <c r="O22" s="26">
        <f t="shared" si="7"/>
        <v>5.5555555555555539E-2</v>
      </c>
      <c r="Q22" s="36">
        <f t="shared" si="8"/>
        <v>-0.54930614433405511</v>
      </c>
      <c r="R22" s="34">
        <f t="shared" si="9"/>
        <v>0</v>
      </c>
      <c r="T22" s="1" t="s">
        <v>11</v>
      </c>
      <c r="U22" s="15">
        <f>1-U21</f>
        <v>0.66666666666666674</v>
      </c>
      <c r="V22" s="15">
        <f>1-V21</f>
        <v>0.75</v>
      </c>
      <c r="W22" s="15">
        <f>1-W21</f>
        <v>0.24999999999999989</v>
      </c>
    </row>
    <row r="23" spans="1:23">
      <c r="A23" s="12">
        <f t="shared" si="10"/>
        <v>5</v>
      </c>
      <c r="B23" s="12" t="s">
        <v>25</v>
      </c>
      <c r="C23" s="26">
        <f t="shared" si="4"/>
        <v>0.16666666666666666</v>
      </c>
      <c r="D23" s="12"/>
      <c r="E23" s="12">
        <v>1</v>
      </c>
      <c r="F23" s="26">
        <f>C23*EXP(-$U$23)</f>
        <v>0.11785113019775791</v>
      </c>
      <c r="G23" s="26">
        <f t="shared" si="5"/>
        <v>0.12499999999999997</v>
      </c>
      <c r="I23" s="12">
        <v>1</v>
      </c>
      <c r="J23" s="26">
        <f>G23*EXP(-$V$23)</f>
        <v>7.2168783648703203E-2</v>
      </c>
      <c r="K23" s="26">
        <f t="shared" si="6"/>
        <v>8.3333333333333343E-2</v>
      </c>
      <c r="M23" s="13">
        <v>0</v>
      </c>
      <c r="N23" s="26">
        <f t="shared" ref="N23:N24" si="11">K23*EXP($W$23)</f>
        <v>4.8112522432468809E-2</v>
      </c>
      <c r="O23" s="26">
        <f t="shared" si="7"/>
        <v>5.5555555555555539E-2</v>
      </c>
      <c r="Q23" s="36">
        <f t="shared" si="8"/>
        <v>0.8958797346140277</v>
      </c>
      <c r="R23" s="34">
        <f t="shared" si="9"/>
        <v>1</v>
      </c>
      <c r="T23" s="1" t="s">
        <v>20</v>
      </c>
      <c r="U23" s="15">
        <f>(1/2)*LN(U22/U21)</f>
        <v>0.34657359027997275</v>
      </c>
      <c r="V23" s="15">
        <f>(1/2)*LN(V22/V21)</f>
        <v>0.54930614433405489</v>
      </c>
      <c r="W23" s="15">
        <f>(1/2)*LN(W22/W21)</f>
        <v>-0.54930614433405511</v>
      </c>
    </row>
    <row r="24" spans="1:23">
      <c r="A24" s="12">
        <f t="shared" si="10"/>
        <v>6</v>
      </c>
      <c r="B24" s="12" t="s">
        <v>25</v>
      </c>
      <c r="C24" s="26">
        <f t="shared" si="4"/>
        <v>0.16666666666666666</v>
      </c>
      <c r="D24" s="12"/>
      <c r="E24" s="12">
        <v>1</v>
      </c>
      <c r="F24" s="26">
        <f>C24*EXP(-$U$23)</f>
        <v>0.11785113019775791</v>
      </c>
      <c r="G24" s="26">
        <f t="shared" si="5"/>
        <v>0.12499999999999997</v>
      </c>
      <c r="I24" s="12">
        <v>1</v>
      </c>
      <c r="J24" s="26">
        <f>G24*EXP(-$V$23)</f>
        <v>7.2168783648703203E-2</v>
      </c>
      <c r="K24" s="26">
        <f t="shared" si="6"/>
        <v>8.3333333333333343E-2</v>
      </c>
      <c r="M24" s="13">
        <v>0</v>
      </c>
      <c r="N24" s="26">
        <f t="shared" si="11"/>
        <v>4.8112522432468809E-2</v>
      </c>
      <c r="O24" s="26">
        <f t="shared" si="7"/>
        <v>5.5555555555555539E-2</v>
      </c>
      <c r="Q24" s="36">
        <f t="shared" si="8"/>
        <v>0.8958797346140277</v>
      </c>
      <c r="R24" s="34">
        <f t="shared" si="9"/>
        <v>1</v>
      </c>
    </row>
    <row r="25" spans="1:23">
      <c r="F25" s="28">
        <f>SUM(F19:F24)</f>
        <v>0.94280904158206347</v>
      </c>
      <c r="G25" s="29">
        <f>SUM(G19:G24)</f>
        <v>0.99999999999999989</v>
      </c>
      <c r="J25" s="30">
        <f>SUM(J19:J24)</f>
        <v>0.86602540378443837</v>
      </c>
      <c r="K25">
        <f t="shared" si="6"/>
        <v>1</v>
      </c>
      <c r="N25" s="32">
        <f>SUM(N19:N24)</f>
        <v>0.86602540378443882</v>
      </c>
      <c r="O25" s="33">
        <f t="shared" si="7"/>
        <v>1</v>
      </c>
    </row>
    <row r="28" spans="1:23">
      <c r="B28" s="2" t="s">
        <v>5</v>
      </c>
      <c r="C28" s="2"/>
      <c r="D28" s="2"/>
      <c r="E28" s="2"/>
      <c r="F28" s="2"/>
    </row>
    <row r="29" spans="1:23">
      <c r="B29" s="2" t="s">
        <v>6</v>
      </c>
      <c r="C29" s="2"/>
      <c r="D29" s="2"/>
      <c r="E29" s="2"/>
      <c r="F29" s="2"/>
    </row>
    <row r="30" spans="1:23">
      <c r="B30" s="2" t="s">
        <v>7</v>
      </c>
      <c r="C30" s="2"/>
      <c r="D30" s="2"/>
      <c r="E30" s="2"/>
      <c r="F30" s="2"/>
      <c r="J30" s="31"/>
    </row>
    <row r="31" spans="1:23">
      <c r="B31" s="2" t="s">
        <v>8</v>
      </c>
      <c r="C31" s="2"/>
      <c r="D31" s="2"/>
      <c r="E31" s="2"/>
      <c r="F31" s="2"/>
    </row>
  </sheetData>
  <autoFilter ref="B6:E16" xr:uid="{857233E1-2355-4A04-8385-F33AFBFF5094}"/>
  <sortState xmlns:xlrd2="http://schemas.microsoft.com/office/spreadsheetml/2017/richdata2" ref="H20:T29">
    <sortCondition ref="H20:H29"/>
  </sortState>
  <mergeCells count="6">
    <mergeCell ref="Q5:R5"/>
    <mergeCell ref="E5:H5"/>
    <mergeCell ref="I5:L5"/>
    <mergeCell ref="B1:L1"/>
    <mergeCell ref="M5:P5"/>
    <mergeCell ref="B2:L2"/>
  </mergeCells>
  <phoneticPr fontId="6" type="noConversion"/>
  <hyperlinks>
    <hyperlink ref="B1" r:id="rId1" location="google_vignette" xr:uid="{385F0E5F-F074-4DAA-A9A1-DECF988B68B6}"/>
    <hyperlink ref="B2" r:id="rId2" xr:uid="{F31BE1CB-0E49-4D2B-B3CE-35D61F212E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F4DF-5BB4-4264-A1BC-8E45609FF125}">
  <dimension ref="B3:V32"/>
  <sheetViews>
    <sheetView showGridLines="0" workbookViewId="0">
      <selection activeCell="E32" sqref="E32"/>
    </sheetView>
  </sheetViews>
  <sheetFormatPr defaultRowHeight="15"/>
  <cols>
    <col min="11" max="11" width="11" bestFit="1" customWidth="1"/>
    <col min="13" max="13" width="9" customWidth="1"/>
    <col min="20" max="22" width="12.85546875" customWidth="1"/>
  </cols>
  <sheetData>
    <row r="3" spans="2:22" ht="33.75" customHeight="1">
      <c r="B3" s="44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N3" s="45" t="s">
        <v>1</v>
      </c>
      <c r="O3" s="45"/>
      <c r="P3" s="45"/>
      <c r="Q3" s="45"/>
      <c r="R3" s="45"/>
      <c r="S3" s="45"/>
      <c r="T3" s="45"/>
      <c r="U3" s="45"/>
      <c r="V3" s="45"/>
    </row>
    <row r="4" spans="2:2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N4" s="3"/>
      <c r="O4" s="3"/>
      <c r="P4" s="3"/>
      <c r="Q4" s="3"/>
      <c r="R4" s="3"/>
      <c r="S4" s="3"/>
      <c r="T4" s="3"/>
      <c r="U4" s="3"/>
      <c r="V4" s="3"/>
    </row>
    <row r="5" spans="2:2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 s="3"/>
      <c r="O5" s="3"/>
      <c r="P5" s="3"/>
      <c r="Q5" s="3"/>
      <c r="R5" s="3"/>
      <c r="S5" s="3"/>
      <c r="T5" s="3"/>
      <c r="U5" s="3"/>
      <c r="V5" s="3"/>
    </row>
    <row r="6" spans="2:2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N6" s="3"/>
      <c r="O6" s="3"/>
      <c r="P6" s="3"/>
      <c r="Q6" s="3"/>
      <c r="R6" s="3"/>
      <c r="S6" s="3"/>
      <c r="T6" s="3"/>
      <c r="U6" s="3"/>
      <c r="V6" s="3"/>
    </row>
    <row r="7" spans="2:2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s="3"/>
      <c r="O7" s="3"/>
      <c r="P7" s="3"/>
      <c r="Q7" s="3"/>
      <c r="R7" s="3"/>
      <c r="S7" s="3"/>
      <c r="T7" s="3"/>
      <c r="U7" s="3"/>
      <c r="V7" s="3"/>
    </row>
    <row r="8" spans="2:2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3"/>
      <c r="O8" s="3"/>
      <c r="P8" s="3"/>
      <c r="Q8" s="3"/>
      <c r="R8" s="3"/>
      <c r="S8" s="3"/>
      <c r="T8" s="3"/>
      <c r="U8" s="3"/>
      <c r="V8" s="3"/>
    </row>
    <row r="9" spans="2:2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N9" s="3"/>
      <c r="O9" s="3"/>
      <c r="P9" s="3"/>
      <c r="Q9" s="3"/>
      <c r="R9" s="3"/>
      <c r="S9" s="3"/>
      <c r="T9" s="3"/>
      <c r="U9" s="3"/>
      <c r="V9" s="3"/>
    </row>
    <row r="10" spans="2:2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N10" s="3"/>
      <c r="O10" s="3"/>
      <c r="P10" s="3"/>
      <c r="Q10" s="3"/>
      <c r="R10" s="3"/>
      <c r="S10" s="3"/>
      <c r="T10" s="3"/>
      <c r="U10" s="3"/>
      <c r="V10" s="3"/>
    </row>
    <row r="11" spans="2:2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3"/>
      <c r="O11" s="3"/>
      <c r="P11" s="3"/>
      <c r="Q11" s="3"/>
      <c r="R11" s="3"/>
      <c r="S11" s="3"/>
      <c r="T11" s="3"/>
      <c r="U11" s="3"/>
      <c r="V11" s="3"/>
    </row>
    <row r="12" spans="2:2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N12" s="3"/>
      <c r="O12" s="3"/>
      <c r="P12" s="3"/>
      <c r="Q12" s="3"/>
      <c r="R12" s="3"/>
      <c r="S12" s="3"/>
      <c r="T12" s="3"/>
      <c r="U12" s="3"/>
      <c r="V12" s="3"/>
    </row>
    <row r="13" spans="2:2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N13" s="3"/>
      <c r="O13" s="3"/>
      <c r="P13" s="3"/>
      <c r="Q13" s="3"/>
      <c r="R13" s="3"/>
      <c r="S13" s="3"/>
      <c r="T13" s="3"/>
      <c r="U13" s="3"/>
      <c r="V13" s="3"/>
    </row>
    <row r="14" spans="2:2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N14" s="3"/>
      <c r="O14" s="3"/>
      <c r="P14" s="3"/>
      <c r="Q14" s="3"/>
      <c r="R14" s="3"/>
      <c r="S14" s="3"/>
      <c r="T14" s="3"/>
      <c r="U14" s="3"/>
      <c r="V14" s="3"/>
    </row>
    <row r="15" spans="2:2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N15" s="3"/>
      <c r="O15" s="3"/>
      <c r="P15" s="3"/>
      <c r="Q15" s="3"/>
      <c r="R15" s="3"/>
      <c r="S15" s="3"/>
      <c r="T15" s="3"/>
      <c r="U15" s="3"/>
      <c r="V15" s="3"/>
    </row>
    <row r="16" spans="2:2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N16" s="3"/>
      <c r="O16" s="3"/>
      <c r="P16" s="3"/>
      <c r="Q16" s="3"/>
      <c r="R16" s="3"/>
      <c r="S16" s="3"/>
      <c r="T16" s="3"/>
      <c r="U16" s="3"/>
      <c r="V16" s="3"/>
    </row>
    <row r="17" spans="2:2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N17" s="3"/>
      <c r="O17" s="3"/>
      <c r="P17" s="3"/>
      <c r="Q17" s="3"/>
      <c r="R17" s="3"/>
      <c r="S17" s="3"/>
      <c r="T17" s="3"/>
      <c r="U17" s="3"/>
      <c r="V17" s="3"/>
    </row>
    <row r="18" spans="2:2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N18" s="3"/>
      <c r="O18" s="3"/>
      <c r="P18" s="3"/>
      <c r="Q18" s="3"/>
      <c r="R18" s="3"/>
      <c r="S18" s="3"/>
      <c r="T18" s="3"/>
      <c r="U18" s="3"/>
      <c r="V18" s="3"/>
    </row>
    <row r="19" spans="2:2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N19" s="3"/>
      <c r="O19" s="3"/>
      <c r="P19" s="3"/>
      <c r="Q19" s="3"/>
      <c r="R19" s="3"/>
      <c r="S19" s="3"/>
      <c r="T19" s="3"/>
      <c r="U19" s="3"/>
      <c r="V19" s="3"/>
    </row>
    <row r="22" spans="2:22">
      <c r="I22" s="4"/>
      <c r="S22" s="8"/>
      <c r="U22" s="6"/>
    </row>
    <row r="23" spans="2:22">
      <c r="S23" s="8"/>
      <c r="U23" s="6"/>
    </row>
    <row r="24" spans="2:22">
      <c r="S24" s="8"/>
      <c r="U24" s="6"/>
    </row>
    <row r="25" spans="2:22">
      <c r="O25" s="9"/>
      <c r="S25" s="8"/>
      <c r="U25" s="6"/>
    </row>
    <row r="26" spans="2:22">
      <c r="Q26" s="7"/>
      <c r="S26" s="8"/>
      <c r="U26" s="6"/>
    </row>
    <row r="27" spans="2:22">
      <c r="S27" s="8"/>
      <c r="U27" s="6"/>
    </row>
    <row r="28" spans="2:22">
      <c r="S28" s="8"/>
      <c r="T28" s="10"/>
      <c r="U28" s="6"/>
    </row>
    <row r="29" spans="2:22">
      <c r="S29" s="8"/>
      <c r="T29" s="10"/>
      <c r="U29" s="6"/>
    </row>
    <row r="30" spans="2:22">
      <c r="K30" s="6"/>
      <c r="S30" s="8"/>
      <c r="T30" s="8"/>
      <c r="U30" s="6"/>
    </row>
    <row r="31" spans="2:22">
      <c r="K31" s="8"/>
      <c r="S31" s="8"/>
      <c r="U31" s="6"/>
    </row>
    <row r="32" spans="2:22">
      <c r="K32" s="5"/>
      <c r="S32" s="8"/>
    </row>
  </sheetData>
  <mergeCells count="2">
    <mergeCell ref="B3:L3"/>
    <mergeCell ref="N3: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16EB-22F5-439E-ABEB-2866E2B93292}">
  <dimension ref="B5:G14"/>
  <sheetViews>
    <sheetView showGridLines="0" workbookViewId="0">
      <selection activeCell="B5" sqref="B5:G13"/>
    </sheetView>
  </sheetViews>
  <sheetFormatPr defaultRowHeight="15"/>
  <cols>
    <col min="2" max="2" width="28.85546875" bestFit="1" customWidth="1"/>
    <col min="3" max="3" width="14.28515625" bestFit="1" customWidth="1"/>
    <col min="4" max="4" width="9.7109375" bestFit="1" customWidth="1"/>
    <col min="5" max="5" width="13.5703125" bestFit="1" customWidth="1"/>
    <col min="6" max="6" width="14.5703125" bestFit="1" customWidth="1"/>
    <col min="7" max="7" width="14.42578125" bestFit="1" customWidth="1"/>
  </cols>
  <sheetData>
    <row r="5" spans="2:7" ht="30">
      <c r="B5" s="37" t="s">
        <v>31</v>
      </c>
      <c r="C5" s="37" t="s">
        <v>53</v>
      </c>
      <c r="D5" s="37" t="s">
        <v>32</v>
      </c>
      <c r="E5" s="37" t="s">
        <v>33</v>
      </c>
      <c r="F5" s="37" t="s">
        <v>34</v>
      </c>
      <c r="G5" s="37" t="s">
        <v>35</v>
      </c>
    </row>
    <row r="6" spans="2:7">
      <c r="B6" s="38" t="s">
        <v>36</v>
      </c>
      <c r="C6" s="39">
        <v>1995</v>
      </c>
      <c r="D6" s="39">
        <v>2001</v>
      </c>
      <c r="E6" s="39">
        <v>2014</v>
      </c>
      <c r="F6" s="39">
        <v>2017</v>
      </c>
      <c r="G6" s="39">
        <v>2017</v>
      </c>
    </row>
    <row r="7" spans="2:7">
      <c r="B7" s="38" t="s">
        <v>54</v>
      </c>
      <c r="C7" s="39" t="s">
        <v>55</v>
      </c>
      <c r="D7" s="39" t="s">
        <v>56</v>
      </c>
      <c r="E7" s="40"/>
      <c r="F7" s="40"/>
      <c r="G7" s="40"/>
    </row>
    <row r="8" spans="2:7">
      <c r="B8" s="38" t="s">
        <v>37</v>
      </c>
      <c r="C8" s="39" t="s">
        <v>38</v>
      </c>
      <c r="D8" s="39" t="s">
        <v>57</v>
      </c>
      <c r="E8" s="39" t="s">
        <v>38</v>
      </c>
      <c r="F8" s="39" t="s">
        <v>49</v>
      </c>
      <c r="G8" s="39" t="s">
        <v>38</v>
      </c>
    </row>
    <row r="9" spans="2:7">
      <c r="B9" s="38" t="s">
        <v>39</v>
      </c>
      <c r="C9" s="39" t="s">
        <v>41</v>
      </c>
      <c r="D9" s="39" t="s">
        <v>40</v>
      </c>
      <c r="E9" s="39" t="s">
        <v>42</v>
      </c>
      <c r="F9" s="39" t="s">
        <v>40</v>
      </c>
      <c r="G9" s="39" t="s">
        <v>41</v>
      </c>
    </row>
    <row r="10" spans="2:7">
      <c r="B10" s="38" t="s">
        <v>43</v>
      </c>
      <c r="C10" s="39" t="s">
        <v>45</v>
      </c>
      <c r="D10" s="39" t="s">
        <v>44</v>
      </c>
      <c r="E10" s="39" t="s">
        <v>40</v>
      </c>
      <c r="F10" s="39" t="s">
        <v>46</v>
      </c>
      <c r="G10" s="39" t="s">
        <v>47</v>
      </c>
    </row>
    <row r="11" spans="2:7">
      <c r="B11" s="38" t="s">
        <v>48</v>
      </c>
      <c r="C11" s="39" t="s">
        <v>38</v>
      </c>
      <c r="D11" s="39" t="s">
        <v>38</v>
      </c>
      <c r="E11" s="39" t="s">
        <v>49</v>
      </c>
      <c r="F11" s="39" t="s">
        <v>49</v>
      </c>
      <c r="G11" s="39" t="s">
        <v>49</v>
      </c>
    </row>
    <row r="12" spans="2:7">
      <c r="B12" s="38" t="s">
        <v>50</v>
      </c>
      <c r="C12" s="39" t="s">
        <v>51</v>
      </c>
      <c r="D12" s="39" t="s">
        <v>38</v>
      </c>
      <c r="E12" s="39" t="s">
        <v>49</v>
      </c>
      <c r="F12" s="39" t="s">
        <v>49</v>
      </c>
      <c r="G12" s="39" t="s">
        <v>49</v>
      </c>
    </row>
    <row r="13" spans="2:7">
      <c r="B13" s="38" t="s">
        <v>52</v>
      </c>
      <c r="C13" s="39" t="s">
        <v>38</v>
      </c>
      <c r="D13" s="39" t="s">
        <v>38</v>
      </c>
      <c r="E13" s="39" t="s">
        <v>49</v>
      </c>
      <c r="F13" s="39" t="s">
        <v>49</v>
      </c>
      <c r="G13" s="39" t="s">
        <v>49</v>
      </c>
    </row>
    <row r="14" spans="2:7">
      <c r="C14" s="41"/>
      <c r="D14" s="41"/>
      <c r="E14" s="41"/>
      <c r="F14" s="41"/>
      <c r="G14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FDE1-5431-47D9-A511-02E18C6467DE}">
  <dimension ref="B1:R72"/>
  <sheetViews>
    <sheetView showGridLines="0" tabSelected="1" workbookViewId="0">
      <selection activeCell="M17" sqref="M17"/>
    </sheetView>
  </sheetViews>
  <sheetFormatPr defaultRowHeight="15"/>
  <cols>
    <col min="1" max="1" width="3.5703125" customWidth="1"/>
    <col min="2" max="2" width="2.85546875" customWidth="1"/>
    <col min="6" max="6" width="14" customWidth="1"/>
    <col min="8" max="8" width="11" customWidth="1"/>
    <col min="9" max="9" width="11.140625" customWidth="1"/>
    <col min="10" max="10" width="18.5703125" customWidth="1"/>
    <col min="11" max="11" width="23.28515625" customWidth="1"/>
    <col min="12" max="12" width="17" customWidth="1"/>
    <col min="14" max="14" width="13.28515625" customWidth="1"/>
    <col min="15" max="15" width="17" bestFit="1" customWidth="1"/>
    <col min="16" max="16" width="29.7109375" customWidth="1"/>
    <col min="17" max="17" width="15.7109375" customWidth="1"/>
    <col min="18" max="18" width="13.7109375" customWidth="1"/>
    <col min="19" max="19" width="14.5703125" customWidth="1"/>
  </cols>
  <sheetData>
    <row r="1" spans="2:18">
      <c r="C1" s="49" t="s">
        <v>72</v>
      </c>
    </row>
    <row r="4" spans="2:18" ht="30">
      <c r="C4" s="37" t="s">
        <v>58</v>
      </c>
      <c r="D4" s="37" t="s">
        <v>59</v>
      </c>
      <c r="E4" s="37" t="s">
        <v>60</v>
      </c>
      <c r="F4" s="37" t="s">
        <v>61</v>
      </c>
      <c r="G4" s="37" t="s">
        <v>70</v>
      </c>
      <c r="H4" s="48" t="s">
        <v>73</v>
      </c>
      <c r="I4" s="48" t="s">
        <v>74</v>
      </c>
      <c r="J4" s="48" t="s">
        <v>88</v>
      </c>
      <c r="K4" s="48" t="s">
        <v>114</v>
      </c>
      <c r="L4" s="48" t="s">
        <v>95</v>
      </c>
      <c r="M4" s="48" t="s">
        <v>96</v>
      </c>
      <c r="N4" s="48" t="s">
        <v>97</v>
      </c>
      <c r="O4" s="48" t="s">
        <v>104</v>
      </c>
      <c r="P4" s="48" t="s">
        <v>115</v>
      </c>
      <c r="Q4" s="48" t="s">
        <v>113</v>
      </c>
      <c r="R4" s="48" t="s">
        <v>112</v>
      </c>
    </row>
    <row r="5" spans="2:18">
      <c r="C5" s="60">
        <v>1</v>
      </c>
      <c r="D5" s="62">
        <v>2</v>
      </c>
      <c r="E5" s="39">
        <v>0</v>
      </c>
      <c r="F5" s="39">
        <f>IFERROR((LOG(E5/(1-E5))),0)</f>
        <v>0</v>
      </c>
      <c r="G5" s="39">
        <v>0.5</v>
      </c>
      <c r="H5" s="39">
        <f>G5-E5</f>
        <v>0.5</v>
      </c>
      <c r="I5" s="39">
        <f>G5*(1-G5)</f>
        <v>0.25</v>
      </c>
      <c r="J5" s="54" t="s">
        <v>86</v>
      </c>
      <c r="K5" s="57">
        <f>F5+$F$46*$H$36</f>
        <v>-6.6666666666666666E-2</v>
      </c>
      <c r="L5" s="55">
        <f>1/(1+EXP(-K5))</f>
        <v>0.48333950343058857</v>
      </c>
      <c r="M5" s="56">
        <f>L5-E5</f>
        <v>0.48333950343058857</v>
      </c>
      <c r="N5" s="56">
        <f>L5*(1-L5)</f>
        <v>0.24972242785406065</v>
      </c>
      <c r="O5" s="54" t="s">
        <v>105</v>
      </c>
      <c r="P5" s="65">
        <f>K5+$F$46*$H$63</f>
        <v>-0.13113579356928007</v>
      </c>
      <c r="Q5" s="55">
        <f>1/(1+EXP(-P5))</f>
        <v>0.46726295198393242</v>
      </c>
      <c r="R5" s="66">
        <f>IF(Q5&gt;0.5,1,0)</f>
        <v>0</v>
      </c>
    </row>
    <row r="6" spans="2:18">
      <c r="C6" s="60">
        <v>2</v>
      </c>
      <c r="D6" s="62">
        <v>1</v>
      </c>
      <c r="E6" s="40">
        <v>0</v>
      </c>
      <c r="F6" s="39">
        <f t="shared" ref="F6:F10" si="0">IFERROR((LOG(E6/(1-E6))),0)</f>
        <v>0</v>
      </c>
      <c r="G6" s="39">
        <v>0.5</v>
      </c>
      <c r="H6" s="39">
        <f t="shared" ref="H6:H10" si="1">G6-E6</f>
        <v>0.5</v>
      </c>
      <c r="I6" s="39">
        <f t="shared" ref="I6:I10" si="2">G6*(1-G6)</f>
        <v>0.25</v>
      </c>
      <c r="J6" s="54" t="s">
        <v>86</v>
      </c>
      <c r="K6" s="57">
        <f>F6+$F$46*$H$36</f>
        <v>-6.6666666666666666E-2</v>
      </c>
      <c r="L6" s="55">
        <f t="shared" ref="L6:L10" si="3">1/(1+EXP(-K6))</f>
        <v>0.48333950343058857</v>
      </c>
      <c r="M6" s="56">
        <f t="shared" ref="M6:M10" si="4">L6-E6</f>
        <v>0.48333950343058857</v>
      </c>
      <c r="N6" s="56">
        <f t="shared" ref="N6:N10" si="5">L6*(1-L6)</f>
        <v>0.24972242785406065</v>
      </c>
      <c r="O6" s="54" t="s">
        <v>105</v>
      </c>
      <c r="P6" s="65">
        <f>K6+$F$46*$H$63</f>
        <v>-0.13113579356928007</v>
      </c>
      <c r="Q6" s="55">
        <f t="shared" ref="Q6:Q10" si="6">1/(1+EXP(-P6))</f>
        <v>0.46726295198393242</v>
      </c>
      <c r="R6" s="66">
        <f t="shared" ref="R6:R10" si="7">IF(Q6&gt;0.5,1,0)</f>
        <v>0</v>
      </c>
    </row>
    <row r="7" spans="2:18">
      <c r="C7" s="61">
        <v>3</v>
      </c>
      <c r="D7" s="63">
        <v>4</v>
      </c>
      <c r="E7" s="39">
        <v>1</v>
      </c>
      <c r="F7" s="39">
        <f t="shared" si="0"/>
        <v>0</v>
      </c>
      <c r="G7" s="39">
        <v>0.5</v>
      </c>
      <c r="H7" s="39">
        <f t="shared" si="1"/>
        <v>-0.5</v>
      </c>
      <c r="I7" s="39">
        <f t="shared" si="2"/>
        <v>0.25</v>
      </c>
      <c r="J7" s="54" t="s">
        <v>87</v>
      </c>
      <c r="K7" s="57">
        <f>F7+$F$46*$H$41</f>
        <v>0.05</v>
      </c>
      <c r="L7" s="55">
        <f t="shared" si="3"/>
        <v>0.51249739648421033</v>
      </c>
      <c r="M7" s="56">
        <f t="shared" si="4"/>
        <v>-0.48750260351578967</v>
      </c>
      <c r="N7" s="56">
        <f t="shared" si="5"/>
        <v>0.24984381508111644</v>
      </c>
      <c r="O7" s="54" t="s">
        <v>106</v>
      </c>
      <c r="P7" s="65">
        <f>K7+$F$46*$H$68</f>
        <v>9.7515363069411387E-2</v>
      </c>
      <c r="Q7" s="55">
        <f t="shared" si="6"/>
        <v>0.52435954042074506</v>
      </c>
      <c r="R7" s="66">
        <f t="shared" si="7"/>
        <v>1</v>
      </c>
    </row>
    <row r="8" spans="2:18">
      <c r="C8" s="61">
        <v>4</v>
      </c>
      <c r="D8" s="63">
        <v>3</v>
      </c>
      <c r="E8" s="39">
        <v>1</v>
      </c>
      <c r="F8" s="39">
        <f t="shared" si="0"/>
        <v>0</v>
      </c>
      <c r="G8" s="39">
        <v>0.5</v>
      </c>
      <c r="H8" s="39">
        <f t="shared" si="1"/>
        <v>-0.5</v>
      </c>
      <c r="I8" s="39">
        <f t="shared" si="2"/>
        <v>0.25</v>
      </c>
      <c r="J8" s="54" t="s">
        <v>87</v>
      </c>
      <c r="K8" s="57">
        <f t="shared" ref="K8:K10" si="8">F8+$F$46*$H$41</f>
        <v>0.05</v>
      </c>
      <c r="L8" s="55">
        <f t="shared" si="3"/>
        <v>0.51249739648421033</v>
      </c>
      <c r="M8" s="56">
        <f t="shared" si="4"/>
        <v>-0.48750260351578967</v>
      </c>
      <c r="N8" s="56">
        <f t="shared" si="5"/>
        <v>0.24984381508111644</v>
      </c>
      <c r="O8" s="54" t="s">
        <v>106</v>
      </c>
      <c r="P8" s="65">
        <f t="shared" ref="P8:P10" si="9">K8+$F$46*$H$68</f>
        <v>9.7515363069411387E-2</v>
      </c>
      <c r="Q8" s="55">
        <f t="shared" si="6"/>
        <v>0.52435954042074506</v>
      </c>
      <c r="R8" s="66">
        <f t="shared" si="7"/>
        <v>1</v>
      </c>
    </row>
    <row r="9" spans="2:18">
      <c r="C9" s="61">
        <v>5</v>
      </c>
      <c r="D9" s="63">
        <v>6</v>
      </c>
      <c r="E9" s="39">
        <v>1</v>
      </c>
      <c r="F9" s="39">
        <f t="shared" si="0"/>
        <v>0</v>
      </c>
      <c r="G9" s="39">
        <v>0.5</v>
      </c>
      <c r="H9" s="39">
        <f t="shared" si="1"/>
        <v>-0.5</v>
      </c>
      <c r="I9" s="39">
        <f t="shared" si="2"/>
        <v>0.25</v>
      </c>
      <c r="J9" s="54" t="s">
        <v>87</v>
      </c>
      <c r="K9" s="57">
        <f t="shared" si="8"/>
        <v>0.05</v>
      </c>
      <c r="L9" s="55">
        <f t="shared" si="3"/>
        <v>0.51249739648421033</v>
      </c>
      <c r="M9" s="56">
        <f t="shared" si="4"/>
        <v>-0.48750260351578967</v>
      </c>
      <c r="N9" s="56">
        <f t="shared" si="5"/>
        <v>0.24984381508111644</v>
      </c>
      <c r="O9" s="54" t="s">
        <v>106</v>
      </c>
      <c r="P9" s="65">
        <f t="shared" si="9"/>
        <v>9.7515363069411387E-2</v>
      </c>
      <c r="Q9" s="55">
        <f t="shared" si="6"/>
        <v>0.52435954042074506</v>
      </c>
      <c r="R9" s="66">
        <f t="shared" si="7"/>
        <v>1</v>
      </c>
    </row>
    <row r="10" spans="2:18">
      <c r="C10" s="61">
        <v>6</v>
      </c>
      <c r="D10" s="63">
        <v>5</v>
      </c>
      <c r="E10" s="39">
        <v>0</v>
      </c>
      <c r="F10" s="39">
        <f t="shared" si="0"/>
        <v>0</v>
      </c>
      <c r="G10" s="39">
        <v>0.5</v>
      </c>
      <c r="H10" s="39">
        <f t="shared" si="1"/>
        <v>0.5</v>
      </c>
      <c r="I10" s="39">
        <f t="shared" si="2"/>
        <v>0.25</v>
      </c>
      <c r="J10" s="54" t="s">
        <v>87</v>
      </c>
      <c r="K10" s="57">
        <f t="shared" si="8"/>
        <v>0.05</v>
      </c>
      <c r="L10" s="55">
        <f t="shared" si="3"/>
        <v>0.51249739648421033</v>
      </c>
      <c r="M10" s="56">
        <f t="shared" si="4"/>
        <v>0.51249739648421033</v>
      </c>
      <c r="N10" s="56">
        <f t="shared" si="5"/>
        <v>0.24984381508111644</v>
      </c>
      <c r="O10" s="54" t="s">
        <v>106</v>
      </c>
      <c r="P10" s="65">
        <f t="shared" si="9"/>
        <v>9.7515363069411387E-2</v>
      </c>
      <c r="Q10" s="55">
        <f t="shared" si="6"/>
        <v>0.52435954042074506</v>
      </c>
      <c r="R10" s="66">
        <f t="shared" si="7"/>
        <v>1</v>
      </c>
    </row>
    <row r="13" spans="2:18">
      <c r="B13" s="47"/>
      <c r="C13" s="47"/>
      <c r="D13" s="47"/>
      <c r="E13" s="47"/>
      <c r="F13" s="47"/>
      <c r="G13" s="47"/>
      <c r="H13" s="47"/>
      <c r="I13" s="47"/>
      <c r="J13" s="47"/>
      <c r="K13" s="47"/>
    </row>
    <row r="14" spans="2:18"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2:18">
      <c r="B15" s="47"/>
      <c r="C15" s="47" t="s">
        <v>62</v>
      </c>
      <c r="D15" s="47"/>
      <c r="E15" s="47"/>
      <c r="F15" s="47"/>
      <c r="G15" s="47"/>
      <c r="H15" s="47"/>
      <c r="I15" s="47"/>
      <c r="J15" s="47"/>
      <c r="K15" s="47"/>
    </row>
    <row r="16" spans="2:18">
      <c r="B16" s="47"/>
      <c r="C16" s="47" t="s">
        <v>71</v>
      </c>
      <c r="D16" s="47"/>
      <c r="E16" s="47"/>
      <c r="F16" s="47"/>
      <c r="G16" s="47"/>
      <c r="H16" s="47"/>
      <c r="I16" s="47"/>
      <c r="J16" s="47"/>
      <c r="K16" s="47"/>
      <c r="O16" s="50"/>
    </row>
    <row r="17" spans="2:15">
      <c r="B17" s="47"/>
      <c r="C17" s="47"/>
      <c r="D17" s="47"/>
      <c r="E17" s="47"/>
      <c r="F17" s="47"/>
      <c r="G17" s="47"/>
      <c r="H17" s="47"/>
      <c r="I17" s="47"/>
      <c r="J17" s="47"/>
      <c r="K17" s="47"/>
      <c r="O17" s="50"/>
    </row>
    <row r="18" spans="2:15">
      <c r="B18" s="47"/>
      <c r="C18" s="47" t="s">
        <v>64</v>
      </c>
      <c r="D18" s="47"/>
      <c r="E18" s="47"/>
      <c r="F18" s="47"/>
      <c r="G18" s="47"/>
      <c r="H18" s="47"/>
      <c r="I18" s="47"/>
      <c r="J18" s="47"/>
      <c r="K18" s="47"/>
    </row>
    <row r="19" spans="2:15">
      <c r="B19" s="47"/>
      <c r="C19" s="47"/>
      <c r="D19" s="46" t="s">
        <v>67</v>
      </c>
      <c r="E19" s="47"/>
      <c r="F19" s="47"/>
      <c r="G19" s="47"/>
      <c r="H19" s="47"/>
      <c r="I19" s="47"/>
      <c r="J19" s="47"/>
      <c r="K19" s="47"/>
    </row>
    <row r="20" spans="2:15">
      <c r="B20" s="47"/>
      <c r="C20" s="47"/>
      <c r="D20" s="46" t="s">
        <v>63</v>
      </c>
      <c r="E20" s="47"/>
      <c r="F20" s="47"/>
      <c r="G20" s="47"/>
      <c r="H20" s="47"/>
      <c r="I20" s="47"/>
      <c r="J20" s="47"/>
      <c r="K20" s="47"/>
    </row>
    <row r="21" spans="2:15">
      <c r="B21" s="47"/>
      <c r="C21" s="46" t="s">
        <v>65</v>
      </c>
      <c r="D21" s="47"/>
      <c r="E21" s="47"/>
      <c r="F21" s="47"/>
      <c r="G21" s="47"/>
      <c r="H21" s="47"/>
      <c r="I21" s="47"/>
      <c r="J21" s="47"/>
      <c r="K21" s="47"/>
    </row>
    <row r="22" spans="2:15">
      <c r="B22" s="47"/>
      <c r="D22" s="47" t="s">
        <v>68</v>
      </c>
      <c r="E22" s="47"/>
      <c r="F22" s="47"/>
      <c r="G22" s="47"/>
      <c r="H22" s="47"/>
      <c r="I22" s="47"/>
      <c r="J22" s="47"/>
      <c r="K22" s="47"/>
    </row>
    <row r="23" spans="2:15">
      <c r="B23" s="47"/>
      <c r="C23" s="47" t="s">
        <v>66</v>
      </c>
      <c r="D23" s="47"/>
      <c r="E23" s="47"/>
      <c r="F23" s="47"/>
      <c r="G23" s="47"/>
      <c r="H23" s="47"/>
      <c r="I23" s="47"/>
      <c r="J23" s="47"/>
      <c r="K23" s="47"/>
    </row>
    <row r="24" spans="2:15">
      <c r="B24" s="47"/>
      <c r="C24" s="47"/>
      <c r="D24" s="47" t="s">
        <v>69</v>
      </c>
      <c r="E24" s="47"/>
      <c r="F24" s="47"/>
      <c r="G24" s="47"/>
      <c r="H24" s="47"/>
      <c r="I24" s="47"/>
      <c r="J24" s="47"/>
      <c r="K24" s="47"/>
    </row>
    <row r="25" spans="2:15" ht="18.75">
      <c r="B25" s="47"/>
      <c r="C25" s="58" t="s">
        <v>99</v>
      </c>
      <c r="D25" s="47"/>
      <c r="E25" s="47"/>
      <c r="F25" s="47"/>
      <c r="G25" s="47"/>
      <c r="H25" s="47"/>
      <c r="I25" s="47"/>
      <c r="J25" s="47"/>
      <c r="K25" s="47"/>
    </row>
    <row r="26" spans="2:15" s="52" customFormat="1">
      <c r="B26" s="51"/>
      <c r="C26" s="52" t="s">
        <v>75</v>
      </c>
      <c r="D26" s="51"/>
      <c r="E26" s="51"/>
      <c r="F26" s="51"/>
      <c r="G26" s="51"/>
      <c r="H26" s="51"/>
      <c r="I26" s="51"/>
      <c r="J26" s="51"/>
      <c r="K26" s="51"/>
    </row>
    <row r="27" spans="2:15" s="52" customFormat="1">
      <c r="D27" s="51" t="s">
        <v>76</v>
      </c>
    </row>
    <row r="28" spans="2:15" s="52" customFormat="1">
      <c r="D28" s="51" t="s">
        <v>77</v>
      </c>
    </row>
    <row r="29" spans="2:15" s="52" customFormat="1"/>
    <row r="30" spans="2:15" s="52" customFormat="1">
      <c r="C30" s="52" t="s">
        <v>78</v>
      </c>
    </row>
    <row r="31" spans="2:15">
      <c r="D31" t="s">
        <v>80</v>
      </c>
      <c r="G31" s="53" t="s">
        <v>79</v>
      </c>
    </row>
    <row r="32" spans="2:15">
      <c r="D32" s="52" t="s">
        <v>84</v>
      </c>
      <c r="G32" s="53"/>
    </row>
    <row r="33" spans="3:9">
      <c r="E33" t="s">
        <v>102</v>
      </c>
      <c r="H33">
        <f>SUM(H5:H6)</f>
        <v>1</v>
      </c>
    </row>
    <row r="34" spans="3:9">
      <c r="E34" t="s">
        <v>103</v>
      </c>
      <c r="H34">
        <f>SUM(I5:I6)</f>
        <v>0.5</v>
      </c>
    </row>
    <row r="35" spans="3:9">
      <c r="E35" t="s">
        <v>83</v>
      </c>
      <c r="H35">
        <v>1</v>
      </c>
    </row>
    <row r="36" spans="3:9">
      <c r="E36" t="s">
        <v>111</v>
      </c>
      <c r="H36">
        <f>-(H33/(H34+H35))</f>
        <v>-0.66666666666666663</v>
      </c>
      <c r="I36" t="s">
        <v>80</v>
      </c>
    </row>
    <row r="37" spans="3:9">
      <c r="C37" s="53"/>
      <c r="D37" s="52" t="s">
        <v>85</v>
      </c>
    </row>
    <row r="38" spans="3:9">
      <c r="E38" t="s">
        <v>102</v>
      </c>
      <c r="H38">
        <f>SUM(H7:H10)</f>
        <v>-1</v>
      </c>
    </row>
    <row r="39" spans="3:9">
      <c r="E39" t="s">
        <v>103</v>
      </c>
      <c r="H39">
        <f>SUM(I7:I10)</f>
        <v>1</v>
      </c>
    </row>
    <row r="40" spans="3:9">
      <c r="E40" t="s">
        <v>83</v>
      </c>
      <c r="H40">
        <v>1</v>
      </c>
    </row>
    <row r="41" spans="3:9">
      <c r="E41" t="s">
        <v>111</v>
      </c>
      <c r="H41">
        <f>-(H38/(H39+H40))</f>
        <v>0.5</v>
      </c>
      <c r="I41" t="s">
        <v>80</v>
      </c>
    </row>
    <row r="43" spans="3:9">
      <c r="C43" s="52" t="s">
        <v>89</v>
      </c>
    </row>
    <row r="46" spans="3:9">
      <c r="D46" t="s">
        <v>93</v>
      </c>
      <c r="F46">
        <v>0.1</v>
      </c>
    </row>
    <row r="47" spans="3:9">
      <c r="D47" t="s">
        <v>92</v>
      </c>
    </row>
    <row r="48" spans="3:9">
      <c r="D48" t="s">
        <v>90</v>
      </c>
    </row>
    <row r="49" spans="3:9">
      <c r="D49" t="s">
        <v>91</v>
      </c>
    </row>
    <row r="51" spans="3:9">
      <c r="C51" t="s">
        <v>94</v>
      </c>
    </row>
    <row r="56" spans="3:9" ht="18.75">
      <c r="C56" s="58" t="s">
        <v>98</v>
      </c>
    </row>
    <row r="57" spans="3:9">
      <c r="C57" s="59" t="s">
        <v>100</v>
      </c>
    </row>
    <row r="58" spans="3:9">
      <c r="C58" s="59" t="s">
        <v>101</v>
      </c>
    </row>
    <row r="59" spans="3:9">
      <c r="D59" s="52" t="s">
        <v>84</v>
      </c>
      <c r="G59" s="53"/>
    </row>
    <row r="60" spans="3:9">
      <c r="E60" t="s">
        <v>82</v>
      </c>
      <c r="H60" s="64">
        <f>SUM(M5:M6)</f>
        <v>0.96667900686117714</v>
      </c>
    </row>
    <row r="61" spans="3:9">
      <c r="E61" t="s">
        <v>81</v>
      </c>
      <c r="H61" s="64">
        <f>SUM(N5:N6)</f>
        <v>0.4994448557081213</v>
      </c>
    </row>
    <row r="62" spans="3:9">
      <c r="E62" t="s">
        <v>83</v>
      </c>
      <c r="H62">
        <v>1</v>
      </c>
    </row>
    <row r="63" spans="3:9">
      <c r="E63" t="s">
        <v>111</v>
      </c>
      <c r="H63" s="64">
        <f>-(H60/(H61+H62))</f>
        <v>-0.64469126902613405</v>
      </c>
      <c r="I63" t="s">
        <v>80</v>
      </c>
    </row>
    <row r="64" spans="3:9">
      <c r="D64" s="52" t="s">
        <v>85</v>
      </c>
    </row>
    <row r="65" spans="3:9">
      <c r="E65" t="s">
        <v>82</v>
      </c>
      <c r="H65" s="64">
        <f>SUM(M7:M10)</f>
        <v>-0.95001041406315867</v>
      </c>
    </row>
    <row r="66" spans="3:9">
      <c r="E66" t="s">
        <v>81</v>
      </c>
      <c r="H66" s="64">
        <f>SUM(N7:N10)</f>
        <v>0.99937526032446578</v>
      </c>
    </row>
    <row r="67" spans="3:9">
      <c r="E67" t="s">
        <v>83</v>
      </c>
      <c r="H67">
        <v>1</v>
      </c>
    </row>
    <row r="68" spans="3:9">
      <c r="E68" t="s">
        <v>111</v>
      </c>
      <c r="H68" s="64">
        <f>-(H65/(H66+H67))</f>
        <v>0.47515363069411376</v>
      </c>
      <c r="I68" t="s">
        <v>80</v>
      </c>
    </row>
    <row r="69" spans="3:9">
      <c r="C69" t="s">
        <v>107</v>
      </c>
    </row>
    <row r="70" spans="3:9">
      <c r="C70" t="s">
        <v>108</v>
      </c>
    </row>
    <row r="71" spans="3:9">
      <c r="C71" s="50" t="s">
        <v>109</v>
      </c>
    </row>
    <row r="72" spans="3:9">
      <c r="C72" s="50" t="s">
        <v>110</v>
      </c>
    </row>
  </sheetData>
  <hyperlinks>
    <hyperlink ref="C1" r:id="rId1" xr:uid="{AC2182DB-C11E-4BE1-A8A3-25512D6A2DE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Computation - ADA</vt:lpstr>
      <vt:lpstr>Chart</vt:lpstr>
      <vt:lpstr>Comparision</vt:lpstr>
      <vt:lpstr>XGboost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Amit Kumar</cp:lastModifiedBy>
  <dcterms:created xsi:type="dcterms:W3CDTF">2025-03-01T14:41:47Z</dcterms:created>
  <dcterms:modified xsi:type="dcterms:W3CDTF">2025-04-18T11:40:59Z</dcterms:modified>
</cp:coreProperties>
</file>