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465" windowWidth="5160" windowHeight="7680" tabRatio="790" firstSheet="12" activeTab="17"/>
  </bookViews>
  <sheets>
    <sheet name="MOP" sheetId="72" r:id="rId1"/>
    <sheet name="OB-Manual" sheetId="57" r:id="rId2"/>
    <sheet name="Prestige OB" sheetId="109" r:id="rId3"/>
    <sheet name="QUOTED PROJECTS-Current Year" sheetId="56" r:id="rId4"/>
    <sheet name="QUOTED PROJECTS-Earlier Yr" sheetId="8" r:id="rId5"/>
    <sheet name="Booking Plan-P-Val" sheetId="102" r:id="rId6"/>
    <sheet name="ORDER LOST" sheetId="108" r:id="rId7"/>
    <sheet name="Quote Analysis-Proj-Current" sheetId="60" r:id="rId8"/>
    <sheet name="Quote Analysis-Proj-Earlier" sheetId="11" r:id="rId9"/>
    <sheet name="Quote Analysis-Proj-Total" sheetId="88" r:id="rId10"/>
    <sheet name="Quote Analysis-Retail-Earlier" sheetId="20" r:id="rId11"/>
    <sheet name="Quote Analysis-Retail-Current" sheetId="86" r:id="rId12"/>
    <sheet name="Quote Analysis-Retail-Total" sheetId="89" r:id="rId13"/>
    <sheet name="Enquiry Bank Analysis -P" sheetId="42" r:id="rId14"/>
    <sheet name="Booking-QTY-WRK-P" sheetId="19" r:id="rId15"/>
    <sheet name="Booking-Val-WRK P" sheetId="22" r:id="rId16"/>
    <sheet name="Compition Analysis" sheetId="107" r:id="rId17"/>
    <sheet name="UPCOMNG PROJETCS" sheetId="41" r:id="rId18"/>
    <sheet name="Enquiry Bank Analysis-R" sheetId="10" r:id="rId19"/>
    <sheet name="Booking Plan-P" sheetId="12" r:id="rId20"/>
    <sheet name="BOOKING-PRF-PERKINS-LOOK UP" sheetId="73" r:id="rId21"/>
    <sheet name="BOOKING-PRF-MTU-LOOK UP" sheetId="70" r:id="rId22"/>
    <sheet name="BOOKING OUTLOOK" sheetId="63" r:id="rId23"/>
    <sheet name="Summary" sheetId="68" r:id="rId24"/>
    <sheet name="Key Proj Under Finalisation" sheetId="59" r:id="rId25"/>
    <sheet name="Booking-QTY-WRK-R" sheetId="83" r:id="rId26"/>
    <sheet name="Booking-VAL-WRK-R" sheetId="84" r:id="rId27"/>
    <sheet name="Booking Look Up Table" sheetId="71" r:id="rId28"/>
    <sheet name="Project Bank for The Year" sheetId="85" r:id="rId29"/>
    <sheet name="PRF" sheetId="90" r:id="rId30"/>
  </sheets>
  <definedNames>
    <definedName name="_xlnm._FilterDatabase" localSheetId="6" hidden="1">'ORDER LOST'!$A$2:$WVP$23</definedName>
    <definedName name="_xlnm._FilterDatabase" localSheetId="28" hidden="1">'Project Bank for The Year'!$A$1:$V$350</definedName>
    <definedName name="_xlnm._FilterDatabase" localSheetId="3" hidden="1">'QUOTED PROJECTS-Current Year'!$A$1:$AF$195</definedName>
    <definedName name="_xlnm._FilterDatabase" localSheetId="4" hidden="1">'QUOTED PROJECTS-Earlier Yr'!$A$1:$AF$298</definedName>
    <definedName name="_xlnm._FilterDatabase" localSheetId="17" hidden="1">'UPCOMNG PROJETCS'!$A$1:$V$2762</definedName>
    <definedName name="MONTH" localSheetId="6">#REF!</definedName>
    <definedName name="MONTH">'Booking Look Up Table'!$A$41:$C$52</definedName>
    <definedName name="MONTHBILL" localSheetId="6">#REF!</definedName>
    <definedName name="MONTHBILL">#REF!</definedName>
    <definedName name="MTUACTQTY" localSheetId="6">#REF!</definedName>
    <definedName name="MTUACTQTY">'Booking Look Up Table'!$A$22:$K$37</definedName>
    <definedName name="MTUACTQTYBILL" localSheetId="6">#REF!</definedName>
    <definedName name="MTUACTQTYBILL">#REF!</definedName>
    <definedName name="MTUBUDQTY" localSheetId="6">#REF!</definedName>
    <definedName name="MTUBUDQTY">'Booking Look Up Table'!$A$4:$K$19</definedName>
    <definedName name="MTUBUDQTYBILL" localSheetId="6">#REF!</definedName>
    <definedName name="MTUBUDQTYBILL">#REF!</definedName>
    <definedName name="PERKINSACTQTY" localSheetId="6">#REF!</definedName>
    <definedName name="PERKINSACTQTY">'Booking Look Up Table'!$O$22:$V$37</definedName>
    <definedName name="PERKINSACTQTYBILL" localSheetId="6">#REF!</definedName>
    <definedName name="PERKINSACTQTYBILL">#REF!</definedName>
    <definedName name="PERKINSBUDQTY" localSheetId="6">#REF!</definedName>
    <definedName name="PERKINSBUDQTY">'Booking Look Up Table'!$O$4:$V$19</definedName>
    <definedName name="PERKINSBUDQTYBILL" localSheetId="6">#REF!</definedName>
    <definedName name="PERKINSBUDQTYBILL">#REF!</definedName>
    <definedName name="_xlnm.Print_Area" localSheetId="1">'OB-Manual'!$A$1:$H$21</definedName>
    <definedName name="_xlnm.Print_Area" localSheetId="6">'ORDER LOST'!$A$1:$H$40</definedName>
    <definedName name="_xlnm.Print_Area" localSheetId="28">'Project Bank for The Year'!$A$1:$V$350</definedName>
    <definedName name="_xlnm.Print_Area" localSheetId="3">'QUOTED PROJECTS-Current Year'!$A$1:$AF$2526</definedName>
    <definedName name="_xlnm.Print_Area" localSheetId="4">'QUOTED PROJECTS-Earlier Yr'!$A$1:$AF$2599</definedName>
    <definedName name="_xlnm.Print_Area" localSheetId="17">'UPCOMNG PROJETCS'!$A$1:$V$2762</definedName>
    <definedName name="ww">#REF!</definedName>
  </definedNames>
  <calcPr calcId="124519"/>
  <customWorkbookViews>
    <customWorkbookView name="ajaydimri - Personal View" guid="{0D24C5A2-5A7F-42A6-AC5C-5D117F6A08BB}" mergeInterval="0" personalView="1" maximized="1" windowWidth="1020" windowHeight="550" activeSheetId="1"/>
  </customWorkbookViews>
</workbook>
</file>

<file path=xl/calcChain.xml><?xml version="1.0" encoding="utf-8"?>
<calcChain xmlns="http://schemas.openxmlformats.org/spreadsheetml/2006/main">
  <c r="G10" i="57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4"/>
  <c r="E40" i="108" l="1"/>
  <c r="F29"/>
  <c r="F23"/>
  <c r="F18"/>
  <c r="F17"/>
  <c r="F8"/>
  <c r="F6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F4"/>
  <c r="F40" s="1"/>
  <c r="A4"/>
  <c r="F3"/>
  <c r="K18" i="73"/>
  <c r="F10" i="57"/>
  <c r="G9"/>
  <c r="G20" s="1"/>
  <c r="F9"/>
  <c r="F20" s="1"/>
  <c r="G3" i="109" l="1"/>
  <c r="F9"/>
  <c r="G8"/>
  <c r="F5"/>
  <c r="E10"/>
  <c r="F10" l="1"/>
  <c r="G10"/>
  <c r="F11" l="1"/>
  <c r="T28" i="22"/>
  <c r="P26"/>
  <c r="V24"/>
  <c r="L24"/>
  <c r="F25"/>
  <c r="N25"/>
  <c r="J25"/>
  <c r="H28"/>
  <c r="H29"/>
  <c r="X23"/>
  <c r="R23"/>
  <c r="B28"/>
  <c r="D29"/>
  <c r="P26" i="19"/>
  <c r="C23" i="22"/>
  <c r="C24"/>
  <c r="C25"/>
  <c r="C26"/>
  <c r="C27"/>
  <c r="C28"/>
  <c r="C29"/>
  <c r="H30" l="1"/>
  <c r="B12" i="12" l="1"/>
  <c r="D10" i="107" l="1"/>
  <c r="J15" l="1"/>
  <c r="C3" i="60" l="1"/>
  <c r="D3"/>
  <c r="F3"/>
  <c r="I3"/>
  <c r="D4"/>
  <c r="C5"/>
  <c r="D5"/>
  <c r="F5"/>
  <c r="I5"/>
  <c r="D6"/>
  <c r="F6"/>
  <c r="D7" l="1"/>
  <c r="F7"/>
  <c r="C7"/>
  <c r="I7"/>
  <c r="H5"/>
  <c r="H3"/>
  <c r="J5"/>
  <c r="J3"/>
  <c r="D8"/>
  <c r="H6"/>
  <c r="E5"/>
  <c r="E3"/>
  <c r="G5"/>
  <c r="G3"/>
  <c r="E7" l="1"/>
  <c r="H7"/>
  <c r="J7"/>
  <c r="G7"/>
  <c r="D30" i="22"/>
  <c r="L30"/>
  <c r="J30"/>
  <c r="F30"/>
  <c r="B30"/>
  <c r="N30" l="1"/>
  <c r="F4" i="60"/>
  <c r="G3" i="59"/>
  <c r="T30" i="19"/>
  <c r="J30"/>
  <c r="F8" i="60" l="1"/>
  <c r="H4"/>
  <c r="I6"/>
  <c r="C6"/>
  <c r="C4"/>
  <c r="I4"/>
  <c r="F10" i="107"/>
  <c r="J6" i="60" l="1"/>
  <c r="I8"/>
  <c r="J4"/>
  <c r="C8"/>
  <c r="E8" s="1"/>
  <c r="E4"/>
  <c r="H8"/>
  <c r="G6"/>
  <c r="E6"/>
  <c r="G4"/>
  <c r="E6" i="107"/>
  <c r="E4"/>
  <c r="G8" i="60" l="1"/>
  <c r="J8"/>
  <c r="F6" i="59" l="1"/>
  <c r="G6"/>
  <c r="G13" i="63" l="1"/>
  <c r="G6" i="10"/>
  <c r="D10" i="86"/>
  <c r="C17" i="83"/>
  <c r="N21" i="22"/>
  <c r="Y16" i="84"/>
  <c r="W16"/>
  <c r="U16"/>
  <c r="S16"/>
  <c r="Q16"/>
  <c r="O16"/>
  <c r="M16"/>
  <c r="K16"/>
  <c r="I16"/>
  <c r="G16"/>
  <c r="E16"/>
  <c r="C16"/>
  <c r="Z17"/>
  <c r="H2" i="85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3"/>
  <c r="H64"/>
  <c r="H65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8"/>
  <c r="H90"/>
  <c r="G37" i="84"/>
  <c r="G36"/>
  <c r="G35"/>
  <c r="G34"/>
  <c r="G33"/>
  <c r="G30"/>
  <c r="G29"/>
  <c r="G28"/>
  <c r="G27"/>
  <c r="G26"/>
  <c r="G25"/>
  <c r="G24"/>
  <c r="G15"/>
  <c r="G14"/>
  <c r="G13"/>
  <c r="G12"/>
  <c r="G11"/>
  <c r="G10"/>
  <c r="G37" i="83"/>
  <c r="G36"/>
  <c r="G35"/>
  <c r="G34"/>
  <c r="G33"/>
  <c r="G30"/>
  <c r="G29"/>
  <c r="G28"/>
  <c r="G27"/>
  <c r="G26"/>
  <c r="G25"/>
  <c r="G24"/>
  <c r="G16"/>
  <c r="G15"/>
  <c r="G14"/>
  <c r="G13"/>
  <c r="G12"/>
  <c r="G11"/>
  <c r="G10"/>
  <c r="E28" i="22"/>
  <c r="K14"/>
  <c r="F15" i="107"/>
  <c r="E15"/>
  <c r="D15"/>
  <c r="C15"/>
  <c r="B15"/>
  <c r="G14"/>
  <c r="G13"/>
  <c r="M13" s="1"/>
  <c r="G12"/>
  <c r="M12" s="1"/>
  <c r="G11"/>
  <c r="M11" s="1"/>
  <c r="G10"/>
  <c r="G9"/>
  <c r="M9" s="1"/>
  <c r="G8"/>
  <c r="M8" s="1"/>
  <c r="G7"/>
  <c r="M7" s="1"/>
  <c r="G6"/>
  <c r="G5"/>
  <c r="M5" s="1"/>
  <c r="G4"/>
  <c r="G3"/>
  <c r="F8" i="90"/>
  <c r="D8"/>
  <c r="F7"/>
  <c r="D7"/>
  <c r="F4"/>
  <c r="F5"/>
  <c r="D5"/>
  <c r="D4"/>
  <c r="Z28" i="22"/>
  <c r="V30"/>
  <c r="R21"/>
  <c r="S28"/>
  <c r="I8" i="20"/>
  <c r="F6"/>
  <c r="E20" i="22"/>
  <c r="I26"/>
  <c r="I24"/>
  <c r="D6" i="20"/>
  <c r="B4" i="42"/>
  <c r="A4" i="85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B4" i="71"/>
  <c r="B5" s="1"/>
  <c r="B6" s="1"/>
  <c r="Z20" i="19"/>
  <c r="Z19"/>
  <c r="Z18"/>
  <c r="Z17"/>
  <c r="K4" i="71"/>
  <c r="K5" s="1"/>
  <c r="K6" s="1"/>
  <c r="K7" s="1"/>
  <c r="J4"/>
  <c r="J5" s="1"/>
  <c r="J6" s="1"/>
  <c r="J8" s="1"/>
  <c r="J9" s="1"/>
  <c r="J10" s="1"/>
  <c r="I4"/>
  <c r="I5" s="1"/>
  <c r="I6" s="1"/>
  <c r="I8" s="1"/>
  <c r="I9" s="1"/>
  <c r="I10" s="1"/>
  <c r="H4"/>
  <c r="H5" s="1"/>
  <c r="H6" s="1"/>
  <c r="F4"/>
  <c r="F5" s="1"/>
  <c r="F6" s="1"/>
  <c r="F8" s="1"/>
  <c r="F9" s="1"/>
  <c r="F10" s="1"/>
  <c r="D4"/>
  <c r="D5" s="1"/>
  <c r="D6" s="1"/>
  <c r="C4"/>
  <c r="C5" s="1"/>
  <c r="C6" s="1"/>
  <c r="V4"/>
  <c r="V5" s="1"/>
  <c r="V6" s="1"/>
  <c r="U4"/>
  <c r="U5" s="1"/>
  <c r="U6" s="1"/>
  <c r="U8" s="1"/>
  <c r="U9" s="1"/>
  <c r="U10" s="1"/>
  <c r="T4"/>
  <c r="T5" s="1"/>
  <c r="T6" s="1"/>
  <c r="T7" s="1"/>
  <c r="S4"/>
  <c r="S5" s="1"/>
  <c r="S6" s="1"/>
  <c r="R4"/>
  <c r="R5" s="1"/>
  <c r="R6" s="1"/>
  <c r="Q4"/>
  <c r="C5" i="68"/>
  <c r="B1"/>
  <c r="B2" s="1"/>
  <c r="B1" i="63"/>
  <c r="D1" s="1"/>
  <c r="H3" s="1"/>
  <c r="I3" s="1"/>
  <c r="D8" i="86"/>
  <c r="D8" i="20"/>
  <c r="D6" i="86"/>
  <c r="D4" i="20"/>
  <c r="D4" i="86"/>
  <c r="I6" i="20"/>
  <c r="I8" i="10"/>
  <c r="H8"/>
  <c r="H6"/>
  <c r="H4"/>
  <c r="G8"/>
  <c r="F8"/>
  <c r="F6"/>
  <c r="F4"/>
  <c r="E8"/>
  <c r="D8"/>
  <c r="D6"/>
  <c r="D4"/>
  <c r="C8"/>
  <c r="B8"/>
  <c r="B6"/>
  <c r="B4"/>
  <c r="D6" i="42"/>
  <c r="D4"/>
  <c r="B8"/>
  <c r="B6"/>
  <c r="I9" i="86"/>
  <c r="I7"/>
  <c r="I5"/>
  <c r="I3"/>
  <c r="F9"/>
  <c r="F7"/>
  <c r="F6"/>
  <c r="F5"/>
  <c r="F3"/>
  <c r="D9"/>
  <c r="C9"/>
  <c r="D7"/>
  <c r="C7"/>
  <c r="D5"/>
  <c r="C5"/>
  <c r="D3"/>
  <c r="C3"/>
  <c r="D3" i="20"/>
  <c r="F3" i="11"/>
  <c r="F8" i="20"/>
  <c r="G350" i="85"/>
  <c r="T22" i="84"/>
  <c r="N22"/>
  <c r="H18"/>
  <c r="Y37"/>
  <c r="W37"/>
  <c r="U37"/>
  <c r="S37"/>
  <c r="Q37"/>
  <c r="O37"/>
  <c r="M37"/>
  <c r="K37"/>
  <c r="I37"/>
  <c r="E37"/>
  <c r="C37"/>
  <c r="Y36"/>
  <c r="W36"/>
  <c r="U36"/>
  <c r="S36"/>
  <c r="Q36"/>
  <c r="O36"/>
  <c r="M36"/>
  <c r="K36"/>
  <c r="I36"/>
  <c r="E36"/>
  <c r="C36"/>
  <c r="Y35"/>
  <c r="W35"/>
  <c r="U35"/>
  <c r="S35"/>
  <c r="Q35"/>
  <c r="O35"/>
  <c r="M35"/>
  <c r="K35"/>
  <c r="I35"/>
  <c r="E35"/>
  <c r="C35"/>
  <c r="Y34"/>
  <c r="W34"/>
  <c r="U34"/>
  <c r="S34"/>
  <c r="Q34"/>
  <c r="O34"/>
  <c r="M34"/>
  <c r="K34"/>
  <c r="I34"/>
  <c r="E34"/>
  <c r="C34"/>
  <c r="Y33"/>
  <c r="W33"/>
  <c r="U33"/>
  <c r="S33"/>
  <c r="Q33"/>
  <c r="O33"/>
  <c r="M33"/>
  <c r="K33"/>
  <c r="I33"/>
  <c r="E33"/>
  <c r="C33"/>
  <c r="Y30"/>
  <c r="W30"/>
  <c r="U30"/>
  <c r="S30"/>
  <c r="Q30"/>
  <c r="O30"/>
  <c r="M30"/>
  <c r="K30"/>
  <c r="I30"/>
  <c r="E30"/>
  <c r="C30"/>
  <c r="Y29"/>
  <c r="W29"/>
  <c r="U29"/>
  <c r="S29"/>
  <c r="Q29"/>
  <c r="O29"/>
  <c r="M29"/>
  <c r="K29"/>
  <c r="I29"/>
  <c r="E29"/>
  <c r="Y28"/>
  <c r="W28"/>
  <c r="U28"/>
  <c r="S28"/>
  <c r="Q28"/>
  <c r="O28"/>
  <c r="M28"/>
  <c r="K28"/>
  <c r="I28"/>
  <c r="C28"/>
  <c r="Y27"/>
  <c r="W27"/>
  <c r="U27"/>
  <c r="S27"/>
  <c r="Q27"/>
  <c r="O27"/>
  <c r="M27"/>
  <c r="K27"/>
  <c r="I27"/>
  <c r="E27"/>
  <c r="C27"/>
  <c r="Y26"/>
  <c r="W26"/>
  <c r="U26"/>
  <c r="S26"/>
  <c r="Q26"/>
  <c r="O26"/>
  <c r="M26"/>
  <c r="K26"/>
  <c r="I26"/>
  <c r="E26"/>
  <c r="C26"/>
  <c r="Y25"/>
  <c r="W25"/>
  <c r="U25"/>
  <c r="S25"/>
  <c r="Q25"/>
  <c r="O25"/>
  <c r="M25"/>
  <c r="K25"/>
  <c r="I25"/>
  <c r="E25"/>
  <c r="C25"/>
  <c r="Y24"/>
  <c r="W24"/>
  <c r="U24"/>
  <c r="S24"/>
  <c r="Q24"/>
  <c r="O24"/>
  <c r="M24"/>
  <c r="K24"/>
  <c r="I24"/>
  <c r="E24"/>
  <c r="C24"/>
  <c r="Y21"/>
  <c r="W21"/>
  <c r="U21"/>
  <c r="S21"/>
  <c r="Q21"/>
  <c r="O21"/>
  <c r="M21"/>
  <c r="K21"/>
  <c r="I21"/>
  <c r="G21"/>
  <c r="E21"/>
  <c r="C21"/>
  <c r="Y20"/>
  <c r="W20"/>
  <c r="U20"/>
  <c r="S20"/>
  <c r="Q20"/>
  <c r="O20"/>
  <c r="M20"/>
  <c r="K20"/>
  <c r="K22" s="1"/>
  <c r="I20"/>
  <c r="E20"/>
  <c r="Y17"/>
  <c r="W17"/>
  <c r="U17"/>
  <c r="S17"/>
  <c r="Q17"/>
  <c r="O17"/>
  <c r="M17"/>
  <c r="K17"/>
  <c r="I17"/>
  <c r="E17"/>
  <c r="Y15"/>
  <c r="W15"/>
  <c r="U15"/>
  <c r="S15"/>
  <c r="Q15"/>
  <c r="O15"/>
  <c r="M15"/>
  <c r="K15"/>
  <c r="I15"/>
  <c r="E15"/>
  <c r="C15"/>
  <c r="Y14"/>
  <c r="W14"/>
  <c r="U14"/>
  <c r="S14"/>
  <c r="Q14"/>
  <c r="O14"/>
  <c r="M14"/>
  <c r="K14"/>
  <c r="I14"/>
  <c r="E14"/>
  <c r="C14"/>
  <c r="Y13"/>
  <c r="W13"/>
  <c r="U13"/>
  <c r="S13"/>
  <c r="Q13"/>
  <c r="O13"/>
  <c r="M13"/>
  <c r="K13"/>
  <c r="I13"/>
  <c r="E13"/>
  <c r="C13"/>
  <c r="Y12"/>
  <c r="W12"/>
  <c r="U12"/>
  <c r="S12"/>
  <c r="Q12"/>
  <c r="O12"/>
  <c r="M12"/>
  <c r="K12"/>
  <c r="I12"/>
  <c r="E12"/>
  <c r="C12"/>
  <c r="Y11"/>
  <c r="W11"/>
  <c r="U11"/>
  <c r="S11"/>
  <c r="Q11"/>
  <c r="O11"/>
  <c r="M11"/>
  <c r="K11"/>
  <c r="I11"/>
  <c r="E11"/>
  <c r="C11"/>
  <c r="Y10"/>
  <c r="W10"/>
  <c r="U10"/>
  <c r="S10"/>
  <c r="Q10"/>
  <c r="O10"/>
  <c r="M10"/>
  <c r="K10"/>
  <c r="I10"/>
  <c r="E10"/>
  <c r="C10"/>
  <c r="X38"/>
  <c r="V38"/>
  <c r="T38"/>
  <c r="R38"/>
  <c r="P38"/>
  <c r="N38"/>
  <c r="L38"/>
  <c r="J38"/>
  <c r="H38"/>
  <c r="F38"/>
  <c r="D38"/>
  <c r="B38"/>
  <c r="Z37"/>
  <c r="Z36"/>
  <c r="Z35"/>
  <c r="Z34"/>
  <c r="Z33"/>
  <c r="X31"/>
  <c r="V31"/>
  <c r="T31"/>
  <c r="R31"/>
  <c r="P31"/>
  <c r="N31"/>
  <c r="L31"/>
  <c r="J31"/>
  <c r="H31"/>
  <c r="F31"/>
  <c r="D31"/>
  <c r="B31"/>
  <c r="Z30"/>
  <c r="Z29"/>
  <c r="Z28"/>
  <c r="Z27"/>
  <c r="Z26"/>
  <c r="Z25"/>
  <c r="Z24"/>
  <c r="X22"/>
  <c r="V22"/>
  <c r="R22"/>
  <c r="P22"/>
  <c r="L22"/>
  <c r="J22"/>
  <c r="F22"/>
  <c r="D22"/>
  <c r="B22"/>
  <c r="Z21"/>
  <c r="X18"/>
  <c r="V18"/>
  <c r="T18"/>
  <c r="R18"/>
  <c r="P18"/>
  <c r="N18"/>
  <c r="L18"/>
  <c r="J18"/>
  <c r="F18"/>
  <c r="D18"/>
  <c r="B18"/>
  <c r="Z16"/>
  <c r="Z14"/>
  <c r="Z13"/>
  <c r="Z12"/>
  <c r="Z11"/>
  <c r="Z10"/>
  <c r="Y37" i="83"/>
  <c r="W37"/>
  <c r="U37"/>
  <c r="S37"/>
  <c r="Q37"/>
  <c r="O37"/>
  <c r="M37"/>
  <c r="K37"/>
  <c r="I37"/>
  <c r="E37"/>
  <c r="C37"/>
  <c r="Y36"/>
  <c r="W36"/>
  <c r="U36"/>
  <c r="S36"/>
  <c r="Q36"/>
  <c r="O36"/>
  <c r="M36"/>
  <c r="K36"/>
  <c r="I36"/>
  <c r="E36"/>
  <c r="C36"/>
  <c r="Y35"/>
  <c r="W35"/>
  <c r="U35"/>
  <c r="S35"/>
  <c r="Q35"/>
  <c r="O35"/>
  <c r="M35"/>
  <c r="K35"/>
  <c r="I35"/>
  <c r="E35"/>
  <c r="C35"/>
  <c r="Y34"/>
  <c r="W34"/>
  <c r="U34"/>
  <c r="S34"/>
  <c r="Q34"/>
  <c r="O34"/>
  <c r="M34"/>
  <c r="K34"/>
  <c r="I34"/>
  <c r="E34"/>
  <c r="C34"/>
  <c r="Y33"/>
  <c r="W33"/>
  <c r="U33"/>
  <c r="S33"/>
  <c r="Q33"/>
  <c r="O33"/>
  <c r="M33"/>
  <c r="K33"/>
  <c r="I33"/>
  <c r="E33"/>
  <c r="C33"/>
  <c r="Y26"/>
  <c r="W26"/>
  <c r="U26"/>
  <c r="S26"/>
  <c r="Q26"/>
  <c r="O26"/>
  <c r="M26"/>
  <c r="K26"/>
  <c r="I26"/>
  <c r="E26"/>
  <c r="C26"/>
  <c r="Z20" i="84"/>
  <c r="H22"/>
  <c r="Z15"/>
  <c r="Y30" i="83"/>
  <c r="W30"/>
  <c r="U30"/>
  <c r="S30"/>
  <c r="Q30"/>
  <c r="O30"/>
  <c r="M30"/>
  <c r="K30"/>
  <c r="I30"/>
  <c r="E30"/>
  <c r="C30"/>
  <c r="Y29"/>
  <c r="W29"/>
  <c r="U29"/>
  <c r="S29"/>
  <c r="Q29"/>
  <c r="O29"/>
  <c r="M29"/>
  <c r="K29"/>
  <c r="I29"/>
  <c r="E29"/>
  <c r="C29"/>
  <c r="Y28"/>
  <c r="W28"/>
  <c r="U28"/>
  <c r="S28"/>
  <c r="Q28"/>
  <c r="O28"/>
  <c r="M28"/>
  <c r="K28"/>
  <c r="I28"/>
  <c r="E28"/>
  <c r="C28"/>
  <c r="Y25"/>
  <c r="W25"/>
  <c r="U25"/>
  <c r="S25"/>
  <c r="Q25"/>
  <c r="O25"/>
  <c r="M25"/>
  <c r="K25"/>
  <c r="I25"/>
  <c r="E25"/>
  <c r="C25"/>
  <c r="Y24"/>
  <c r="W24"/>
  <c r="U24"/>
  <c r="S24"/>
  <c r="Q24"/>
  <c r="O24"/>
  <c r="M24"/>
  <c r="K24"/>
  <c r="I24"/>
  <c r="E24"/>
  <c r="C24"/>
  <c r="Y27"/>
  <c r="W27"/>
  <c r="U27"/>
  <c r="S27"/>
  <c r="Q27"/>
  <c r="O27"/>
  <c r="M27"/>
  <c r="K27"/>
  <c r="I27"/>
  <c r="E27"/>
  <c r="C27"/>
  <c r="Y21"/>
  <c r="W21"/>
  <c r="U21"/>
  <c r="S21"/>
  <c r="Q21"/>
  <c r="O21"/>
  <c r="M21"/>
  <c r="K21"/>
  <c r="I21"/>
  <c r="G21"/>
  <c r="E21"/>
  <c r="C21"/>
  <c r="Y20"/>
  <c r="W20"/>
  <c r="U20"/>
  <c r="S20"/>
  <c r="Q20"/>
  <c r="O20"/>
  <c r="M20"/>
  <c r="K20"/>
  <c r="I20"/>
  <c r="G20"/>
  <c r="E20"/>
  <c r="C20"/>
  <c r="Y17"/>
  <c r="W17"/>
  <c r="U17"/>
  <c r="S17"/>
  <c r="Q17"/>
  <c r="O17"/>
  <c r="M17"/>
  <c r="K17"/>
  <c r="I17"/>
  <c r="G17"/>
  <c r="E17"/>
  <c r="Y16"/>
  <c r="W16"/>
  <c r="U16"/>
  <c r="S16"/>
  <c r="Q16"/>
  <c r="O16"/>
  <c r="M16"/>
  <c r="K16"/>
  <c r="I16"/>
  <c r="E16"/>
  <c r="C16"/>
  <c r="Y15"/>
  <c r="W15"/>
  <c r="U15"/>
  <c r="S15"/>
  <c r="Q15"/>
  <c r="O15"/>
  <c r="M15"/>
  <c r="K15"/>
  <c r="I15"/>
  <c r="E15"/>
  <c r="C15"/>
  <c r="Y14"/>
  <c r="W14"/>
  <c r="U14"/>
  <c r="S14"/>
  <c r="Q14"/>
  <c r="O14"/>
  <c r="M14"/>
  <c r="K14"/>
  <c r="I14"/>
  <c r="E14"/>
  <c r="C14"/>
  <c r="Y13"/>
  <c r="W13"/>
  <c r="U13"/>
  <c r="S13"/>
  <c r="Q13"/>
  <c r="O13"/>
  <c r="M13"/>
  <c r="K13"/>
  <c r="I13"/>
  <c r="E13"/>
  <c r="C13"/>
  <c r="Y12"/>
  <c r="W12"/>
  <c r="U12"/>
  <c r="S12"/>
  <c r="Q12"/>
  <c r="O12"/>
  <c r="M12"/>
  <c r="K12"/>
  <c r="I12"/>
  <c r="E12"/>
  <c r="C12"/>
  <c r="Y11"/>
  <c r="W11"/>
  <c r="U11"/>
  <c r="S11"/>
  <c r="Q11"/>
  <c r="O11"/>
  <c r="M11"/>
  <c r="K11"/>
  <c r="I11"/>
  <c r="E11"/>
  <c r="C11"/>
  <c r="Y10"/>
  <c r="W10"/>
  <c r="U10"/>
  <c r="S10"/>
  <c r="Q10"/>
  <c r="O10"/>
  <c r="M10"/>
  <c r="K10"/>
  <c r="I10"/>
  <c r="E10"/>
  <c r="C10"/>
  <c r="T38"/>
  <c r="T31"/>
  <c r="T22"/>
  <c r="T18"/>
  <c r="N38"/>
  <c r="N31"/>
  <c r="N22"/>
  <c r="N18"/>
  <c r="H38"/>
  <c r="H31"/>
  <c r="H22"/>
  <c r="H18"/>
  <c r="D38"/>
  <c r="D31"/>
  <c r="D22"/>
  <c r="D18"/>
  <c r="B38"/>
  <c r="B31"/>
  <c r="B22"/>
  <c r="B18"/>
  <c r="X38"/>
  <c r="V38"/>
  <c r="R38"/>
  <c r="P38"/>
  <c r="L38"/>
  <c r="J38"/>
  <c r="F38"/>
  <c r="Z37"/>
  <c r="Z36"/>
  <c r="Z35"/>
  <c r="Z34"/>
  <c r="Z33"/>
  <c r="X31"/>
  <c r="V31"/>
  <c r="R31"/>
  <c r="P31"/>
  <c r="L31"/>
  <c r="J31"/>
  <c r="F31"/>
  <c r="Z30"/>
  <c r="Z29"/>
  <c r="Z28"/>
  <c r="Z27"/>
  <c r="Z26"/>
  <c r="Z25"/>
  <c r="Z24"/>
  <c r="X22"/>
  <c r="V22"/>
  <c r="R22"/>
  <c r="P22"/>
  <c r="L22"/>
  <c r="J22"/>
  <c r="F22"/>
  <c r="Z21"/>
  <c r="Z20"/>
  <c r="X18"/>
  <c r="V18"/>
  <c r="L18"/>
  <c r="J18"/>
  <c r="F18"/>
  <c r="P18"/>
  <c r="R18"/>
  <c r="Z14"/>
  <c r="Z13"/>
  <c r="Z12"/>
  <c r="Z11"/>
  <c r="Z10"/>
  <c r="G24" i="19"/>
  <c r="Z15" i="83"/>
  <c r="Z16"/>
  <c r="G17" i="84"/>
  <c r="C16" i="22"/>
  <c r="G23"/>
  <c r="G12"/>
  <c r="C20" i="84"/>
  <c r="Y29" i="22"/>
  <c r="W29"/>
  <c r="U29"/>
  <c r="S29"/>
  <c r="Q29"/>
  <c r="O29"/>
  <c r="M29"/>
  <c r="K29"/>
  <c r="I29"/>
  <c r="G29"/>
  <c r="E29"/>
  <c r="Y28"/>
  <c r="W28"/>
  <c r="U28"/>
  <c r="Q28"/>
  <c r="O28"/>
  <c r="M28"/>
  <c r="K28"/>
  <c r="I28"/>
  <c r="G28"/>
  <c r="Y27"/>
  <c r="W27"/>
  <c r="U27"/>
  <c r="S27"/>
  <c r="Q27"/>
  <c r="O27"/>
  <c r="M27"/>
  <c r="K27"/>
  <c r="I27"/>
  <c r="G27"/>
  <c r="E27"/>
  <c r="Y26"/>
  <c r="W26"/>
  <c r="U26"/>
  <c r="S26"/>
  <c r="Q26"/>
  <c r="O26"/>
  <c r="M26"/>
  <c r="K26"/>
  <c r="G26"/>
  <c r="E26"/>
  <c r="Y25"/>
  <c r="W25"/>
  <c r="U25"/>
  <c r="S25"/>
  <c r="Q25"/>
  <c r="O25"/>
  <c r="M25"/>
  <c r="K25"/>
  <c r="I25"/>
  <c r="G25"/>
  <c r="E25"/>
  <c r="Y24"/>
  <c r="W24"/>
  <c r="U24"/>
  <c r="S24"/>
  <c r="Q24"/>
  <c r="O24"/>
  <c r="K24"/>
  <c r="G24"/>
  <c r="E24"/>
  <c r="Y23"/>
  <c r="W23"/>
  <c r="U23"/>
  <c r="S23"/>
  <c r="Q23"/>
  <c r="O23"/>
  <c r="M23"/>
  <c r="K23"/>
  <c r="I23"/>
  <c r="Y20"/>
  <c r="W20"/>
  <c r="U20"/>
  <c r="S20"/>
  <c r="Q20"/>
  <c r="O20"/>
  <c r="M20"/>
  <c r="K20"/>
  <c r="I20"/>
  <c r="G20"/>
  <c r="C20"/>
  <c r="Y19"/>
  <c r="W19"/>
  <c r="U19"/>
  <c r="S19"/>
  <c r="Q19"/>
  <c r="O19"/>
  <c r="M19"/>
  <c r="K19"/>
  <c r="I19"/>
  <c r="G19"/>
  <c r="E19"/>
  <c r="C19"/>
  <c r="Y18"/>
  <c r="W18"/>
  <c r="U18"/>
  <c r="S18"/>
  <c r="Q18"/>
  <c r="O18"/>
  <c r="M18"/>
  <c r="K18"/>
  <c r="I18"/>
  <c r="G18"/>
  <c r="E18"/>
  <c r="C18"/>
  <c r="Y17"/>
  <c r="W17"/>
  <c r="U17"/>
  <c r="S17"/>
  <c r="Q17"/>
  <c r="O17"/>
  <c r="M17"/>
  <c r="K17"/>
  <c r="I17"/>
  <c r="G17"/>
  <c r="E17"/>
  <c r="C17"/>
  <c r="Y16"/>
  <c r="W16"/>
  <c r="U16"/>
  <c r="S16"/>
  <c r="Q16"/>
  <c r="O16"/>
  <c r="M16"/>
  <c r="K16"/>
  <c r="I16"/>
  <c r="G16"/>
  <c r="E16"/>
  <c r="Y15"/>
  <c r="W15"/>
  <c r="U15"/>
  <c r="S15"/>
  <c r="Q15"/>
  <c r="O15"/>
  <c r="M15"/>
  <c r="K15"/>
  <c r="I15"/>
  <c r="G15"/>
  <c r="E15"/>
  <c r="C15"/>
  <c r="Y14"/>
  <c r="W14"/>
  <c r="U14"/>
  <c r="S14"/>
  <c r="Q14"/>
  <c r="O14"/>
  <c r="M14"/>
  <c r="I14"/>
  <c r="G14"/>
  <c r="E14"/>
  <c r="C14"/>
  <c r="Y13"/>
  <c r="W13"/>
  <c r="U13"/>
  <c r="S13"/>
  <c r="Q13"/>
  <c r="O13"/>
  <c r="M13"/>
  <c r="K13"/>
  <c r="I13"/>
  <c r="G13"/>
  <c r="E13"/>
  <c r="C13"/>
  <c r="Y12"/>
  <c r="W12"/>
  <c r="U12"/>
  <c r="S12"/>
  <c r="Q12"/>
  <c r="O12"/>
  <c r="M12"/>
  <c r="I12"/>
  <c r="E12"/>
  <c r="C12"/>
  <c r="Y11"/>
  <c r="W11"/>
  <c r="U11"/>
  <c r="S11"/>
  <c r="Q11"/>
  <c r="O11"/>
  <c r="M11"/>
  <c r="K11"/>
  <c r="I11"/>
  <c r="G11"/>
  <c r="E11"/>
  <c r="C11"/>
  <c r="Y10"/>
  <c r="W10"/>
  <c r="U10"/>
  <c r="S10"/>
  <c r="Q10"/>
  <c r="O10"/>
  <c r="M10"/>
  <c r="K10"/>
  <c r="I10"/>
  <c r="G10"/>
  <c r="E10"/>
  <c r="C10"/>
  <c r="Y27" i="19"/>
  <c r="W27"/>
  <c r="U27"/>
  <c r="S27"/>
  <c r="Q27"/>
  <c r="O27"/>
  <c r="M27"/>
  <c r="K27"/>
  <c r="I27"/>
  <c r="G27"/>
  <c r="E27"/>
  <c r="C27"/>
  <c r="T22" i="71" s="1"/>
  <c r="Y29" i="19"/>
  <c r="W29"/>
  <c r="U29"/>
  <c r="S29"/>
  <c r="Q29"/>
  <c r="O29"/>
  <c r="M29"/>
  <c r="K29"/>
  <c r="I29"/>
  <c r="G29"/>
  <c r="E29"/>
  <c r="C29"/>
  <c r="V22" i="71" s="1"/>
  <c r="Y28" i="19"/>
  <c r="W28"/>
  <c r="U28"/>
  <c r="S28"/>
  <c r="Q28"/>
  <c r="O28"/>
  <c r="M28"/>
  <c r="K28"/>
  <c r="I28"/>
  <c r="G28"/>
  <c r="E28"/>
  <c r="C28"/>
  <c r="Y26"/>
  <c r="W26"/>
  <c r="U26"/>
  <c r="S26"/>
  <c r="Q26"/>
  <c r="O26"/>
  <c r="M26"/>
  <c r="K26"/>
  <c r="I26"/>
  <c r="G26"/>
  <c r="E26"/>
  <c r="C26"/>
  <c r="S22" i="71" s="1"/>
  <c r="Y25" i="19"/>
  <c r="W25"/>
  <c r="U25"/>
  <c r="S25"/>
  <c r="Q25"/>
  <c r="O25"/>
  <c r="M25"/>
  <c r="K25"/>
  <c r="I25"/>
  <c r="G25"/>
  <c r="E25"/>
  <c r="C25"/>
  <c r="R22" i="71" s="1"/>
  <c r="Y24" i="19"/>
  <c r="W24"/>
  <c r="U24"/>
  <c r="S24"/>
  <c r="Q24"/>
  <c r="O24"/>
  <c r="M24"/>
  <c r="K24"/>
  <c r="I24"/>
  <c r="E24"/>
  <c r="C24"/>
  <c r="Q22" i="71" s="1"/>
  <c r="Y23" i="19"/>
  <c r="W23"/>
  <c r="U23"/>
  <c r="S23"/>
  <c r="Q23"/>
  <c r="O23"/>
  <c r="M23"/>
  <c r="K23"/>
  <c r="I23"/>
  <c r="G23"/>
  <c r="E23"/>
  <c r="C23"/>
  <c r="P22" i="71" s="1"/>
  <c r="B30" i="19"/>
  <c r="F30"/>
  <c r="H30"/>
  <c r="L30"/>
  <c r="N30"/>
  <c r="P30"/>
  <c r="R30"/>
  <c r="V30"/>
  <c r="X30"/>
  <c r="Y20"/>
  <c r="W20"/>
  <c r="U20"/>
  <c r="S20"/>
  <c r="Q20"/>
  <c r="O20"/>
  <c r="M20"/>
  <c r="K20"/>
  <c r="I20"/>
  <c r="G20"/>
  <c r="E20"/>
  <c r="C20"/>
  <c r="K22" i="71" s="1"/>
  <c r="Y19" i="19"/>
  <c r="W19"/>
  <c r="U19"/>
  <c r="S19"/>
  <c r="Q19"/>
  <c r="O19"/>
  <c r="M19"/>
  <c r="K19"/>
  <c r="I19"/>
  <c r="G19"/>
  <c r="E19"/>
  <c r="C19"/>
  <c r="J22" i="71" s="1"/>
  <c r="Y18" i="19"/>
  <c r="W18"/>
  <c r="U18"/>
  <c r="S18"/>
  <c r="Q18"/>
  <c r="O18"/>
  <c r="M18"/>
  <c r="K18"/>
  <c r="I18"/>
  <c r="G18"/>
  <c r="E18"/>
  <c r="C18"/>
  <c r="I22" i="71" s="1"/>
  <c r="Y17" i="19"/>
  <c r="W17"/>
  <c r="U17"/>
  <c r="S17"/>
  <c r="Q17"/>
  <c r="O17"/>
  <c r="M17"/>
  <c r="K17"/>
  <c r="I17"/>
  <c r="G17"/>
  <c r="E17"/>
  <c r="C17"/>
  <c r="H22" i="71" s="1"/>
  <c r="Y16" i="19"/>
  <c r="W16"/>
  <c r="U16"/>
  <c r="S16"/>
  <c r="Q16"/>
  <c r="O16"/>
  <c r="M16"/>
  <c r="K16"/>
  <c r="I16"/>
  <c r="G16"/>
  <c r="E16"/>
  <c r="C16"/>
  <c r="G22" i="71" s="1"/>
  <c r="Y15" i="19"/>
  <c r="W15"/>
  <c r="U15"/>
  <c r="S15"/>
  <c r="Q15"/>
  <c r="O15"/>
  <c r="M15"/>
  <c r="K15"/>
  <c r="I15"/>
  <c r="G15"/>
  <c r="E15"/>
  <c r="C15"/>
  <c r="Y14"/>
  <c r="W14"/>
  <c r="U14"/>
  <c r="S14"/>
  <c r="Q14"/>
  <c r="O14"/>
  <c r="M14"/>
  <c r="K14"/>
  <c r="I14"/>
  <c r="G14"/>
  <c r="E14"/>
  <c r="C14"/>
  <c r="E22" i="71" s="1"/>
  <c r="Y13" i="19"/>
  <c r="W13"/>
  <c r="U13"/>
  <c r="S13"/>
  <c r="Q13"/>
  <c r="O13"/>
  <c r="M13"/>
  <c r="K13"/>
  <c r="I13"/>
  <c r="G13"/>
  <c r="E13"/>
  <c r="C13"/>
  <c r="D22" i="71" s="1"/>
  <c r="Y12" i="19"/>
  <c r="W12"/>
  <c r="U12"/>
  <c r="S12"/>
  <c r="Q12"/>
  <c r="O12"/>
  <c r="M12"/>
  <c r="K12"/>
  <c r="I12"/>
  <c r="G12"/>
  <c r="E12"/>
  <c r="C12"/>
  <c r="Y11"/>
  <c r="W11"/>
  <c r="U11"/>
  <c r="S11"/>
  <c r="Q11"/>
  <c r="O11"/>
  <c r="M11"/>
  <c r="K11"/>
  <c r="I11"/>
  <c r="G11"/>
  <c r="E11"/>
  <c r="C11"/>
  <c r="Y10"/>
  <c r="W10"/>
  <c r="U10"/>
  <c r="S10"/>
  <c r="Q10"/>
  <c r="O10"/>
  <c r="M10"/>
  <c r="K10"/>
  <c r="I10"/>
  <c r="G10"/>
  <c r="E10"/>
  <c r="C10"/>
  <c r="B22" i="71" s="1"/>
  <c r="G12" i="73"/>
  <c r="G6" i="63" s="1"/>
  <c r="B1" i="73"/>
  <c r="D1" s="1"/>
  <c r="P4" i="71"/>
  <c r="P5" s="1"/>
  <c r="P6" s="1"/>
  <c r="B1" i="70"/>
  <c r="C1" s="1"/>
  <c r="G2" s="1"/>
  <c r="E4" i="71"/>
  <c r="E5" s="1"/>
  <c r="E6" s="1"/>
  <c r="E7" s="1"/>
  <c r="G14" i="70"/>
  <c r="G7" i="63" s="1"/>
  <c r="B16" i="12"/>
  <c r="X30" i="22"/>
  <c r="P30"/>
  <c r="Z29"/>
  <c r="R30"/>
  <c r="Z27"/>
  <c r="Z25"/>
  <c r="X21"/>
  <c r="V21"/>
  <c r="T21"/>
  <c r="P21"/>
  <c r="L21"/>
  <c r="J21"/>
  <c r="F21"/>
  <c r="H21"/>
  <c r="Z19"/>
  <c r="Z18"/>
  <c r="Z17"/>
  <c r="B21"/>
  <c r="B56" i="71" s="1"/>
  <c r="Z14" i="22"/>
  <c r="Z13"/>
  <c r="Z12"/>
  <c r="Z11"/>
  <c r="Z10"/>
  <c r="Z10" i="19"/>
  <c r="Z11"/>
  <c r="Z12"/>
  <c r="Z13"/>
  <c r="Z14"/>
  <c r="G4" i="71"/>
  <c r="G5" s="1"/>
  <c r="G6" s="1"/>
  <c r="P21" i="19"/>
  <c r="F21"/>
  <c r="H21"/>
  <c r="J21"/>
  <c r="J32" s="1"/>
  <c r="L21"/>
  <c r="T21"/>
  <c r="T32" s="1"/>
  <c r="V21"/>
  <c r="X21"/>
  <c r="Z23"/>
  <c r="Z25"/>
  <c r="Z26"/>
  <c r="Z27"/>
  <c r="Z29"/>
  <c r="P9" i="12"/>
  <c r="O9"/>
  <c r="N9"/>
  <c r="M9"/>
  <c r="K15"/>
  <c r="P15" s="1"/>
  <c r="J15"/>
  <c r="O15" s="1"/>
  <c r="I15"/>
  <c r="N15" s="1"/>
  <c r="H15"/>
  <c r="M15" s="1"/>
  <c r="K14"/>
  <c r="P14" s="1"/>
  <c r="J14"/>
  <c r="O14" s="1"/>
  <c r="I14"/>
  <c r="N14" s="1"/>
  <c r="H14"/>
  <c r="M14" s="1"/>
  <c r="K13"/>
  <c r="P13" s="1"/>
  <c r="J13"/>
  <c r="O13" s="1"/>
  <c r="I13"/>
  <c r="N13" s="1"/>
  <c r="H13"/>
  <c r="M13" s="1"/>
  <c r="K12"/>
  <c r="J12"/>
  <c r="I12"/>
  <c r="H12"/>
  <c r="K11"/>
  <c r="I11"/>
  <c r="K10"/>
  <c r="I10"/>
  <c r="H10"/>
  <c r="K8"/>
  <c r="P8" s="1"/>
  <c r="J8"/>
  <c r="O8" s="1"/>
  <c r="I8"/>
  <c r="N8" s="1"/>
  <c r="H8"/>
  <c r="M8" s="1"/>
  <c r="K6"/>
  <c r="J6"/>
  <c r="I6"/>
  <c r="H6"/>
  <c r="J5"/>
  <c r="I5"/>
  <c r="K5"/>
  <c r="H5"/>
  <c r="K4"/>
  <c r="J4"/>
  <c r="I4"/>
  <c r="H4"/>
  <c r="F5"/>
  <c r="E5"/>
  <c r="D5"/>
  <c r="F12"/>
  <c r="P12" s="1"/>
  <c r="E12"/>
  <c r="O12" s="1"/>
  <c r="D12"/>
  <c r="C12"/>
  <c r="F11"/>
  <c r="P11" s="1"/>
  <c r="E11"/>
  <c r="D11"/>
  <c r="F10"/>
  <c r="E10"/>
  <c r="D10"/>
  <c r="C10"/>
  <c r="F7"/>
  <c r="P7" s="1"/>
  <c r="E7"/>
  <c r="O7" s="1"/>
  <c r="D7"/>
  <c r="N7" s="1"/>
  <c r="C7"/>
  <c r="F6"/>
  <c r="E6"/>
  <c r="D6"/>
  <c r="C6"/>
  <c r="F4"/>
  <c r="E4"/>
  <c r="D4"/>
  <c r="C4"/>
  <c r="I3" i="20"/>
  <c r="I9"/>
  <c r="I7"/>
  <c r="I5"/>
  <c r="F9"/>
  <c r="F7"/>
  <c r="F5"/>
  <c r="F3"/>
  <c r="D9"/>
  <c r="D7"/>
  <c r="D5"/>
  <c r="C7"/>
  <c r="C9"/>
  <c r="C3"/>
  <c r="C5"/>
  <c r="F5" i="11"/>
  <c r="I5"/>
  <c r="I3"/>
  <c r="D5"/>
  <c r="C5"/>
  <c r="D3"/>
  <c r="C3"/>
  <c r="Z15" i="22"/>
  <c r="Z20"/>
  <c r="B21" i="19"/>
  <c r="D8" i="42"/>
  <c r="J10" i="12"/>
  <c r="Z15" i="19"/>
  <c r="R21"/>
  <c r="Z16"/>
  <c r="H11" i="12"/>
  <c r="E23" i="22"/>
  <c r="G20" i="84"/>
  <c r="D21" i="19"/>
  <c r="J11" i="12"/>
  <c r="N21" i="19"/>
  <c r="D21" i="22"/>
  <c r="E8" i="42"/>
  <c r="N10" i="12" l="1"/>
  <c r="P5"/>
  <c r="S22" i="84"/>
  <c r="H350" i="85"/>
  <c r="O6" i="12"/>
  <c r="L10"/>
  <c r="O4"/>
  <c r="K16"/>
  <c r="L11"/>
  <c r="M3" i="107"/>
  <c r="H3"/>
  <c r="L5" i="12"/>
  <c r="M6"/>
  <c r="P6"/>
  <c r="P10"/>
  <c r="N5"/>
  <c r="L12"/>
  <c r="L14"/>
  <c r="Q9"/>
  <c r="H6" i="107"/>
  <c r="M6"/>
  <c r="H10"/>
  <c r="M10"/>
  <c r="H14"/>
  <c r="M14"/>
  <c r="H4"/>
  <c r="M4"/>
  <c r="M22" i="83"/>
  <c r="Q22" i="84"/>
  <c r="V32" i="19"/>
  <c r="Q13" i="12"/>
  <c r="Q14"/>
  <c r="I16"/>
  <c r="N6"/>
  <c r="M10"/>
  <c r="N11"/>
  <c r="O5"/>
  <c r="Q15"/>
  <c r="L6"/>
  <c r="F4" i="20"/>
  <c r="H4" s="1"/>
  <c r="C4" i="11"/>
  <c r="I22" i="84"/>
  <c r="L15" i="12"/>
  <c r="O11"/>
  <c r="R32" i="19"/>
  <c r="E3" i="102"/>
  <c r="P32" i="22"/>
  <c r="X32"/>
  <c r="P32" i="19"/>
  <c r="L40" i="83"/>
  <c r="X40" i="84"/>
  <c r="N40"/>
  <c r="F40" i="83"/>
  <c r="R40"/>
  <c r="B57" i="71"/>
  <c r="B58" s="1"/>
  <c r="B60" s="1"/>
  <c r="B61" s="1"/>
  <c r="B62" s="1"/>
  <c r="B63" s="1"/>
  <c r="T40" i="84"/>
  <c r="L40"/>
  <c r="X32" i="19"/>
  <c r="B3" i="102"/>
  <c r="Z18" i="83"/>
  <c r="L32" i="19"/>
  <c r="B32"/>
  <c r="B40" i="83"/>
  <c r="H40"/>
  <c r="N40"/>
  <c r="Z24" i="22"/>
  <c r="N32" i="19"/>
  <c r="O10" i="12"/>
  <c r="G12"/>
  <c r="N12"/>
  <c r="D16"/>
  <c r="N4"/>
  <c r="G4"/>
  <c r="M4"/>
  <c r="G10"/>
  <c r="M12"/>
  <c r="R7" i="71"/>
  <c r="R8"/>
  <c r="R9" s="1"/>
  <c r="R10" s="1"/>
  <c r="R11" s="1"/>
  <c r="G15" i="107"/>
  <c r="H15" s="1"/>
  <c r="B32" i="22"/>
  <c r="Y22" i="83"/>
  <c r="M22" i="84"/>
  <c r="V32" i="22"/>
  <c r="H32" i="19"/>
  <c r="R32" i="22"/>
  <c r="L32"/>
  <c r="X40" i="83"/>
  <c r="J40"/>
  <c r="V40"/>
  <c r="D40"/>
  <c r="T40"/>
  <c r="Z18" i="84"/>
  <c r="R40"/>
  <c r="J40"/>
  <c r="V40"/>
  <c r="Z31"/>
  <c r="F40"/>
  <c r="Z23" i="22"/>
  <c r="P40" i="83"/>
  <c r="Z38"/>
  <c r="Z31"/>
  <c r="H40" i="84"/>
  <c r="Z22"/>
  <c r="F32" i="22"/>
  <c r="D2" i="102"/>
  <c r="E22" i="83"/>
  <c r="U22" i="84"/>
  <c r="S22" i="83"/>
  <c r="U22"/>
  <c r="O22" i="84"/>
  <c r="D30" i="19"/>
  <c r="D32" s="1"/>
  <c r="C11" i="12"/>
  <c r="Z28" i="19"/>
  <c r="D32" i="22"/>
  <c r="T30"/>
  <c r="E2" i="102" s="1"/>
  <c r="Q5" i="71"/>
  <c r="Q6" s="1"/>
  <c r="Q8" s="1"/>
  <c r="Q9" s="1"/>
  <c r="Q10" s="1"/>
  <c r="Z16" i="22"/>
  <c r="C5" i="12"/>
  <c r="Z26" i="22"/>
  <c r="Z24" i="19"/>
  <c r="U7" i="71"/>
  <c r="C6" i="86"/>
  <c r="G6" s="1"/>
  <c r="I6"/>
  <c r="H7" i="20"/>
  <c r="H5"/>
  <c r="Y22" i="84"/>
  <c r="W22"/>
  <c r="I9" i="89"/>
  <c r="W22" i="83"/>
  <c r="H3" i="11"/>
  <c r="E6" i="42"/>
  <c r="F5" i="89"/>
  <c r="M24" i="22"/>
  <c r="M30" s="1"/>
  <c r="F3" i="88"/>
  <c r="E9" i="20"/>
  <c r="D5" i="88"/>
  <c r="D7" i="11"/>
  <c r="H8" i="20"/>
  <c r="E3" i="11"/>
  <c r="I7"/>
  <c r="I6"/>
  <c r="J9" i="20"/>
  <c r="E5" i="11"/>
  <c r="H5"/>
  <c r="F6"/>
  <c r="I5" i="88"/>
  <c r="D7" i="89"/>
  <c r="F4" i="11"/>
  <c r="F6" i="42"/>
  <c r="G4" i="10"/>
  <c r="G10" s="1"/>
  <c r="E4" i="42"/>
  <c r="I6" i="10"/>
  <c r="C7" i="89"/>
  <c r="G7" i="86"/>
  <c r="C4" i="10"/>
  <c r="I7" i="89"/>
  <c r="I30" i="22"/>
  <c r="E3" i="20"/>
  <c r="H6"/>
  <c r="F10"/>
  <c r="I10"/>
  <c r="I4" i="10"/>
  <c r="G5" i="11"/>
  <c r="E7" i="20"/>
  <c r="F7" i="11"/>
  <c r="C4" i="20"/>
  <c r="E4" s="1"/>
  <c r="C6" i="11"/>
  <c r="D10" i="20"/>
  <c r="D10" i="89" s="1"/>
  <c r="C29" i="84"/>
  <c r="C31" s="1"/>
  <c r="C6" i="42"/>
  <c r="E4" i="10"/>
  <c r="C9" i="89"/>
  <c r="E5" i="20"/>
  <c r="F11"/>
  <c r="J7"/>
  <c r="K12" i="22"/>
  <c r="AA12" s="1"/>
  <c r="D6" i="11"/>
  <c r="G3" i="20"/>
  <c r="C8"/>
  <c r="J8" s="1"/>
  <c r="I4"/>
  <c r="E20" i="57"/>
  <c r="D4" i="11"/>
  <c r="J3" i="20"/>
  <c r="G7"/>
  <c r="F3" i="89"/>
  <c r="H3" i="20"/>
  <c r="D6" i="89"/>
  <c r="D8"/>
  <c r="D10" i="42"/>
  <c r="C4" i="86"/>
  <c r="E4" s="1"/>
  <c r="F4"/>
  <c r="I10"/>
  <c r="D23" i="71"/>
  <c r="D24" s="1"/>
  <c r="D25" s="1"/>
  <c r="K23"/>
  <c r="K24" s="1"/>
  <c r="K25" s="1"/>
  <c r="J9" i="86"/>
  <c r="C1" i="68"/>
  <c r="G2" s="1"/>
  <c r="C2"/>
  <c r="B3" i="63"/>
  <c r="C3" s="1"/>
  <c r="C1" i="73"/>
  <c r="D1" i="68"/>
  <c r="B3" i="70"/>
  <c r="C3" s="1"/>
  <c r="D1"/>
  <c r="H3" s="1"/>
  <c r="I3" s="1"/>
  <c r="C1" i="63"/>
  <c r="J3" i="11"/>
  <c r="J12" i="71"/>
  <c r="J13" s="1"/>
  <c r="J14" s="1"/>
  <c r="J11"/>
  <c r="M7" i="12"/>
  <c r="Q7" s="1"/>
  <c r="G7"/>
  <c r="L4"/>
  <c r="H16"/>
  <c r="Q8"/>
  <c r="G8" i="71"/>
  <c r="G9" s="1"/>
  <c r="G10" s="1"/>
  <c r="G7"/>
  <c r="F32" i="19"/>
  <c r="H3" i="73"/>
  <c r="I3" s="1"/>
  <c r="L8" i="12"/>
  <c r="L13"/>
  <c r="Z21" i="19"/>
  <c r="D3" i="102"/>
  <c r="N32" i="22"/>
  <c r="H32"/>
  <c r="C3" i="102"/>
  <c r="Z21" i="22"/>
  <c r="P56" i="71"/>
  <c r="C2" i="102"/>
  <c r="J32" i="22"/>
  <c r="F2" i="70"/>
  <c r="F12"/>
  <c r="G9" i="63"/>
  <c r="U12" i="71"/>
  <c r="U11"/>
  <c r="C7" i="11"/>
  <c r="G3"/>
  <c r="E8" i="71"/>
  <c r="E9" s="1"/>
  <c r="E10" s="1"/>
  <c r="J5" i="20"/>
  <c r="C11"/>
  <c r="C5" i="89"/>
  <c r="H9" i="20"/>
  <c r="D11"/>
  <c r="F9" i="89"/>
  <c r="G9" i="20"/>
  <c r="I3" i="89"/>
  <c r="I11" i="20"/>
  <c r="P4" i="12"/>
  <c r="F16"/>
  <c r="E16"/>
  <c r="J16"/>
  <c r="P8" i="71"/>
  <c r="P9" s="1"/>
  <c r="P10" s="1"/>
  <c r="P7"/>
  <c r="F12"/>
  <c r="F11"/>
  <c r="B9" i="70" s="1"/>
  <c r="I11" i="71"/>
  <c r="I12"/>
  <c r="I13" s="1"/>
  <c r="I14" s="1"/>
  <c r="J5" i="11"/>
  <c r="B3" i="73"/>
  <c r="C3" s="1"/>
  <c r="G5" i="20"/>
  <c r="D3" i="88"/>
  <c r="S21" i="19"/>
  <c r="C30" i="22"/>
  <c r="Q56" i="71" s="1"/>
  <c r="B40" i="84"/>
  <c r="I7" i="71"/>
  <c r="S7"/>
  <c r="S8"/>
  <c r="S9" s="1"/>
  <c r="S10" s="1"/>
  <c r="T8"/>
  <c r="T9" s="1"/>
  <c r="T10" s="1"/>
  <c r="C17" i="84"/>
  <c r="C18" s="1"/>
  <c r="C6" i="20"/>
  <c r="G6" s="1"/>
  <c r="D40" i="84"/>
  <c r="P40"/>
  <c r="Z38"/>
  <c r="J7" i="71"/>
  <c r="Q7"/>
  <c r="V8"/>
  <c r="V9" s="1"/>
  <c r="V10" s="1"/>
  <c r="V7"/>
  <c r="B8"/>
  <c r="B9" s="1"/>
  <c r="B10" s="1"/>
  <c r="B7"/>
  <c r="H8"/>
  <c r="H9" s="1"/>
  <c r="H10" s="1"/>
  <c r="H7"/>
  <c r="E6" i="10"/>
  <c r="C10" i="20"/>
  <c r="G6" i="12"/>
  <c r="B12" i="70"/>
  <c r="C5" i="88"/>
  <c r="Z22" i="83"/>
  <c r="H5" i="86"/>
  <c r="D9" i="89"/>
  <c r="C8" i="42"/>
  <c r="C7" i="71"/>
  <c r="C8"/>
  <c r="C9" s="1"/>
  <c r="C10" s="1"/>
  <c r="D8"/>
  <c r="D9" s="1"/>
  <c r="D10" s="1"/>
  <c r="D7"/>
  <c r="I4" i="86"/>
  <c r="F6" i="89"/>
  <c r="J5" i="86"/>
  <c r="C6" i="68"/>
  <c r="C7" s="1"/>
  <c r="F7" i="71"/>
  <c r="K8"/>
  <c r="K9" s="1"/>
  <c r="K10" s="1"/>
  <c r="J7" i="86"/>
  <c r="C6" i="10"/>
  <c r="C8" i="86"/>
  <c r="G6" i="68"/>
  <c r="G5"/>
  <c r="B10" i="10"/>
  <c r="F4" i="42"/>
  <c r="K8" i="10"/>
  <c r="J8"/>
  <c r="J6"/>
  <c r="H10"/>
  <c r="D12" i="86"/>
  <c r="G31" i="83"/>
  <c r="G38" i="84"/>
  <c r="E23" i="71"/>
  <c r="E24" s="1"/>
  <c r="E25" s="1"/>
  <c r="H23"/>
  <c r="H24" s="1"/>
  <c r="W30" i="19"/>
  <c r="O21" i="22"/>
  <c r="W21"/>
  <c r="O30"/>
  <c r="W30"/>
  <c r="G30"/>
  <c r="AA13" i="83"/>
  <c r="E28" i="84"/>
  <c r="AA28" s="1"/>
  <c r="I8" i="86"/>
  <c r="F8"/>
  <c r="F8" i="89" s="1"/>
  <c r="I38" i="83"/>
  <c r="E3" i="86"/>
  <c r="G5"/>
  <c r="F10"/>
  <c r="H10" s="1"/>
  <c r="G22" i="83"/>
  <c r="O22"/>
  <c r="U31"/>
  <c r="T23" i="71"/>
  <c r="T24" s="1"/>
  <c r="T25" s="1"/>
  <c r="U30" i="22"/>
  <c r="AA10" i="84"/>
  <c r="U31"/>
  <c r="C22"/>
  <c r="C10" i="86"/>
  <c r="G31" i="84"/>
  <c r="AA18" i="22"/>
  <c r="AA20"/>
  <c r="AA28"/>
  <c r="E21"/>
  <c r="M21"/>
  <c r="U21"/>
  <c r="S30"/>
  <c r="E22" i="84"/>
  <c r="G22"/>
  <c r="W38"/>
  <c r="U38"/>
  <c r="V23" i="71"/>
  <c r="V24" s="1"/>
  <c r="V25" s="1"/>
  <c r="Q30" i="19"/>
  <c r="Q31" i="83"/>
  <c r="F8" i="42"/>
  <c r="AA12" i="83"/>
  <c r="AA16"/>
  <c r="AA10"/>
  <c r="AA11"/>
  <c r="C22"/>
  <c r="D3" i="89"/>
  <c r="C11" i="86"/>
  <c r="H3"/>
  <c r="D10" i="10"/>
  <c r="AA18" i="19"/>
  <c r="AA11"/>
  <c r="AA14"/>
  <c r="G9" i="86"/>
  <c r="I21" i="22"/>
  <c r="AA13"/>
  <c r="Q30"/>
  <c r="AA25"/>
  <c r="M31" i="83"/>
  <c r="S31"/>
  <c r="E38"/>
  <c r="Y38"/>
  <c r="O18" i="84"/>
  <c r="Y18"/>
  <c r="W31"/>
  <c r="S38"/>
  <c r="AA37"/>
  <c r="S23" i="71"/>
  <c r="S24" s="1"/>
  <c r="Y30" i="22"/>
  <c r="AA26"/>
  <c r="O31" i="83"/>
  <c r="O38"/>
  <c r="AA37"/>
  <c r="W18" i="84"/>
  <c r="M31"/>
  <c r="O31"/>
  <c r="Y31"/>
  <c r="AA10" i="19"/>
  <c r="I23" i="71"/>
  <c r="I24" s="1"/>
  <c r="P23"/>
  <c r="P24" s="1"/>
  <c r="P25" s="1"/>
  <c r="I18" i="83"/>
  <c r="Q18"/>
  <c r="Y18"/>
  <c r="K18"/>
  <c r="C18"/>
  <c r="M18"/>
  <c r="O18"/>
  <c r="AA14"/>
  <c r="K22"/>
  <c r="AA17" i="22"/>
  <c r="AA26" i="19"/>
  <c r="D5" i="89"/>
  <c r="AA29" i="19"/>
  <c r="AA27" i="22"/>
  <c r="W18" i="83"/>
  <c r="I22"/>
  <c r="AA28"/>
  <c r="AA30"/>
  <c r="K31"/>
  <c r="M38"/>
  <c r="U38"/>
  <c r="AA35"/>
  <c r="AA36"/>
  <c r="E18" i="84"/>
  <c r="AA11"/>
  <c r="AA14"/>
  <c r="AA15"/>
  <c r="AA21"/>
  <c r="S31"/>
  <c r="AA25"/>
  <c r="AA27"/>
  <c r="AA30"/>
  <c r="Q38"/>
  <c r="Y38"/>
  <c r="AA35"/>
  <c r="AA36"/>
  <c r="AA20"/>
  <c r="I5" i="89"/>
  <c r="B23" i="71"/>
  <c r="B24" s="1"/>
  <c r="G38" i="83"/>
  <c r="AA16" i="84"/>
  <c r="F10" i="10"/>
  <c r="I3" i="88"/>
  <c r="F11" i="86"/>
  <c r="D4" i="89"/>
  <c r="G3" i="86"/>
  <c r="H7"/>
  <c r="F7" i="89"/>
  <c r="J4" i="10"/>
  <c r="B10" i="42"/>
  <c r="C3" i="89"/>
  <c r="J3" i="86"/>
  <c r="I11"/>
  <c r="F5" i="88"/>
  <c r="U22" i="71"/>
  <c r="U23" s="1"/>
  <c r="U24" s="1"/>
  <c r="AA28" i="19"/>
  <c r="AA11" i="22"/>
  <c r="AA19"/>
  <c r="AA16"/>
  <c r="G21" i="19"/>
  <c r="G30"/>
  <c r="AA23"/>
  <c r="O30"/>
  <c r="Y21" i="22"/>
  <c r="S21"/>
  <c r="AA14"/>
  <c r="AA15"/>
  <c r="K30" i="19"/>
  <c r="G21" i="22"/>
  <c r="AA10"/>
  <c r="AA23"/>
  <c r="E30"/>
  <c r="C21"/>
  <c r="Q21" i="19"/>
  <c r="Q23" i="71"/>
  <c r="Q24" s="1"/>
  <c r="Q25" s="1"/>
  <c r="E30" i="19"/>
  <c r="AA24"/>
  <c r="M30"/>
  <c r="Q21" i="22"/>
  <c r="I21" i="19"/>
  <c r="U30"/>
  <c r="AA13"/>
  <c r="AA20"/>
  <c r="S30"/>
  <c r="AA27"/>
  <c r="C22" i="71"/>
  <c r="C23" s="1"/>
  <c r="C24" s="1"/>
  <c r="AA12" i="19"/>
  <c r="Y21"/>
  <c r="AA16"/>
  <c r="G23" i="71"/>
  <c r="G24" s="1"/>
  <c r="AA25" i="19"/>
  <c r="R23" i="71"/>
  <c r="R24" s="1"/>
  <c r="K21" i="19"/>
  <c r="Y30"/>
  <c r="C21"/>
  <c r="C30"/>
  <c r="W21"/>
  <c r="AA29" i="22"/>
  <c r="K30"/>
  <c r="AA33" i="83"/>
  <c r="C38"/>
  <c r="AA13" i="84"/>
  <c r="U21" i="19"/>
  <c r="I30"/>
  <c r="M21"/>
  <c r="J23" i="71"/>
  <c r="J24" s="1"/>
  <c r="E21" i="19"/>
  <c r="AA34" i="83"/>
  <c r="K31" i="84"/>
  <c r="AA24"/>
  <c r="AA26"/>
  <c r="AA33"/>
  <c r="I38"/>
  <c r="C31" i="83"/>
  <c r="AA24"/>
  <c r="E31"/>
  <c r="AA25"/>
  <c r="K18" i="84"/>
  <c r="C3" i="88"/>
  <c r="O21" i="19"/>
  <c r="F22" i="71"/>
  <c r="F23" s="1"/>
  <c r="F24" s="1"/>
  <c r="AA15" i="19"/>
  <c r="H9" i="86"/>
  <c r="E9"/>
  <c r="AA21" i="83"/>
  <c r="AA27"/>
  <c r="W31"/>
  <c r="I31"/>
  <c r="Y31"/>
  <c r="AA29"/>
  <c r="AA26"/>
  <c r="W38"/>
  <c r="Q38"/>
  <c r="K38"/>
  <c r="I18" i="84"/>
  <c r="Q18"/>
  <c r="S18"/>
  <c r="AA12"/>
  <c r="M18"/>
  <c r="U18"/>
  <c r="I31"/>
  <c r="Q31"/>
  <c r="K38"/>
  <c r="AA34"/>
  <c r="M38"/>
  <c r="E38"/>
  <c r="O38"/>
  <c r="AA20" i="83"/>
  <c r="S18"/>
  <c r="U18"/>
  <c r="E18"/>
  <c r="AA15"/>
  <c r="C38" i="84"/>
  <c r="E5" i="86"/>
  <c r="D11"/>
  <c r="Q22" i="83"/>
  <c r="S38"/>
  <c r="H6" i="86"/>
  <c r="G18" i="83"/>
  <c r="G18" i="84"/>
  <c r="E7" i="86"/>
  <c r="Q10" i="12" l="1"/>
  <c r="P16"/>
  <c r="Q6"/>
  <c r="O16"/>
  <c r="Q12"/>
  <c r="Z30" i="19"/>
  <c r="Z32" s="1"/>
  <c r="I4" i="11"/>
  <c r="I4" i="88" s="1"/>
  <c r="F12" i="20"/>
  <c r="F4" i="89"/>
  <c r="H4" s="1"/>
  <c r="L16" i="12"/>
  <c r="N16"/>
  <c r="C4" i="42"/>
  <c r="G4" s="1"/>
  <c r="C5" i="102"/>
  <c r="E5"/>
  <c r="D5"/>
  <c r="F2" i="68"/>
  <c r="C16" i="12"/>
  <c r="T32" i="22"/>
  <c r="B35" s="1"/>
  <c r="B59" i="71"/>
  <c r="F3" i="102"/>
  <c r="E4"/>
  <c r="D4"/>
  <c r="B43" i="83"/>
  <c r="P57" i="71"/>
  <c r="P58" s="1"/>
  <c r="P60" s="1"/>
  <c r="P61" s="1"/>
  <c r="P62" s="1"/>
  <c r="B64"/>
  <c r="B65" s="1"/>
  <c r="B66" s="1"/>
  <c r="B67" s="1"/>
  <c r="R12"/>
  <c r="R13" s="1"/>
  <c r="R14" s="1"/>
  <c r="R16" s="1"/>
  <c r="R17" s="1"/>
  <c r="R18" s="1"/>
  <c r="R19" s="1"/>
  <c r="Z40" i="83"/>
  <c r="G5" i="12"/>
  <c r="B2" i="102"/>
  <c r="M5" i="12"/>
  <c r="Q5" s="1"/>
  <c r="Z40" i="84"/>
  <c r="Z30" i="22"/>
  <c r="Z32" s="1"/>
  <c r="B35" i="19"/>
  <c r="G6" i="42"/>
  <c r="E6" i="86"/>
  <c r="M11" i="12"/>
  <c r="Q11" s="1"/>
  <c r="G11"/>
  <c r="D7" i="88"/>
  <c r="J6" i="86"/>
  <c r="I6" i="89"/>
  <c r="J9"/>
  <c r="C6" i="88"/>
  <c r="E10" i="42"/>
  <c r="H5" i="89"/>
  <c r="AA24" i="22"/>
  <c r="G5" i="89"/>
  <c r="H4" i="86"/>
  <c r="H5" i="88"/>
  <c r="J5"/>
  <c r="I7"/>
  <c r="I32" i="22"/>
  <c r="E6" i="11"/>
  <c r="H3" i="88"/>
  <c r="H7" i="11"/>
  <c r="D6" i="88"/>
  <c r="J7" i="89"/>
  <c r="J6" i="11"/>
  <c r="S32" i="19"/>
  <c r="I6" i="88"/>
  <c r="E9" i="89"/>
  <c r="E7"/>
  <c r="J8" i="86"/>
  <c r="C10" i="10"/>
  <c r="J4" i="86"/>
  <c r="I10" i="89"/>
  <c r="F4" i="88"/>
  <c r="E5"/>
  <c r="F21" i="57"/>
  <c r="I12" i="20"/>
  <c r="G4"/>
  <c r="H6" i="11"/>
  <c r="C4" i="89"/>
  <c r="E4" s="1"/>
  <c r="AA17" i="84"/>
  <c r="AA18" s="1"/>
  <c r="G7" i="11"/>
  <c r="K21" i="22"/>
  <c r="K32" s="1"/>
  <c r="J3" i="89"/>
  <c r="AA29" i="84"/>
  <c r="F8" i="11"/>
  <c r="G9" i="89"/>
  <c r="G11" i="20"/>
  <c r="Q32" i="22"/>
  <c r="I10" i="10"/>
  <c r="K4"/>
  <c r="G4" i="86"/>
  <c r="H3" i="89"/>
  <c r="C4" i="88"/>
  <c r="D4"/>
  <c r="J11" i="86"/>
  <c r="F6" i="88"/>
  <c r="F10" i="89"/>
  <c r="W32" i="22"/>
  <c r="E4" i="11"/>
  <c r="O40" i="84"/>
  <c r="H8" i="89"/>
  <c r="J4" i="20"/>
  <c r="W32" i="19"/>
  <c r="Q32"/>
  <c r="I4" i="89"/>
  <c r="U32" i="22"/>
  <c r="E10" i="20"/>
  <c r="G6" i="11"/>
  <c r="G8" i="20"/>
  <c r="I40" i="84"/>
  <c r="W40" i="83"/>
  <c r="F11" i="89"/>
  <c r="O40" i="83"/>
  <c r="H4" i="11"/>
  <c r="D8"/>
  <c r="M32" i="22"/>
  <c r="F10" i="42"/>
  <c r="H9" i="89"/>
  <c r="E6" i="20"/>
  <c r="I11" i="89"/>
  <c r="J7" i="11"/>
  <c r="C6" i="89"/>
  <c r="E6" s="1"/>
  <c r="C8"/>
  <c r="E8" s="1"/>
  <c r="H6"/>
  <c r="E10" i="10"/>
  <c r="E8" i="20"/>
  <c r="D12"/>
  <c r="H10"/>
  <c r="O32" i="22"/>
  <c r="C7" i="88"/>
  <c r="G11" i="86"/>
  <c r="J5" i="89"/>
  <c r="E5"/>
  <c r="J10" i="10"/>
  <c r="H3" i="68"/>
  <c r="I3"/>
  <c r="F2" i="73"/>
  <c r="G2"/>
  <c r="F2" i="63"/>
  <c r="G2"/>
  <c r="H26" i="71"/>
  <c r="H27" s="1"/>
  <c r="H28" s="1"/>
  <c r="H29" s="1"/>
  <c r="H25"/>
  <c r="D12"/>
  <c r="D11"/>
  <c r="B7" i="70" s="1"/>
  <c r="T12" i="71"/>
  <c r="T11"/>
  <c r="F13"/>
  <c r="F14" s="1"/>
  <c r="F9" i="70"/>
  <c r="P12" i="71"/>
  <c r="P11"/>
  <c r="U13"/>
  <c r="U14" s="1"/>
  <c r="Q4" i="12"/>
  <c r="I12" i="86"/>
  <c r="K12" i="71"/>
  <c r="K11"/>
  <c r="C12"/>
  <c r="C11"/>
  <c r="B6" i="70" s="1"/>
  <c r="H11" i="71"/>
  <c r="B11" i="70" s="1"/>
  <c r="H12" i="71"/>
  <c r="V12"/>
  <c r="V11"/>
  <c r="S12"/>
  <c r="S11"/>
  <c r="G10" i="20"/>
  <c r="J11"/>
  <c r="E11"/>
  <c r="H11"/>
  <c r="C4" i="102"/>
  <c r="G11" i="71"/>
  <c r="G12"/>
  <c r="J16"/>
  <c r="J17" s="1"/>
  <c r="J18" s="1"/>
  <c r="J19" s="1"/>
  <c r="J15"/>
  <c r="G40" i="84"/>
  <c r="F12" i="86"/>
  <c r="H12" s="1"/>
  <c r="U40" i="83"/>
  <c r="S40" i="84"/>
  <c r="Y40" i="83"/>
  <c r="G32" i="22"/>
  <c r="D11" i="89"/>
  <c r="G8" i="42"/>
  <c r="I8" i="89"/>
  <c r="K26" i="71"/>
  <c r="K27" s="1"/>
  <c r="K28" s="1"/>
  <c r="K30" s="1"/>
  <c r="K31" s="1"/>
  <c r="K32" s="1"/>
  <c r="E8" i="86"/>
  <c r="K6" i="10"/>
  <c r="C12" i="86"/>
  <c r="D12" i="89"/>
  <c r="G8" i="86"/>
  <c r="C8" i="11"/>
  <c r="G4"/>
  <c r="Q12" i="71"/>
  <c r="Q11"/>
  <c r="J6" i="20"/>
  <c r="C12"/>
  <c r="I16" i="71"/>
  <c r="I17" s="1"/>
  <c r="I18" s="1"/>
  <c r="I19" s="1"/>
  <c r="I15"/>
  <c r="H12" i="70" s="1"/>
  <c r="J10" i="20"/>
  <c r="B12" i="71"/>
  <c r="B11"/>
  <c r="B5" i="70" s="1"/>
  <c r="B5" i="102"/>
  <c r="B43" i="84"/>
  <c r="B75" i="71"/>
  <c r="B76" s="1"/>
  <c r="B77" s="1"/>
  <c r="B78" s="1"/>
  <c r="B79" s="1"/>
  <c r="B80" s="1"/>
  <c r="B81" s="1"/>
  <c r="B82" s="1"/>
  <c r="E12"/>
  <c r="E11"/>
  <c r="B8" i="70" s="1"/>
  <c r="E7" i="11"/>
  <c r="G7" i="68"/>
  <c r="D26" i="71"/>
  <c r="D27" s="1"/>
  <c r="D28" s="1"/>
  <c r="D29" s="1"/>
  <c r="G40" i="83"/>
  <c r="S40"/>
  <c r="G3" i="89"/>
  <c r="AA22" i="84"/>
  <c r="E40" i="83"/>
  <c r="U40" i="84"/>
  <c r="E31"/>
  <c r="E40" s="1"/>
  <c r="P26" i="71"/>
  <c r="P27" s="1"/>
  <c r="P28" s="1"/>
  <c r="P29" s="1"/>
  <c r="E26"/>
  <c r="E27" s="1"/>
  <c r="E28" s="1"/>
  <c r="E29" s="1"/>
  <c r="H8" i="86"/>
  <c r="J10"/>
  <c r="G10"/>
  <c r="E10"/>
  <c r="C10" i="89"/>
  <c r="E10" s="1"/>
  <c r="S32" i="22"/>
  <c r="E32"/>
  <c r="W40" i="84"/>
  <c r="Y40"/>
  <c r="Q40"/>
  <c r="AA18" i="83"/>
  <c r="T26" i="71"/>
  <c r="T27" s="1"/>
  <c r="T28" s="1"/>
  <c r="T29" s="1"/>
  <c r="K32" i="19"/>
  <c r="Y32"/>
  <c r="K40" i="83"/>
  <c r="G3" i="88"/>
  <c r="O32" i="19"/>
  <c r="AA21"/>
  <c r="V26" i="71"/>
  <c r="V27" s="1"/>
  <c r="V28" s="1"/>
  <c r="V29" s="1"/>
  <c r="I40" i="83"/>
  <c r="Y32" i="22"/>
  <c r="B26" i="71"/>
  <c r="B27" s="1"/>
  <c r="B28" s="1"/>
  <c r="B29" s="1"/>
  <c r="B25"/>
  <c r="M40" i="83"/>
  <c r="G7" i="89"/>
  <c r="H7"/>
  <c r="E3"/>
  <c r="C11"/>
  <c r="F25" i="71"/>
  <c r="F26"/>
  <c r="F27" s="1"/>
  <c r="F28" s="1"/>
  <c r="C26"/>
  <c r="C27" s="1"/>
  <c r="C28" s="1"/>
  <c r="C25"/>
  <c r="C56"/>
  <c r="C57" s="1"/>
  <c r="C58" s="1"/>
  <c r="U26"/>
  <c r="U27" s="1"/>
  <c r="U28" s="1"/>
  <c r="U25"/>
  <c r="Q40" i="83"/>
  <c r="AA22"/>
  <c r="S26" i="71"/>
  <c r="S27" s="1"/>
  <c r="S28" s="1"/>
  <c r="S25"/>
  <c r="Q26"/>
  <c r="Q27" s="1"/>
  <c r="Q28" s="1"/>
  <c r="AA38" i="83"/>
  <c r="AA30" i="22"/>
  <c r="E32" i="19"/>
  <c r="Q57" i="71"/>
  <c r="Q58" s="1"/>
  <c r="J3" i="88"/>
  <c r="I25" i="71"/>
  <c r="I26"/>
  <c r="I27" s="1"/>
  <c r="I28" s="1"/>
  <c r="J26"/>
  <c r="J27" s="1"/>
  <c r="J28" s="1"/>
  <c r="J25"/>
  <c r="M40" i="84"/>
  <c r="K40"/>
  <c r="AA31" i="83"/>
  <c r="C40"/>
  <c r="I32" i="19"/>
  <c r="AA30"/>
  <c r="C32"/>
  <c r="R25" i="71"/>
  <c r="R26"/>
  <c r="R27" s="1"/>
  <c r="R28" s="1"/>
  <c r="C32" i="22"/>
  <c r="M32" i="19"/>
  <c r="E3" i="88"/>
  <c r="H11" i="86"/>
  <c r="E11"/>
  <c r="AA38" i="84"/>
  <c r="C40"/>
  <c r="G26" i="71"/>
  <c r="G27" s="1"/>
  <c r="G28" s="1"/>
  <c r="G25"/>
  <c r="U32" i="19"/>
  <c r="G32"/>
  <c r="G5" i="88"/>
  <c r="F7"/>
  <c r="G10" i="42" l="1"/>
  <c r="B4" i="102"/>
  <c r="B6" s="1"/>
  <c r="F2"/>
  <c r="M16" i="12"/>
  <c r="C6" i="102"/>
  <c r="I8" i="11"/>
  <c r="J8" s="1"/>
  <c r="J4"/>
  <c r="H12" i="20"/>
  <c r="F12" i="89"/>
  <c r="H12" s="1"/>
  <c r="C10" i="42"/>
  <c r="C8" i="88"/>
  <c r="F5" i="102"/>
  <c r="E6"/>
  <c r="D6"/>
  <c r="P59" i="71"/>
  <c r="B68"/>
  <c r="B69" s="1"/>
  <c r="B70" s="1"/>
  <c r="B71" s="1"/>
  <c r="H15" i="70" s="1"/>
  <c r="Q16" i="12"/>
  <c r="B7" i="73"/>
  <c r="F7"/>
  <c r="R15" i="71"/>
  <c r="H7" i="73" s="1"/>
  <c r="G16" i="12"/>
  <c r="J6" i="88"/>
  <c r="E6"/>
  <c r="H8" i="11"/>
  <c r="J7" i="88"/>
  <c r="G6" i="89"/>
  <c r="G4"/>
  <c r="D8" i="88"/>
  <c r="J4" i="89"/>
  <c r="AA21" i="22"/>
  <c r="AA32" s="1"/>
  <c r="N7"/>
  <c r="N7" i="19"/>
  <c r="E7" i="88"/>
  <c r="K10" i="10"/>
  <c r="K29" i="71"/>
  <c r="J11" i="89"/>
  <c r="F8" i="88"/>
  <c r="T30" i="71"/>
  <c r="T31" s="1"/>
  <c r="T32" s="1"/>
  <c r="T34" s="1"/>
  <c r="T35" s="1"/>
  <c r="T36" s="1"/>
  <c r="T37" s="1"/>
  <c r="G6" i="88"/>
  <c r="J8" i="89"/>
  <c r="G4" i="88"/>
  <c r="J12" i="86"/>
  <c r="J6" i="89"/>
  <c r="E12" i="86"/>
  <c r="I12" i="89"/>
  <c r="H4" i="88"/>
  <c r="G8" i="89"/>
  <c r="H6" i="88"/>
  <c r="H7" i="22"/>
  <c r="G12" i="86"/>
  <c r="T7" i="83"/>
  <c r="H10" i="89"/>
  <c r="G7" i="88"/>
  <c r="P30" i="71"/>
  <c r="P31" s="1"/>
  <c r="P32" s="1"/>
  <c r="P33" s="1"/>
  <c r="H11" i="89"/>
  <c r="E4" i="88"/>
  <c r="D30" i="71"/>
  <c r="D31" s="1"/>
  <c r="D32" s="1"/>
  <c r="D34" s="1"/>
  <c r="D35" s="1"/>
  <c r="D36" s="1"/>
  <c r="D37" s="1"/>
  <c r="AA31" i="84"/>
  <c r="AA40" s="1"/>
  <c r="T7" i="22"/>
  <c r="T7" i="19"/>
  <c r="B30" i="71"/>
  <c r="B31" s="1"/>
  <c r="B32" s="1"/>
  <c r="B33" s="1"/>
  <c r="N7" i="83"/>
  <c r="C12" i="89"/>
  <c r="H30" i="71"/>
  <c r="H31" s="1"/>
  <c r="H32" s="1"/>
  <c r="H34" s="1"/>
  <c r="H35" s="1"/>
  <c r="V30"/>
  <c r="V31" s="1"/>
  <c r="V32" s="1"/>
  <c r="V33" s="1"/>
  <c r="N7" i="84"/>
  <c r="G10" i="89"/>
  <c r="Q13" i="71"/>
  <c r="Q14" s="1"/>
  <c r="S13"/>
  <c r="S14" s="1"/>
  <c r="F8" i="70"/>
  <c r="E13" i="71"/>
  <c r="E14" s="1"/>
  <c r="E12" i="20"/>
  <c r="G12"/>
  <c r="J12"/>
  <c r="I8" i="88"/>
  <c r="J4"/>
  <c r="K13" i="71"/>
  <c r="K14" s="1"/>
  <c r="P63"/>
  <c r="P64"/>
  <c r="P65" s="1"/>
  <c r="P66" s="1"/>
  <c r="P13"/>
  <c r="P14" s="1"/>
  <c r="D13"/>
  <c r="D14" s="1"/>
  <c r="F7" i="70"/>
  <c r="B83" i="71"/>
  <c r="B84" s="1"/>
  <c r="B85" s="1"/>
  <c r="B86" s="1"/>
  <c r="B13"/>
  <c r="B14" s="1"/>
  <c r="F5" i="70"/>
  <c r="G8" i="11"/>
  <c r="E8"/>
  <c r="G13" i="71"/>
  <c r="G14" s="1"/>
  <c r="V13"/>
  <c r="V14" s="1"/>
  <c r="H13"/>
  <c r="H14" s="1"/>
  <c r="F11" i="70"/>
  <c r="C13" i="71"/>
  <c r="C14" s="1"/>
  <c r="F6" i="70"/>
  <c r="U16" i="71"/>
  <c r="U17" s="1"/>
  <c r="U15"/>
  <c r="F16"/>
  <c r="F17" s="1"/>
  <c r="F18" s="1"/>
  <c r="F19" s="1"/>
  <c r="F15"/>
  <c r="H9" i="70" s="1"/>
  <c r="T13" i="71"/>
  <c r="T14" s="1"/>
  <c r="J10" i="89"/>
  <c r="T7" i="84"/>
  <c r="E30" i="71"/>
  <c r="E31" s="1"/>
  <c r="E32" s="1"/>
  <c r="E34" s="1"/>
  <c r="E35" s="1"/>
  <c r="H7" i="84"/>
  <c r="H7" i="83"/>
  <c r="AA32" i="19"/>
  <c r="E11" i="89"/>
  <c r="G11"/>
  <c r="C30" i="71"/>
  <c r="C31" s="1"/>
  <c r="C32" s="1"/>
  <c r="C29"/>
  <c r="G30"/>
  <c r="G31" s="1"/>
  <c r="G32" s="1"/>
  <c r="G29"/>
  <c r="B7" i="22"/>
  <c r="B36"/>
  <c r="R29" i="71"/>
  <c r="R30"/>
  <c r="R31" s="1"/>
  <c r="R32" s="1"/>
  <c r="H7" i="19"/>
  <c r="J29" i="71"/>
  <c r="J30"/>
  <c r="J31" s="1"/>
  <c r="J32" s="1"/>
  <c r="Q59"/>
  <c r="Q60"/>
  <c r="Q61" s="1"/>
  <c r="Q62" s="1"/>
  <c r="F29"/>
  <c r="F30"/>
  <c r="F31" s="1"/>
  <c r="F32" s="1"/>
  <c r="B44" i="83"/>
  <c r="B7"/>
  <c r="I29" i="71"/>
  <c r="I30"/>
  <c r="I31" s="1"/>
  <c r="I32" s="1"/>
  <c r="Q29"/>
  <c r="Q30"/>
  <c r="Q31" s="1"/>
  <c r="Q32" s="1"/>
  <c r="K34"/>
  <c r="K35" s="1"/>
  <c r="K36" s="1"/>
  <c r="K37" s="1"/>
  <c r="K33"/>
  <c r="AA40" i="83"/>
  <c r="H7" i="88"/>
  <c r="C75" i="71"/>
  <c r="C76" s="1"/>
  <c r="C77" s="1"/>
  <c r="C78" s="1"/>
  <c r="C79" s="1"/>
  <c r="C80" s="1"/>
  <c r="C81" s="1"/>
  <c r="C82" s="1"/>
  <c r="B7" i="84"/>
  <c r="B44"/>
  <c r="B7" i="19"/>
  <c r="B36"/>
  <c r="S29" i="71"/>
  <c r="S30"/>
  <c r="S31" s="1"/>
  <c r="S32" s="1"/>
  <c r="U29"/>
  <c r="U30"/>
  <c r="U31" s="1"/>
  <c r="U32" s="1"/>
  <c r="C59"/>
  <c r="C60"/>
  <c r="C61" s="1"/>
  <c r="C62" s="1"/>
  <c r="F4" i="102" l="1"/>
  <c r="E8" i="88"/>
  <c r="G12" i="89"/>
  <c r="J8" i="88"/>
  <c r="F6" i="102"/>
  <c r="G8" i="88"/>
  <c r="B15" i="70"/>
  <c r="F15" s="1"/>
  <c r="U18" i="71"/>
  <c r="T33"/>
  <c r="H8" i="88"/>
  <c r="B8" i="22"/>
  <c r="B34" i="71"/>
  <c r="B35" s="1"/>
  <c r="B36" s="1"/>
  <c r="B37" s="1"/>
  <c r="D33"/>
  <c r="P34"/>
  <c r="P35" s="1"/>
  <c r="P36" s="1"/>
  <c r="P37" s="1"/>
  <c r="B8" i="19"/>
  <c r="B8" i="83"/>
  <c r="E12" i="89"/>
  <c r="J12"/>
  <c r="C7" i="70"/>
  <c r="V34" i="71"/>
  <c r="V35" s="1"/>
  <c r="V36" s="1"/>
  <c r="V37" s="1"/>
  <c r="H36"/>
  <c r="H37" s="1"/>
  <c r="C11" i="70" s="1"/>
  <c r="E36" i="71"/>
  <c r="E37" s="1"/>
  <c r="C8" i="70" s="1"/>
  <c r="E33" i="71"/>
  <c r="H33"/>
  <c r="C9" i="73"/>
  <c r="C13" i="70"/>
  <c r="B87" i="71"/>
  <c r="B88" s="1"/>
  <c r="C16"/>
  <c r="C17" s="1"/>
  <c r="C18" s="1"/>
  <c r="C19" s="1"/>
  <c r="C15"/>
  <c r="H6" i="70" s="1"/>
  <c r="V15" i="71"/>
  <c r="H11" i="73" s="1"/>
  <c r="V16" i="71"/>
  <c r="V17" s="1"/>
  <c r="V18" s="1"/>
  <c r="V19" s="1"/>
  <c r="P16"/>
  <c r="P17" s="1"/>
  <c r="P18" s="1"/>
  <c r="P19" s="1"/>
  <c r="P15"/>
  <c r="H5" i="73" s="1"/>
  <c r="K16" i="71"/>
  <c r="K17" s="1"/>
  <c r="K18" s="1"/>
  <c r="K19" s="1"/>
  <c r="K15"/>
  <c r="H13" i="70" s="1"/>
  <c r="E15" i="71"/>
  <c r="H8" i="70" s="1"/>
  <c r="E16" i="71"/>
  <c r="E17" s="1"/>
  <c r="E18" s="1"/>
  <c r="E19" s="1"/>
  <c r="S16"/>
  <c r="S17" s="1"/>
  <c r="S18" s="1"/>
  <c r="S19" s="1"/>
  <c r="S15"/>
  <c r="H8" i="73" s="1"/>
  <c r="P68" i="71"/>
  <c r="P69" s="1"/>
  <c r="P70" s="1"/>
  <c r="P71" s="1"/>
  <c r="P67"/>
  <c r="T16"/>
  <c r="T17" s="1"/>
  <c r="T18" s="1"/>
  <c r="T19" s="1"/>
  <c r="T15"/>
  <c r="H9" i="73" s="1"/>
  <c r="H16" i="71"/>
  <c r="H17" s="1"/>
  <c r="H18" s="1"/>
  <c r="H19" s="1"/>
  <c r="H15"/>
  <c r="H11" i="70" s="1"/>
  <c r="G15" i="71"/>
  <c r="H10" i="70" s="1"/>
  <c r="G16" i="71"/>
  <c r="G17" s="1"/>
  <c r="G18" s="1"/>
  <c r="G19" s="1"/>
  <c r="B15"/>
  <c r="H5" i="70" s="1"/>
  <c r="B16" i="71"/>
  <c r="B17" s="1"/>
  <c r="B18" s="1"/>
  <c r="B19" s="1"/>
  <c r="D16"/>
  <c r="D17" s="1"/>
  <c r="D18" s="1"/>
  <c r="D19" s="1"/>
  <c r="D15"/>
  <c r="H7" i="70" s="1"/>
  <c r="Q16" i="71"/>
  <c r="Q17" s="1"/>
  <c r="Q15"/>
  <c r="B8" i="84"/>
  <c r="J33" i="71"/>
  <c r="J34"/>
  <c r="J35" s="1"/>
  <c r="J36" s="1"/>
  <c r="J37" s="1"/>
  <c r="G33"/>
  <c r="G34"/>
  <c r="G35" s="1"/>
  <c r="G36" s="1"/>
  <c r="G37" s="1"/>
  <c r="C33"/>
  <c r="C34"/>
  <c r="C35" s="1"/>
  <c r="C36" s="1"/>
  <c r="C37" s="1"/>
  <c r="C64"/>
  <c r="C65" s="1"/>
  <c r="C66" s="1"/>
  <c r="C63"/>
  <c r="S33"/>
  <c r="S34"/>
  <c r="S35" s="1"/>
  <c r="S36" s="1"/>
  <c r="S37" s="1"/>
  <c r="C83"/>
  <c r="C84" s="1"/>
  <c r="C85" s="1"/>
  <c r="C86" s="1"/>
  <c r="C87" s="1"/>
  <c r="C88" s="1"/>
  <c r="C89" s="1"/>
  <c r="C90" s="1"/>
  <c r="F34"/>
  <c r="F35" s="1"/>
  <c r="F36" s="1"/>
  <c r="F37" s="1"/>
  <c r="F33"/>
  <c r="Q64"/>
  <c r="Q65" s="1"/>
  <c r="Q66" s="1"/>
  <c r="Q63"/>
  <c r="Q33"/>
  <c r="Q34"/>
  <c r="Q35" s="1"/>
  <c r="Q36" s="1"/>
  <c r="Q37" s="1"/>
  <c r="R33"/>
  <c r="R34"/>
  <c r="R35" s="1"/>
  <c r="R36" s="1"/>
  <c r="R37" s="1"/>
  <c r="I33"/>
  <c r="I34"/>
  <c r="I35" s="1"/>
  <c r="I36" s="1"/>
  <c r="I37" s="1"/>
  <c r="U33"/>
  <c r="U34"/>
  <c r="U35" s="1"/>
  <c r="U36" s="1"/>
  <c r="U37" s="1"/>
  <c r="B13" i="70" l="1"/>
  <c r="D13" s="1"/>
  <c r="F13"/>
  <c r="B10"/>
  <c r="F10"/>
  <c r="F5" i="73"/>
  <c r="B5"/>
  <c r="B9"/>
  <c r="E9" s="1"/>
  <c r="F9"/>
  <c r="B11"/>
  <c r="F11"/>
  <c r="B8"/>
  <c r="F8"/>
  <c r="B89" i="71"/>
  <c r="Q18"/>
  <c r="B13" i="73"/>
  <c r="H13"/>
  <c r="U19" i="71"/>
  <c r="F10" i="73" s="1"/>
  <c r="C5" i="70"/>
  <c r="I5" s="1"/>
  <c r="C5" i="73"/>
  <c r="C11"/>
  <c r="D7" i="70"/>
  <c r="I7"/>
  <c r="E7"/>
  <c r="C8" i="73"/>
  <c r="I8" s="1"/>
  <c r="K8" s="1"/>
  <c r="C6" i="70"/>
  <c r="C10"/>
  <c r="D8"/>
  <c r="E8"/>
  <c r="I8"/>
  <c r="C12"/>
  <c r="C7" i="73"/>
  <c r="C10"/>
  <c r="I10" s="1"/>
  <c r="E13" i="70"/>
  <c r="I13"/>
  <c r="C9"/>
  <c r="I11"/>
  <c r="E11"/>
  <c r="D11"/>
  <c r="C11" i="63"/>
  <c r="I9" i="73"/>
  <c r="C6"/>
  <c r="H14" i="70"/>
  <c r="H7" i="63" s="1"/>
  <c r="C68" i="71"/>
  <c r="C69" s="1"/>
  <c r="C70" s="1"/>
  <c r="C71" s="1"/>
  <c r="C67"/>
  <c r="Q67"/>
  <c r="Q68"/>
  <c r="Q69" s="1"/>
  <c r="Q70" s="1"/>
  <c r="Q71" s="1"/>
  <c r="B14" i="70" l="1"/>
  <c r="B7" i="63" s="1"/>
  <c r="F14" i="70"/>
  <c r="F7" i="63" s="1"/>
  <c r="D11" i="73"/>
  <c r="D9"/>
  <c r="H10"/>
  <c r="K10" s="1"/>
  <c r="B10"/>
  <c r="E10" s="1"/>
  <c r="D5"/>
  <c r="B90" i="71"/>
  <c r="F13" i="73"/>
  <c r="Q19" i="71"/>
  <c r="F6" i="73" s="1"/>
  <c r="F12" s="1"/>
  <c r="F6" i="63" s="1"/>
  <c r="E5" i="70"/>
  <c r="D5"/>
  <c r="I5" i="73"/>
  <c r="E5"/>
  <c r="I11" i="63"/>
  <c r="I11" i="73"/>
  <c r="E11"/>
  <c r="C13"/>
  <c r="I13" s="1"/>
  <c r="E6" i="70"/>
  <c r="D6"/>
  <c r="I6"/>
  <c r="E8" i="73"/>
  <c r="D8"/>
  <c r="I12" i="70"/>
  <c r="E12"/>
  <c r="D12"/>
  <c r="D10"/>
  <c r="I10"/>
  <c r="E10"/>
  <c r="C12" i="73"/>
  <c r="I6"/>
  <c r="C15" i="70"/>
  <c r="D15" s="1"/>
  <c r="C14"/>
  <c r="I9"/>
  <c r="E9"/>
  <c r="D9"/>
  <c r="I7" i="73"/>
  <c r="D7"/>
  <c r="E7"/>
  <c r="F9" i="63" l="1"/>
  <c r="K13" i="73"/>
  <c r="D10"/>
  <c r="H11" i="63"/>
  <c r="H13" s="1"/>
  <c r="B11"/>
  <c r="H6" i="73"/>
  <c r="H12" s="1"/>
  <c r="H6" i="63" s="1"/>
  <c r="H9" s="1"/>
  <c r="B6" i="73"/>
  <c r="E14" i="70"/>
  <c r="I14"/>
  <c r="I7" i="63" s="1"/>
  <c r="J7" s="1"/>
  <c r="I12" i="73"/>
  <c r="E13"/>
  <c r="D13"/>
  <c r="D14" i="70"/>
  <c r="C7" i="63"/>
  <c r="I15" i="70"/>
  <c r="E15"/>
  <c r="C13" i="63"/>
  <c r="C6"/>
  <c r="I13" l="1"/>
  <c r="H5" i="68"/>
  <c r="H6"/>
  <c r="J11" i="63"/>
  <c r="B13"/>
  <c r="E13" s="1"/>
  <c r="F11"/>
  <c r="F13" s="1"/>
  <c r="F5" i="68" s="1"/>
  <c r="E11" i="63"/>
  <c r="D11"/>
  <c r="K6" i="73"/>
  <c r="B12"/>
  <c r="E6"/>
  <c r="E12" s="1"/>
  <c r="D6"/>
  <c r="I6" i="63"/>
  <c r="J6" s="1"/>
  <c r="K12" i="73"/>
  <c r="E7" i="63"/>
  <c r="D7"/>
  <c r="C9"/>
  <c r="J13" l="1"/>
  <c r="I5" i="68"/>
  <c r="I6"/>
  <c r="J6" s="1"/>
  <c r="H7"/>
  <c r="D13" i="63"/>
  <c r="F6" i="68"/>
  <c r="F7" s="1"/>
  <c r="B6"/>
  <c r="B5"/>
  <c r="B6" i="63"/>
  <c r="D12" i="73"/>
  <c r="I9" i="63"/>
  <c r="J9" s="1"/>
  <c r="I7" i="68" l="1"/>
  <c r="J7" s="1"/>
  <c r="J5"/>
  <c r="D5"/>
  <c r="E5"/>
  <c r="B7"/>
  <c r="E6"/>
  <c r="D6"/>
  <c r="B9" i="63"/>
  <c r="D9" s="1"/>
  <c r="D6"/>
  <c r="E6"/>
  <c r="E9" s="1"/>
  <c r="E7" i="68" l="1"/>
  <c r="D7"/>
</calcChain>
</file>

<file path=xl/comments1.xml><?xml version="1.0" encoding="utf-8"?>
<comments xmlns="http://schemas.openxmlformats.org/spreadsheetml/2006/main">
  <authors>
    <author>Satya</author>
  </authors>
  <commentList>
    <comment ref="R23" authorId="0">
      <text>
        <r>
          <rPr>
            <b/>
            <sz val="9"/>
            <color indexed="81"/>
            <rFont val="Tahoma"/>
            <family val="2"/>
          </rPr>
          <t>Satya:</t>
        </r>
        <r>
          <rPr>
            <sz val="9"/>
            <color indexed="81"/>
            <rFont val="Tahoma"/>
            <family val="2"/>
          </rPr>
          <t xml:space="preserve">
Unkown
</t>
        </r>
      </text>
    </comment>
    <comment ref="X23" authorId="0">
      <text>
        <r>
          <rPr>
            <b/>
            <sz val="9"/>
            <color indexed="81"/>
            <rFont val="Tahoma"/>
            <family val="2"/>
          </rPr>
          <t>Satya:</t>
        </r>
        <r>
          <rPr>
            <sz val="9"/>
            <color indexed="81"/>
            <rFont val="Tahoma"/>
            <family val="2"/>
          </rPr>
          <t xml:space="preserve">
Unkown
</t>
        </r>
      </text>
    </comment>
    <comment ref="L24" authorId="0">
      <text>
        <r>
          <rPr>
            <b/>
            <sz val="9"/>
            <color indexed="81"/>
            <rFont val="Tahoma"/>
            <family val="2"/>
          </rPr>
          <t>Satya:</t>
        </r>
        <r>
          <rPr>
            <sz val="9"/>
            <color indexed="81"/>
            <rFont val="Tahoma"/>
            <family val="2"/>
          </rPr>
          <t xml:space="preserve">
Weg
</t>
        </r>
      </text>
    </comment>
    <comment ref="V24" authorId="0">
      <text>
        <r>
          <rPr>
            <b/>
            <sz val="9"/>
            <color indexed="81"/>
            <rFont val="Tahoma"/>
            <family val="2"/>
          </rPr>
          <t>Satya:</t>
        </r>
        <r>
          <rPr>
            <sz val="9"/>
            <color indexed="81"/>
            <rFont val="Tahoma"/>
            <family val="2"/>
          </rPr>
          <t xml:space="preserve">
Unkown
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Satya:</t>
        </r>
        <r>
          <rPr>
            <sz val="9"/>
            <color indexed="81"/>
            <rFont val="Tahoma"/>
            <family val="2"/>
          </rPr>
          <t xml:space="preserve">
Vodafone</t>
        </r>
      </text>
    </comment>
    <comment ref="J25" authorId="0">
      <text>
        <r>
          <rPr>
            <b/>
            <sz val="9"/>
            <color indexed="81"/>
            <rFont val="Tahoma"/>
            <family val="2"/>
          </rPr>
          <t>Satya:</t>
        </r>
        <r>
          <rPr>
            <sz val="9"/>
            <color indexed="81"/>
            <rFont val="Tahoma"/>
            <family val="2"/>
          </rPr>
          <t xml:space="preserve">
Vydehi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Satya:</t>
        </r>
        <r>
          <rPr>
            <sz val="9"/>
            <color indexed="81"/>
            <rFont val="Tahoma"/>
            <family val="2"/>
          </rPr>
          <t xml:space="preserve">
Gemeni Consultants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Satya:</t>
        </r>
        <r>
          <rPr>
            <sz val="9"/>
            <color indexed="81"/>
            <rFont val="Tahoma"/>
            <family val="2"/>
          </rPr>
          <t xml:space="preserve">
Unknon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Satya:</t>
        </r>
        <r>
          <rPr>
            <sz val="9"/>
            <color indexed="81"/>
            <rFont val="Tahoma"/>
            <family val="2"/>
          </rPr>
          <t xml:space="preserve">
Intel</t>
        </r>
      </text>
    </comment>
    <comment ref="H28" authorId="0">
      <text>
        <r>
          <rPr>
            <b/>
            <sz val="9"/>
            <color indexed="81"/>
            <rFont val="Tahoma"/>
            <family val="2"/>
          </rPr>
          <t>Satya:</t>
        </r>
        <r>
          <rPr>
            <sz val="9"/>
            <color indexed="81"/>
            <rFont val="Tahoma"/>
            <family val="2"/>
          </rPr>
          <t xml:space="preserve">
RGA</t>
        </r>
      </text>
    </comment>
    <comment ref="T28" authorId="0">
      <text>
        <r>
          <rPr>
            <b/>
            <sz val="9"/>
            <color indexed="81"/>
            <rFont val="Tahoma"/>
            <family val="2"/>
          </rPr>
          <t>Satya:</t>
        </r>
        <r>
          <rPr>
            <sz val="9"/>
            <color indexed="81"/>
            <rFont val="Tahoma"/>
            <family val="2"/>
          </rPr>
          <t xml:space="preserve">
Wipro Sarjapur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Satya:</t>
        </r>
        <r>
          <rPr>
            <sz val="9"/>
            <color indexed="81"/>
            <rFont val="Tahoma"/>
            <family val="2"/>
          </rPr>
          <t xml:space="preserve">
TCS-Pioneer</t>
        </r>
      </text>
    </comment>
    <comment ref="H29" authorId="0">
      <text>
        <r>
          <rPr>
            <b/>
            <sz val="9"/>
            <color indexed="81"/>
            <rFont val="Tahoma"/>
            <family val="2"/>
          </rPr>
          <t>Satya:</t>
        </r>
        <r>
          <rPr>
            <sz val="9"/>
            <color indexed="81"/>
            <rFont val="Tahoma"/>
            <family val="2"/>
          </rPr>
          <t xml:space="preserve">
Sarjaour</t>
        </r>
      </text>
    </comment>
  </commentList>
</comments>
</file>

<file path=xl/comments2.xml><?xml version="1.0" encoding="utf-8"?>
<comments xmlns="http://schemas.openxmlformats.org/spreadsheetml/2006/main">
  <authors>
    <author>Satya</author>
  </authors>
  <commentList>
    <comment ref="R23" authorId="0">
      <text>
        <r>
          <rPr>
            <b/>
            <sz val="9"/>
            <color indexed="81"/>
            <rFont val="Tahoma"/>
            <family val="2"/>
          </rPr>
          <t>Satya:</t>
        </r>
        <r>
          <rPr>
            <sz val="9"/>
            <color indexed="81"/>
            <rFont val="Tahoma"/>
            <family val="2"/>
          </rPr>
          <t xml:space="preserve">
Unkown
</t>
        </r>
      </text>
    </comment>
    <comment ref="X23" authorId="0">
      <text>
        <r>
          <rPr>
            <b/>
            <sz val="9"/>
            <color indexed="81"/>
            <rFont val="Tahoma"/>
            <family val="2"/>
          </rPr>
          <t>Satya:</t>
        </r>
        <r>
          <rPr>
            <sz val="9"/>
            <color indexed="81"/>
            <rFont val="Tahoma"/>
            <family val="2"/>
          </rPr>
          <t xml:space="preserve">
Unkown
</t>
        </r>
      </text>
    </comment>
    <comment ref="L24" authorId="0">
      <text>
        <r>
          <rPr>
            <b/>
            <sz val="9"/>
            <color indexed="81"/>
            <rFont val="Tahoma"/>
            <family val="2"/>
          </rPr>
          <t>Satya:</t>
        </r>
        <r>
          <rPr>
            <sz val="9"/>
            <color indexed="81"/>
            <rFont val="Tahoma"/>
            <family val="2"/>
          </rPr>
          <t xml:space="preserve">
Weg
</t>
        </r>
      </text>
    </comment>
    <comment ref="V24" authorId="0">
      <text>
        <r>
          <rPr>
            <b/>
            <sz val="9"/>
            <color indexed="81"/>
            <rFont val="Tahoma"/>
            <family val="2"/>
          </rPr>
          <t>Satya:</t>
        </r>
        <r>
          <rPr>
            <sz val="9"/>
            <color indexed="81"/>
            <rFont val="Tahoma"/>
            <family val="2"/>
          </rPr>
          <t xml:space="preserve">
Unkown
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Satya:</t>
        </r>
        <r>
          <rPr>
            <sz val="9"/>
            <color indexed="81"/>
            <rFont val="Tahoma"/>
            <family val="2"/>
          </rPr>
          <t xml:space="preserve">
Vodafone</t>
        </r>
      </text>
    </comment>
    <comment ref="J25" authorId="0">
      <text>
        <r>
          <rPr>
            <b/>
            <sz val="9"/>
            <color indexed="81"/>
            <rFont val="Tahoma"/>
            <family val="2"/>
          </rPr>
          <t>Satya:</t>
        </r>
        <r>
          <rPr>
            <sz val="9"/>
            <color indexed="81"/>
            <rFont val="Tahoma"/>
            <family val="2"/>
          </rPr>
          <t xml:space="preserve">
Vydehi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Satya:</t>
        </r>
        <r>
          <rPr>
            <sz val="9"/>
            <color indexed="81"/>
            <rFont val="Tahoma"/>
            <family val="2"/>
          </rPr>
          <t xml:space="preserve">
Gemeni Consultants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Satya:</t>
        </r>
        <r>
          <rPr>
            <sz val="9"/>
            <color indexed="81"/>
            <rFont val="Tahoma"/>
            <family val="2"/>
          </rPr>
          <t xml:space="preserve">
Unknon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Satya:</t>
        </r>
        <r>
          <rPr>
            <sz val="9"/>
            <color indexed="81"/>
            <rFont val="Tahoma"/>
            <family val="2"/>
          </rPr>
          <t xml:space="preserve">
Intel</t>
        </r>
      </text>
    </comment>
    <comment ref="H28" authorId="0">
      <text>
        <r>
          <rPr>
            <b/>
            <sz val="9"/>
            <color indexed="81"/>
            <rFont val="Tahoma"/>
            <family val="2"/>
          </rPr>
          <t>Satya:</t>
        </r>
        <r>
          <rPr>
            <sz val="9"/>
            <color indexed="81"/>
            <rFont val="Tahoma"/>
            <family val="2"/>
          </rPr>
          <t xml:space="preserve">
RGA</t>
        </r>
      </text>
    </comment>
    <comment ref="T28" authorId="0">
      <text>
        <r>
          <rPr>
            <b/>
            <sz val="9"/>
            <color indexed="81"/>
            <rFont val="Tahoma"/>
            <family val="2"/>
          </rPr>
          <t>Satya:</t>
        </r>
        <r>
          <rPr>
            <sz val="9"/>
            <color indexed="81"/>
            <rFont val="Tahoma"/>
            <family val="2"/>
          </rPr>
          <t xml:space="preserve">
Wipro Sarjapur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Satya:</t>
        </r>
        <r>
          <rPr>
            <sz val="9"/>
            <color indexed="81"/>
            <rFont val="Tahoma"/>
            <family val="2"/>
          </rPr>
          <t xml:space="preserve">
TCS-Pioneer</t>
        </r>
      </text>
    </comment>
    <comment ref="H29" authorId="0">
      <text>
        <r>
          <rPr>
            <b/>
            <sz val="9"/>
            <color indexed="81"/>
            <rFont val="Tahoma"/>
            <family val="2"/>
          </rPr>
          <t>Satya:</t>
        </r>
        <r>
          <rPr>
            <sz val="9"/>
            <color indexed="81"/>
            <rFont val="Tahoma"/>
            <family val="2"/>
          </rPr>
          <t xml:space="preserve">
Sarjaour</t>
        </r>
      </text>
    </comment>
  </commentList>
</comments>
</file>

<file path=xl/comments3.xml><?xml version="1.0" encoding="utf-8"?>
<comments xmlns="http://schemas.openxmlformats.org/spreadsheetml/2006/main">
  <authors>
    <author>Satya</author>
  </authors>
  <commentList>
    <comment ref="B10" authorId="0">
      <text>
        <r>
          <rPr>
            <b/>
            <sz val="9"/>
            <color indexed="81"/>
            <rFont val="Tahoma"/>
            <family val="2"/>
          </rPr>
          <t>Satya:</t>
        </r>
        <r>
          <rPr>
            <sz val="9"/>
            <color indexed="81"/>
            <rFont val="Tahoma"/>
            <family val="2"/>
          </rPr>
          <t xml:space="preserve">
Jindal-8 Nos-Bosch-1,Prestige-2 Nos,Net Magic-1,RMZ-1,QualCom-1,Toyota-1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Satya:</t>
        </r>
        <r>
          <rPr>
            <sz val="9"/>
            <color indexed="81"/>
            <rFont val="Tahoma"/>
            <family val="2"/>
          </rPr>
          <t xml:space="preserve">
Garden Polymers-1, Mfar-4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Satya:</t>
        </r>
        <r>
          <rPr>
            <sz val="9"/>
            <color indexed="81"/>
            <rFont val="Tahoma"/>
            <family val="2"/>
          </rPr>
          <t xml:space="preserve">
Bhartiya City-3+Viceroy Hotels-2+Lotus Mall-5 Nos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Satya:</t>
        </r>
        <r>
          <rPr>
            <sz val="9"/>
            <color indexed="81"/>
            <rFont val="Tahoma"/>
            <family val="2"/>
          </rPr>
          <t xml:space="preserve">
Hinduja-6+Paikane-1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Satya:</t>
        </r>
        <r>
          <rPr>
            <sz val="9"/>
            <color indexed="81"/>
            <rFont val="Tahoma"/>
            <family val="2"/>
          </rPr>
          <t xml:space="preserve">
Biocon</t>
        </r>
      </text>
    </comment>
  </commentList>
</comments>
</file>

<file path=xl/comments4.xml><?xml version="1.0" encoding="utf-8"?>
<comments xmlns="http://schemas.openxmlformats.org/spreadsheetml/2006/main">
  <authors>
    <author>Satya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Satya:</t>
        </r>
        <r>
          <rPr>
            <sz val="9"/>
            <color indexed="81"/>
            <rFont val="Tahoma"/>
            <family val="2"/>
          </rPr>
          <t xml:space="preserve">
Cisco Installation</t>
        </r>
      </text>
    </comment>
  </commentList>
</comments>
</file>

<file path=xl/sharedStrings.xml><?xml version="1.0" encoding="utf-8"?>
<sst xmlns="http://schemas.openxmlformats.org/spreadsheetml/2006/main" count="5834" uniqueCount="844">
  <si>
    <t>Rating</t>
  </si>
  <si>
    <t>Region</t>
  </si>
  <si>
    <t>TOTAL</t>
  </si>
  <si>
    <t>Val</t>
  </si>
  <si>
    <t>VOLVO</t>
  </si>
  <si>
    <t>PERKINS</t>
  </si>
  <si>
    <t>MTU</t>
  </si>
  <si>
    <t>APRIL</t>
  </si>
  <si>
    <t>MAY</t>
  </si>
  <si>
    <t>CONSULTANT</t>
  </si>
  <si>
    <t>QTY</t>
  </si>
  <si>
    <t>JUNE</t>
  </si>
  <si>
    <t>AUG</t>
  </si>
  <si>
    <t>OCT</t>
  </si>
  <si>
    <t>SEPT</t>
  </si>
  <si>
    <t>DEC</t>
  </si>
  <si>
    <t>NA</t>
  </si>
  <si>
    <t>JAN</t>
  </si>
  <si>
    <t>-</t>
  </si>
  <si>
    <t>STATUS</t>
  </si>
  <si>
    <t>REMARKS</t>
  </si>
  <si>
    <t>RATING</t>
  </si>
  <si>
    <t>ENGINE</t>
  </si>
  <si>
    <t xml:space="preserve">Perkins </t>
  </si>
  <si>
    <t xml:space="preserve">MTU </t>
  </si>
  <si>
    <t xml:space="preserve">Total  </t>
  </si>
  <si>
    <t>&lt;40%</t>
  </si>
  <si>
    <t>40 to 80%</t>
  </si>
  <si>
    <t>&gt; 80%</t>
  </si>
  <si>
    <t>Total</t>
  </si>
  <si>
    <t xml:space="preserve">Qty/Val  </t>
  </si>
  <si>
    <t xml:space="preserve">% </t>
  </si>
  <si>
    <t xml:space="preserve">Orders Lost </t>
  </si>
  <si>
    <t xml:space="preserve">Quotes Pending </t>
  </si>
  <si>
    <t xml:space="preserve">Qty </t>
  </si>
  <si>
    <t xml:space="preserve">  </t>
  </si>
  <si>
    <t xml:space="preserve">Val </t>
  </si>
  <si>
    <t xml:space="preserve">Qty  </t>
  </si>
  <si>
    <t xml:space="preserve">   </t>
  </si>
  <si>
    <t xml:space="preserve">Val  </t>
  </si>
  <si>
    <t>Market Potential</t>
  </si>
  <si>
    <t xml:space="preserve">Total </t>
  </si>
  <si>
    <t>Q1</t>
  </si>
  <si>
    <t>Q2</t>
  </si>
  <si>
    <t>Q3</t>
  </si>
  <si>
    <t>Q4</t>
  </si>
  <si>
    <t>Tot</t>
  </si>
  <si>
    <t>Engine </t>
  </si>
  <si>
    <t>Perkins</t>
  </si>
  <si>
    <t xml:space="preserve">Low Side </t>
  </si>
  <si>
    <t xml:space="preserve">REGION - </t>
  </si>
  <si>
    <t>1ST QUARTER</t>
  </si>
  <si>
    <t>2ND QUARTER</t>
  </si>
  <si>
    <t>3RD QUARTER</t>
  </si>
  <si>
    <t>4TH QUARTER</t>
  </si>
  <si>
    <t>TOT</t>
  </si>
  <si>
    <t>JULY</t>
  </si>
  <si>
    <t>NOV</t>
  </si>
  <si>
    <t xml:space="preserve">JAN </t>
  </si>
  <si>
    <t>FEB</t>
  </si>
  <si>
    <t>MAR</t>
  </si>
  <si>
    <t>BUD</t>
  </si>
  <si>
    <t>ACH</t>
  </si>
  <si>
    <t>BOOKING</t>
  </si>
  <si>
    <t>TOT-MTU</t>
  </si>
  <si>
    <t>TOT-PER</t>
  </si>
  <si>
    <t>TOT-VOL</t>
  </si>
  <si>
    <t>Total Bud</t>
  </si>
  <si>
    <t>Total Achd</t>
  </si>
  <si>
    <t>Maxforce</t>
  </si>
  <si>
    <t>PROJECT REFERENCE</t>
  </si>
  <si>
    <t>CONTACT</t>
  </si>
  <si>
    <t xml:space="preserve">PMC </t>
  </si>
  <si>
    <t>MAXFORCE</t>
  </si>
  <si>
    <t>JUN</t>
  </si>
  <si>
    <t>JUL</t>
  </si>
  <si>
    <t>SEGMENT</t>
  </si>
  <si>
    <t>CONTACT NO</t>
  </si>
  <si>
    <t>PRIMARY CONTACT PERSON</t>
  </si>
  <si>
    <t>NAME OF END CUSTOMER</t>
  </si>
  <si>
    <t>END CUSTOMER CONTACT PERSON</t>
  </si>
  <si>
    <t>VALUE IN LAKHS</t>
  </si>
  <si>
    <t>CLIENT NAME</t>
  </si>
  <si>
    <t>DAY</t>
  </si>
  <si>
    <t>MONTH</t>
  </si>
  <si>
    <t>P</t>
  </si>
  <si>
    <t>R</t>
  </si>
  <si>
    <t>G</t>
  </si>
  <si>
    <t>Y</t>
  </si>
  <si>
    <t>Volvo</t>
  </si>
  <si>
    <t>TOT-MXF</t>
  </si>
  <si>
    <t>PROJECT RANGE PROJECTIONS-QUANTITY</t>
  </si>
  <si>
    <t>SRN</t>
  </si>
  <si>
    <t>Provident Harmony</t>
  </si>
  <si>
    <t>Tata Housing Corporation</t>
  </si>
  <si>
    <t>Beml SEZ Near Devanahalli Airport</t>
  </si>
  <si>
    <t>IOCL - K.R.Puram, Bangalore</t>
  </si>
  <si>
    <t>Apollo Hospitals Mumbai</t>
  </si>
  <si>
    <t>Griffith Laborataries</t>
  </si>
  <si>
    <t>Dan Hotels</t>
  </si>
  <si>
    <t>Sab Miller</t>
  </si>
  <si>
    <t>Salarpuria - K R Puram</t>
  </si>
  <si>
    <t>Bel, Mysore Road.</t>
  </si>
  <si>
    <t xml:space="preserve">Total Environment </t>
  </si>
  <si>
    <t>Mantri Swastik</t>
  </si>
  <si>
    <t>Hiranandani It Park</t>
  </si>
  <si>
    <t>Beary'S Mall, Shimoga</t>
  </si>
  <si>
    <t>Mantri Glades</t>
  </si>
  <si>
    <t>Sri Sathya Sai Narayana Hospitals</t>
  </si>
  <si>
    <t>MDB Zephyr</t>
  </si>
  <si>
    <t>Tally Solutions</t>
  </si>
  <si>
    <t>Aga Mall</t>
  </si>
  <si>
    <t>Triton Valves Ltd.</t>
  </si>
  <si>
    <t>Sansera Engineering Pvt. Ltd.</t>
  </si>
  <si>
    <t>Shangrilla Hotel</t>
  </si>
  <si>
    <t>Patel Township</t>
  </si>
  <si>
    <t>Shimoga Mall</t>
  </si>
  <si>
    <t>Transsystem Logistics International Pvt Ltd.</t>
  </si>
  <si>
    <t>Carl Ziess</t>
  </si>
  <si>
    <t>MBD Zephyr</t>
  </si>
  <si>
    <t>Trans Pack Asia Pvt. Ltd.</t>
  </si>
  <si>
    <t>Banaswadi Mall</t>
  </si>
  <si>
    <t>Krish Capital Holdings Pvt Ltd</t>
  </si>
  <si>
    <t>Octamec Building System ltd</t>
  </si>
  <si>
    <t>Trimurti Polychem Pvt Ltd</t>
  </si>
  <si>
    <t>Karle Infra projects</t>
  </si>
  <si>
    <t>Basai Steels Pvt Ltd</t>
  </si>
  <si>
    <t>Rajesh Exports Pvt Ltd</t>
  </si>
  <si>
    <t>Hinduja Realty Ventures</t>
  </si>
  <si>
    <t>Unitech Ltd</t>
  </si>
  <si>
    <t>Pacifica Companies</t>
  </si>
  <si>
    <t>Aburgine Properties</t>
  </si>
  <si>
    <t>Cdymax</t>
  </si>
  <si>
    <t>Tulip</t>
  </si>
  <si>
    <t>Bagmane</t>
  </si>
  <si>
    <t>E Matrix</t>
  </si>
  <si>
    <t>Potential Semac</t>
  </si>
  <si>
    <t>Entask</t>
  </si>
  <si>
    <t>CPG</t>
  </si>
  <si>
    <t>ERG</t>
  </si>
  <si>
    <t>JLL / RSP</t>
  </si>
  <si>
    <t>Potential Semac Hyderabad</t>
  </si>
  <si>
    <t>EEC</t>
  </si>
  <si>
    <t>Spectral</t>
  </si>
  <si>
    <t>RSP</t>
  </si>
  <si>
    <t>Shariff Associates</t>
  </si>
  <si>
    <t>Procon</t>
  </si>
  <si>
    <t>Sycone</t>
  </si>
  <si>
    <t>OWNER</t>
  </si>
  <si>
    <t>SR</t>
  </si>
  <si>
    <t>VK</t>
  </si>
  <si>
    <t>AK</t>
  </si>
  <si>
    <t>AR</t>
  </si>
  <si>
    <t>SM</t>
  </si>
  <si>
    <t>DG SET RANGE-P=PROJ /R=RETAIL</t>
  </si>
  <si>
    <t>CHANCES:R=RED/Y=YELLOW/G=GREEN</t>
  </si>
  <si>
    <t>PROJECT RANGE PROJECTIONS-VALUE IN CRS</t>
  </si>
  <si>
    <t>Qty</t>
  </si>
  <si>
    <t>Remarks</t>
  </si>
  <si>
    <t xml:space="preserve"> </t>
  </si>
  <si>
    <t>Branch</t>
  </si>
  <si>
    <t>Bangalore</t>
  </si>
  <si>
    <t>Chennai</t>
  </si>
  <si>
    <t>Value</t>
  </si>
  <si>
    <t>Engine</t>
  </si>
  <si>
    <t>Sl.No.</t>
  </si>
  <si>
    <t>Project</t>
  </si>
  <si>
    <t>Lost To</t>
  </si>
  <si>
    <t>CAT</t>
  </si>
  <si>
    <t>Cummins</t>
  </si>
  <si>
    <t>OP</t>
  </si>
  <si>
    <t xml:space="preserve">ACT </t>
  </si>
  <si>
    <t>2011-12</t>
  </si>
  <si>
    <t>%</t>
  </si>
  <si>
    <t xml:space="preserve">Ach </t>
  </si>
  <si>
    <t>Growth</t>
  </si>
  <si>
    <t>LOCATION</t>
  </si>
  <si>
    <t>DG VALUE IN LAKHS</t>
  </si>
  <si>
    <t>ITC</t>
  </si>
  <si>
    <t>Var - Qty</t>
  </si>
  <si>
    <t>Total – Qty</t>
  </si>
  <si>
    <t>Total - Value</t>
  </si>
  <si>
    <t>Total - Qty</t>
  </si>
  <si>
    <t xml:space="preserve">Value for &lt; 750 kVA </t>
  </si>
  <si>
    <t>DG SET LSW WORK</t>
  </si>
  <si>
    <t>PROJECT TOTAL</t>
  </si>
  <si>
    <t>COSTING MARGIN FOR WON PROJECTS</t>
  </si>
  <si>
    <t>QUOTE REF NO.-PEDKF</t>
  </si>
  <si>
    <t>REGION</t>
  </si>
  <si>
    <t>ALTERNATOR MAKE</t>
  </si>
  <si>
    <t>LSW VALUE</t>
  </si>
  <si>
    <t>COMPETITORS</t>
  </si>
  <si>
    <t>Month</t>
  </si>
  <si>
    <t>Months</t>
  </si>
  <si>
    <t>APL</t>
  </si>
  <si>
    <t>BOOKING PLAN-QTY-MTU-BUD</t>
  </si>
  <si>
    <t>BOOKING PLAN-QTY-MTU-ACT</t>
  </si>
  <si>
    <t xml:space="preserve">Outlook </t>
  </si>
  <si>
    <t>Plan</t>
  </si>
  <si>
    <t>Outlook</t>
  </si>
  <si>
    <t>Act</t>
  </si>
  <si>
    <t>YTD</t>
  </si>
  <si>
    <t>ACT</t>
  </si>
  <si>
    <t>Booking value</t>
  </si>
  <si>
    <t>Retail Value</t>
  </si>
  <si>
    <t>MONTH OF ORDER</t>
  </si>
  <si>
    <t>Otlook</t>
  </si>
  <si>
    <t xml:space="preserve">Total - Booking </t>
  </si>
  <si>
    <t>South</t>
  </si>
  <si>
    <t>Industrial</t>
  </si>
  <si>
    <t>Hospital</t>
  </si>
  <si>
    <t>Bellary</t>
  </si>
  <si>
    <t>Hotel</t>
  </si>
  <si>
    <t>Belgaum</t>
  </si>
  <si>
    <t>Mysore</t>
  </si>
  <si>
    <t>Pending</t>
  </si>
  <si>
    <t>Patel Realty</t>
  </si>
  <si>
    <t>ORDER BOARD-TO BE FILLED MANUALLY</t>
  </si>
  <si>
    <t>KEY PROJECTS UNDER FINALISATION-TO BE FILLED MANUALLY</t>
  </si>
  <si>
    <t>PLAN</t>
  </si>
  <si>
    <t>OUTLOOK</t>
  </si>
  <si>
    <t>MONTH OF PRESENTATION</t>
  </si>
  <si>
    <t>SELECTION</t>
  </si>
  <si>
    <t>Lost
%</t>
  </si>
  <si>
    <t>Recvd
%</t>
  </si>
  <si>
    <t>Stirke
%</t>
  </si>
  <si>
    <t>Pending%</t>
  </si>
  <si>
    <t xml:space="preserve">OrdersRecd </t>
  </si>
  <si>
    <t>No of
Quote
Submitted</t>
  </si>
  <si>
    <t xml:space="preserve">Qty/
Val  </t>
  </si>
  <si>
    <t xml:space="preserve">Orders
Recd </t>
  </si>
  <si>
    <t xml:space="preserve">Orders
Lost </t>
  </si>
  <si>
    <t xml:space="preserve">Quotes
Pending </t>
  </si>
  <si>
    <t>Pending
%</t>
  </si>
  <si>
    <t>Note - Value to be in Lakhs</t>
  </si>
  <si>
    <t>To be filled Manually</t>
  </si>
  <si>
    <t>KMF</t>
  </si>
  <si>
    <t>HYD</t>
  </si>
  <si>
    <t>Installation Order to be Linked Manually</t>
  </si>
  <si>
    <t>Mumbai</t>
  </si>
  <si>
    <t>Commercial</t>
  </si>
  <si>
    <t>Software Park</t>
  </si>
  <si>
    <t>Residential</t>
  </si>
  <si>
    <t>Sai Shrushti Group</t>
  </si>
  <si>
    <t>S &amp; Su</t>
  </si>
  <si>
    <t>L &amp; W</t>
  </si>
  <si>
    <t>Sysn</t>
  </si>
  <si>
    <t>Bharatiya City</t>
  </si>
  <si>
    <t>Township</t>
  </si>
  <si>
    <t>Rally Consultant</t>
  </si>
  <si>
    <t>Adarsh Group</t>
  </si>
  <si>
    <t>Procon Engineers</t>
  </si>
  <si>
    <t>AISIN AUTOMOTIVE KARNATAKA PVT LTD</t>
  </si>
  <si>
    <t>SMCC</t>
  </si>
  <si>
    <t>ITC MALUR</t>
  </si>
  <si>
    <t>TCE</t>
  </si>
  <si>
    <t>Ms. Vrushali</t>
  </si>
  <si>
    <t>HAL</t>
  </si>
  <si>
    <t>LCA DIVISION</t>
  </si>
  <si>
    <t>p</t>
  </si>
  <si>
    <t>y</t>
  </si>
  <si>
    <t>Mr. NITILESH</t>
  </si>
  <si>
    <t>MARUTI DEVELOPERS</t>
  </si>
  <si>
    <t>MARUTI GROUP</t>
  </si>
  <si>
    <t>Mr. RAJA</t>
  </si>
  <si>
    <t>SATTVA GROUP</t>
  </si>
  <si>
    <t>GOLD SUMMIT</t>
  </si>
  <si>
    <t>Mr. PANKAJ</t>
  </si>
  <si>
    <t>ISRO</t>
  </si>
  <si>
    <t>ISRO LPSC</t>
  </si>
  <si>
    <t>Mr. RAGHU</t>
  </si>
  <si>
    <t>GODREJ PROPERTIES</t>
  </si>
  <si>
    <t>Godrej Platinum</t>
  </si>
  <si>
    <t>GAMMON INDIA</t>
  </si>
  <si>
    <t>Mr. GIRISH</t>
  </si>
  <si>
    <t>CARL ZEISS</t>
  </si>
  <si>
    <t>Mr. WILSON</t>
  </si>
  <si>
    <t>HIRANANADANI GROUP</t>
  </si>
  <si>
    <t>ELECTRONIC CITY</t>
  </si>
  <si>
    <t>IT PARK</t>
  </si>
  <si>
    <t>Mr. CHINNAPPA REDDY</t>
  </si>
  <si>
    <t>SAKTHI ELECTRICALS</t>
  </si>
  <si>
    <t>HAROHALLI</t>
  </si>
  <si>
    <t>Mr. NAGRAJ</t>
  </si>
  <si>
    <t xml:space="preserve">GILMA </t>
  </si>
  <si>
    <t>Mr. NAGRAJ-</t>
  </si>
  <si>
    <t>DAN HOSPITALITY</t>
  </si>
  <si>
    <t>WHITEFIELD</t>
  </si>
  <si>
    <t>HOTEL</t>
  </si>
  <si>
    <t>LANGDON AND SEAH</t>
  </si>
  <si>
    <t>Mr. SAMARTHG</t>
  </si>
  <si>
    <t>JLL</t>
  </si>
  <si>
    <t>Mr. VINAYAK</t>
  </si>
  <si>
    <t>HM CONSTRUCTIONS</t>
  </si>
  <si>
    <t>GENDEUR</t>
  </si>
  <si>
    <t>PROCON</t>
  </si>
  <si>
    <t>Mr. LIJO</t>
  </si>
  <si>
    <t>TROPICAL TREE</t>
  </si>
  <si>
    <t>GARUDA MALL</t>
  </si>
  <si>
    <t>EJIPURA</t>
  </si>
  <si>
    <t>GARUDA GROUP</t>
  </si>
  <si>
    <t>Mr. JAYANTH</t>
  </si>
  <si>
    <t>TECSOL ENGINEERS PVT LTD</t>
  </si>
  <si>
    <t>SUGAR</t>
  </si>
  <si>
    <t>TECKSOL</t>
  </si>
  <si>
    <t>Mr.RAGHUPATY</t>
  </si>
  <si>
    <t>NASCO</t>
  </si>
  <si>
    <t>K R PURAM</t>
  </si>
  <si>
    <t>Ms. MANISHA KULKARNI</t>
  </si>
  <si>
    <t>PASHMINA DEVELOPERS</t>
  </si>
  <si>
    <t xml:space="preserve">PASHMINA </t>
  </si>
  <si>
    <t>Ms. DIVYA -</t>
  </si>
  <si>
    <t>GLOBE</t>
  </si>
  <si>
    <t>SUJANNA MALL</t>
  </si>
  <si>
    <t>NETTAPP</t>
  </si>
  <si>
    <t>JURONG</t>
  </si>
  <si>
    <t xml:space="preserve">Bosch - Bidadi </t>
  </si>
  <si>
    <t>SHIMZU - TOYOTA</t>
  </si>
  <si>
    <t xml:space="preserve">INDUSTRIAL </t>
  </si>
  <si>
    <t>SHIMZU</t>
  </si>
  <si>
    <t>Gold Man Sachs</t>
  </si>
  <si>
    <t xml:space="preserve">IT </t>
  </si>
  <si>
    <t>SPECTRAL / RSP</t>
  </si>
  <si>
    <t>VOLVO TOWERS</t>
  </si>
  <si>
    <t>POWER DESIGN</t>
  </si>
  <si>
    <t>SRIPEKSHA</t>
  </si>
  <si>
    <t>IT</t>
  </si>
  <si>
    <t>DAIRY</t>
  </si>
  <si>
    <t>MANDYA DAIRY</t>
  </si>
  <si>
    <t>Mitsu</t>
  </si>
  <si>
    <t xml:space="preserve"> 2012-13</t>
  </si>
  <si>
    <t>2012-13</t>
  </si>
  <si>
    <t>Booking - Numbers</t>
  </si>
  <si>
    <t>Booking - Value</t>
  </si>
  <si>
    <t>Billing- Numbers</t>
  </si>
  <si>
    <t>Billing   - Value</t>
  </si>
  <si>
    <t>Sterling</t>
  </si>
  <si>
    <t>Others</t>
  </si>
  <si>
    <t>% Share</t>
  </si>
  <si>
    <t xml:space="preserve">Range below 750 kVA </t>
  </si>
  <si>
    <t>IT Park</t>
  </si>
  <si>
    <t>PM GROUP</t>
  </si>
  <si>
    <t>PUSHPA</t>
  </si>
  <si>
    <r>
      <t>Plan</t>
    </r>
    <r>
      <rPr>
        <sz val="10"/>
        <color indexed="8"/>
        <rFont val="Arial"/>
        <family val="2"/>
      </rPr>
      <t xml:space="preserve"> </t>
    </r>
  </si>
  <si>
    <r>
      <t>(+/-)</t>
    </r>
    <r>
      <rPr>
        <sz val="10"/>
        <color indexed="8"/>
        <rFont val="Arial"/>
        <family val="2"/>
      </rPr>
      <t xml:space="preserve"> </t>
    </r>
  </si>
  <si>
    <r>
      <t>DG Value</t>
    </r>
    <r>
      <rPr>
        <sz val="10"/>
        <color indexed="8"/>
        <rFont val="Arial"/>
        <family val="2"/>
      </rPr>
      <t xml:space="preserve"> </t>
    </r>
  </si>
  <si>
    <r>
      <t>LS Value</t>
    </r>
    <r>
      <rPr>
        <sz val="10"/>
        <color indexed="8"/>
        <rFont val="Arial"/>
        <family val="2"/>
      </rPr>
      <t xml:space="preserve"> </t>
    </r>
  </si>
  <si>
    <r>
      <t>Booking</t>
    </r>
    <r>
      <rPr>
        <sz val="10"/>
        <color indexed="8"/>
        <rFont val="Arial"/>
        <family val="2"/>
      </rPr>
      <t xml:space="preserve"> </t>
    </r>
  </si>
  <si>
    <r>
      <t>%
Ach</t>
    </r>
    <r>
      <rPr>
        <sz val="10"/>
        <color indexed="8"/>
        <rFont val="Arial"/>
        <family val="2"/>
      </rPr>
      <t xml:space="preserve"> </t>
    </r>
  </si>
  <si>
    <r>
      <t>Sl. No</t>
    </r>
    <r>
      <rPr>
        <sz val="10"/>
        <color indexed="8"/>
        <rFont val="Calibri"/>
        <family val="2"/>
        <scheme val="minor"/>
      </rPr>
      <t xml:space="preserve"> </t>
    </r>
  </si>
  <si>
    <r>
      <t>Name of Project</t>
    </r>
    <r>
      <rPr>
        <sz val="10"/>
        <color indexed="8"/>
        <rFont val="Calibri"/>
        <family val="2"/>
        <scheme val="minor"/>
      </rPr>
      <t xml:space="preserve"> </t>
    </r>
  </si>
  <si>
    <r>
      <t>Location</t>
    </r>
    <r>
      <rPr>
        <sz val="10"/>
        <color indexed="8"/>
        <rFont val="Calibri"/>
        <family val="2"/>
        <scheme val="minor"/>
      </rPr>
      <t xml:space="preserve"> </t>
    </r>
  </si>
  <si>
    <r>
      <t>Engine Offered</t>
    </r>
    <r>
      <rPr>
        <sz val="10"/>
        <color indexed="8"/>
        <rFont val="Calibri"/>
        <family val="2"/>
        <scheme val="minor"/>
      </rPr>
      <t xml:space="preserve"> </t>
    </r>
  </si>
  <si>
    <r>
      <t>Rating</t>
    </r>
    <r>
      <rPr>
        <sz val="10"/>
        <color indexed="8"/>
        <rFont val="Calibri"/>
        <family val="2"/>
        <scheme val="minor"/>
      </rPr>
      <t xml:space="preserve"> </t>
    </r>
  </si>
  <si>
    <r>
      <t>Qty</t>
    </r>
    <r>
      <rPr>
        <sz val="10"/>
        <color indexed="8"/>
        <rFont val="Calibri"/>
        <family val="2"/>
        <scheme val="minor"/>
      </rPr>
      <t xml:space="preserve"> </t>
    </r>
  </si>
  <si>
    <r>
      <t>Value</t>
    </r>
    <r>
      <rPr>
        <sz val="10"/>
        <color indexed="8"/>
        <rFont val="Calibri"/>
        <family val="2"/>
        <scheme val="minor"/>
      </rPr>
      <t xml:space="preserve"> </t>
    </r>
  </si>
  <si>
    <r>
      <t>Competition</t>
    </r>
    <r>
      <rPr>
        <sz val="10"/>
        <color indexed="8"/>
        <rFont val="Calibri"/>
        <family val="2"/>
        <scheme val="minor"/>
      </rPr>
      <t xml:space="preserve"> </t>
    </r>
  </si>
  <si>
    <r>
      <t>Chance</t>
    </r>
    <r>
      <rPr>
        <sz val="10"/>
        <color indexed="8"/>
        <rFont val="Calibri"/>
        <family val="2"/>
        <scheme val="minor"/>
      </rPr>
      <t xml:space="preserve"> </t>
    </r>
  </si>
  <si>
    <r>
      <t>Rating</t>
    </r>
    <r>
      <rPr>
        <sz val="10"/>
        <color indexed="8"/>
        <rFont val="Arial"/>
        <family val="2"/>
      </rPr>
      <t xml:space="preserve"> </t>
    </r>
  </si>
  <si>
    <r>
      <t>%
Ach</t>
    </r>
    <r>
      <rPr>
        <sz val="10"/>
        <color indexed="8"/>
        <rFont val="Calibri"/>
        <family val="2"/>
        <scheme val="minor"/>
      </rPr>
      <t xml:space="preserve"> </t>
    </r>
  </si>
  <si>
    <r>
      <t>Sl.No.</t>
    </r>
    <r>
      <rPr>
        <sz val="10"/>
        <color indexed="8"/>
        <rFont val="Arial"/>
        <family val="2"/>
      </rPr>
      <t xml:space="preserve"> </t>
    </r>
  </si>
  <si>
    <r>
      <t>Project</t>
    </r>
    <r>
      <rPr>
        <sz val="10"/>
        <color indexed="8"/>
        <rFont val="Arial"/>
        <family val="2"/>
      </rPr>
      <t xml:space="preserve"> </t>
    </r>
  </si>
  <si>
    <r>
      <t>Engine</t>
    </r>
    <r>
      <rPr>
        <sz val="10"/>
        <color indexed="8"/>
        <rFont val="Arial"/>
        <family val="2"/>
      </rPr>
      <t xml:space="preserve"> </t>
    </r>
  </si>
  <si>
    <r>
      <t>Qty</t>
    </r>
    <r>
      <rPr>
        <sz val="10"/>
        <color indexed="8"/>
        <rFont val="Arial"/>
        <family val="2"/>
      </rPr>
      <t xml:space="preserve"> </t>
    </r>
  </si>
  <si>
    <r>
      <t xml:space="preserve">LS Value </t>
    </r>
    <r>
      <rPr>
        <sz val="10"/>
        <color indexed="8"/>
        <rFont val="Arial"/>
        <family val="2"/>
      </rPr>
      <t xml:space="preserve"> </t>
    </r>
  </si>
  <si>
    <r>
      <t>LS Margin - %</t>
    </r>
    <r>
      <rPr>
        <sz val="10"/>
        <color indexed="8"/>
        <rFont val="Arial"/>
        <family val="2"/>
      </rPr>
      <t xml:space="preserve"> </t>
    </r>
  </si>
  <si>
    <t>QUOTE 
REF NO</t>
  </si>
  <si>
    <t>DG SET RANGE-P=PROJ 
/R=RETAIL</t>
  </si>
  <si>
    <t>Juniper</t>
  </si>
  <si>
    <t>SPCL-Intel</t>
  </si>
  <si>
    <t>Mantri - Pinacle</t>
  </si>
  <si>
    <t xml:space="preserve">Puravankara </t>
  </si>
  <si>
    <t xml:space="preserve">Volvo </t>
  </si>
  <si>
    <t>Fine components</t>
  </si>
  <si>
    <t xml:space="preserve">Jockey </t>
  </si>
  <si>
    <t>Rainbow Hospitals</t>
  </si>
  <si>
    <t>Sunil Raina</t>
  </si>
  <si>
    <t xml:space="preserve">Govt Project </t>
  </si>
  <si>
    <t>Mr. Rahul</t>
  </si>
  <si>
    <t>Mr. Harinath</t>
  </si>
  <si>
    <t>Mr. Aravind</t>
  </si>
  <si>
    <t>Coimbatore</t>
  </si>
  <si>
    <t>Mall</t>
  </si>
  <si>
    <t>Data Center</t>
  </si>
  <si>
    <t>Won</t>
  </si>
  <si>
    <t>Ralys Consulting Engineers</t>
  </si>
  <si>
    <t>Mr. Aditya K. (Civil Engineer)</t>
  </si>
  <si>
    <t>Mr. Harish</t>
  </si>
  <si>
    <t>Mr. Thilo Stephan</t>
  </si>
  <si>
    <t>Govt.</t>
  </si>
  <si>
    <t>Mr. B. N. Gokul</t>
  </si>
  <si>
    <t>Mr. M. V. Seshgiri Rao</t>
  </si>
  <si>
    <t>Mr. Prakash C</t>
  </si>
  <si>
    <t>Mr. Samarjit</t>
  </si>
  <si>
    <t>Ashok Leyland</t>
  </si>
  <si>
    <t>Prestige Mysore Mall AE</t>
  </si>
  <si>
    <t>Prestige Mysore Mall Installation</t>
  </si>
  <si>
    <t>Prestige Tranquality</t>
  </si>
  <si>
    <t>Prestige Tranquality-Zone-1-AE</t>
  </si>
  <si>
    <t>Prestige White Meadows</t>
  </si>
  <si>
    <t>TCS Pioneer Inst</t>
  </si>
  <si>
    <t>Palladium Const</t>
  </si>
  <si>
    <t>Embassy Pristine</t>
  </si>
  <si>
    <t>Shimzu Kobelco</t>
  </si>
  <si>
    <t>Intel</t>
  </si>
  <si>
    <t xml:space="preserve">Prosperita Hotel Ventures Limited, Chennai ( Brigade) </t>
  </si>
  <si>
    <t>Brigade Bhuwalka Icon</t>
  </si>
  <si>
    <t>Brigade Golden Triangle - Res Common</t>
  </si>
  <si>
    <t>Pritech Park</t>
  </si>
  <si>
    <t xml:space="preserve">Yashavanth Kumar </t>
  </si>
  <si>
    <t>C.Karthikeyan</t>
  </si>
  <si>
    <t>Mr. Mohan (Powergen Projects)</t>
  </si>
  <si>
    <t>Mr. Vinay</t>
  </si>
  <si>
    <t>Mrunalini Ramkumar G</t>
  </si>
  <si>
    <t>Qualcomm</t>
  </si>
  <si>
    <t>Price &amp; Preference</t>
  </si>
  <si>
    <t xml:space="preserve">Indragandhi Child Health </t>
  </si>
  <si>
    <t>NDDB, Channarayapatana</t>
  </si>
  <si>
    <t xml:space="preserve">Price - </t>
  </si>
  <si>
    <t>Pimento By Mariat</t>
  </si>
  <si>
    <t xml:space="preserve">Kirloskar </t>
  </si>
  <si>
    <t>Raj Fish Meals, Malpe</t>
  </si>
  <si>
    <t>Aster Hospital, Hebbal , bengaluru</t>
  </si>
  <si>
    <t>Mistu</t>
  </si>
  <si>
    <t>existing vendor &amp; recommendation from client contacts</t>
  </si>
  <si>
    <t>Siddartha Medical college</t>
  </si>
  <si>
    <t>Volvo Penta</t>
  </si>
  <si>
    <t>Pramuk Developers - Near Electronic city Toll</t>
  </si>
  <si>
    <t xml:space="preserve">Price </t>
  </si>
  <si>
    <t>Nagarjuna Constructions</t>
  </si>
  <si>
    <t>Brigade Constructions</t>
  </si>
  <si>
    <t>Mahindra</t>
  </si>
  <si>
    <t>AM Constructions</t>
  </si>
  <si>
    <t>Kumar Electricals</t>
  </si>
  <si>
    <t xml:space="preserve">GE </t>
  </si>
  <si>
    <t xml:space="preserve">Dharwad Milk Union </t>
  </si>
  <si>
    <t>Roxy Flour Mills</t>
  </si>
  <si>
    <t>Anthem Bio Science</t>
  </si>
  <si>
    <t>Existing vendor / Price</t>
  </si>
  <si>
    <t xml:space="preserve">Centum </t>
  </si>
  <si>
    <t>Umiya Developers</t>
  </si>
  <si>
    <t>Preference to Cummins</t>
  </si>
  <si>
    <t>Bosch Naganathapura</t>
  </si>
  <si>
    <t>Price</t>
  </si>
  <si>
    <t>RGA Tech Park, Sarjapura</t>
  </si>
  <si>
    <t>Ajmera Developers</t>
  </si>
  <si>
    <t>Ajinomotto</t>
  </si>
  <si>
    <t>Rate contract b/w Sudhir &amp; Smcc</t>
  </si>
  <si>
    <t>Sobha Developers</t>
  </si>
  <si>
    <t>VijayPower</t>
  </si>
  <si>
    <t xml:space="preserve">Salarpuria Symphony </t>
  </si>
  <si>
    <t>GT Cinemas Pvt Ltd</t>
  </si>
  <si>
    <t>Embassy Oasis</t>
  </si>
  <si>
    <t>15KAPN0144</t>
  </si>
  <si>
    <t>2015-11-08</t>
  </si>
  <si>
    <t/>
  </si>
  <si>
    <t>asdasd</t>
  </si>
  <si>
    <t>200</t>
  </si>
  <si>
    <t>1</t>
  </si>
  <si>
    <t>20000000</t>
  </si>
  <si>
    <t>170284039</t>
  </si>
  <si>
    <t>5971250</t>
  </si>
  <si>
    <t>184312789</t>
  </si>
  <si>
    <t>sfd</t>
  </si>
  <si>
    <t>amit</t>
  </si>
  <si>
    <t>15KADG0008</t>
  </si>
  <si>
    <t>250</t>
  </si>
  <si>
    <t>hkjhkj</t>
  </si>
  <si>
    <t>hkjh</t>
  </si>
  <si>
    <t>kjh</t>
  </si>
  <si>
    <t>jkhj</t>
  </si>
  <si>
    <t>hjkh</t>
  </si>
  <si>
    <t>hjkhjh</t>
  </si>
  <si>
    <t>jkh</t>
  </si>
  <si>
    <t>15MHDG0080</t>
  </si>
  <si>
    <t>2015-11-14</t>
  </si>
  <si>
    <t>Banglore</t>
  </si>
  <si>
    <t>50</t>
  </si>
  <si>
    <t>testing</t>
  </si>
  <si>
    <t>aarnav</t>
  </si>
  <si>
    <t>Hospitals</t>
  </si>
  <si>
    <t>ghg</t>
  </si>
  <si>
    <t>hgh</t>
  </si>
  <si>
    <t>8989</t>
  </si>
  <si>
    <t>hghg</t>
  </si>
  <si>
    <t>7878</t>
  </si>
  <si>
    <t>hghghg</t>
  </si>
  <si>
    <t>15APDG0088</t>
  </si>
  <si>
    <t>2015-11-16</t>
  </si>
  <si>
    <t>sadasd</t>
  </si>
  <si>
    <t>415</t>
  </si>
  <si>
    <t>0</t>
  </si>
  <si>
    <t>Draft</t>
  </si>
  <si>
    <t>asd</t>
  </si>
  <si>
    <t>78787</t>
  </si>
  <si>
    <t>809090</t>
  </si>
  <si>
    <t>450</t>
  </si>
  <si>
    <t>15APDG0089</t>
  </si>
  <si>
    <t>sdfsfd</t>
  </si>
  <si>
    <t>Test</t>
  </si>
  <si>
    <t>380</t>
  </si>
  <si>
    <t>sdf</t>
  </si>
  <si>
    <t>15KADG0034</t>
  </si>
  <si>
    <t>2015-11-13</t>
  </si>
  <si>
    <t>Test Reference</t>
  </si>
  <si>
    <t>ere</t>
  </si>
  <si>
    <t>500</t>
  </si>
  <si>
    <t>60</t>
  </si>
  <si>
    <t>20000000.56</t>
  </si>
  <si>
    <t>cummins,cat</t>
  </si>
  <si>
    <t>asddas</t>
  </si>
  <si>
    <t>asdsda</t>
  </si>
  <si>
    <t>8095063190</t>
  </si>
  <si>
    <t>asdad</t>
  </si>
  <si>
    <t>898989</t>
  </si>
  <si>
    <t>asda</t>
  </si>
  <si>
    <t>15DGGU0126</t>
  </si>
  <si>
    <t>2015-11-19</t>
  </si>
  <si>
    <t>sadads</t>
  </si>
  <si>
    <t>bnbnmb</t>
  </si>
  <si>
    <t>Government</t>
  </si>
  <si>
    <t>sdfsdf</t>
  </si>
  <si>
    <t>15DGAP0115</t>
  </si>
  <si>
    <t>2015-11-20</t>
  </si>
  <si>
    <t>MNP</t>
  </si>
  <si>
    <t>320</t>
  </si>
  <si>
    <t>ABCD</t>
  </si>
  <si>
    <t>Resto</t>
  </si>
  <si>
    <t>15DGAP0116</t>
  </si>
  <si>
    <t>etrwehtu</t>
  </si>
  <si>
    <t>wjgdh</t>
  </si>
  <si>
    <t>874732856</t>
  </si>
  <si>
    <t>jdsfg</t>
  </si>
  <si>
    <t>9782535</t>
  </si>
  <si>
    <t>56756</t>
  </si>
  <si>
    <t>asjdfhg</t>
  </si>
  <si>
    <t>15DGHR0117</t>
  </si>
  <si>
    <t>2</t>
  </si>
  <si>
    <t>Hotels</t>
  </si>
  <si>
    <t>sgtdfh547</t>
  </si>
  <si>
    <t>35347</t>
  </si>
  <si>
    <t>66787878</t>
  </si>
  <si>
    <t>sjdkhgb</t>
  </si>
  <si>
    <t>35</t>
  </si>
  <si>
    <t>15DGAP0118</t>
  </si>
  <si>
    <t>fgfgf</t>
  </si>
  <si>
    <t>87878</t>
  </si>
  <si>
    <t>15DGBR0119</t>
  </si>
  <si>
    <t>fgfgh</t>
  </si>
  <si>
    <t>3</t>
  </si>
  <si>
    <t>15DGAP0121</t>
  </si>
  <si>
    <t>15DGAR0123</t>
  </si>
  <si>
    <t>wqeqwe</t>
  </si>
  <si>
    <t>787878</t>
  </si>
  <si>
    <t>15DGJK0138</t>
  </si>
  <si>
    <t>2015-11-26</t>
  </si>
  <si>
    <t>gfhfj</t>
  </si>
  <si>
    <t>fgjg</t>
  </si>
  <si>
    <t>640</t>
  </si>
  <si>
    <t>76</t>
  </si>
  <si>
    <t>zdfg</t>
  </si>
  <si>
    <t>bjghjk</t>
  </si>
  <si>
    <t>ghjghk</t>
  </si>
  <si>
    <t>6756</t>
  </si>
  <si>
    <t>jhg</t>
  </si>
  <si>
    <t>65</t>
  </si>
  <si>
    <t>gfhfg</t>
  </si>
  <si>
    <t>15DGMP0140</t>
  </si>
  <si>
    <t>dfhf</t>
  </si>
  <si>
    <t>400</t>
  </si>
  <si>
    <t>67</t>
  </si>
  <si>
    <t>dsfgd</t>
  </si>
  <si>
    <t>sdgtdf</t>
  </si>
  <si>
    <t>dsghdf</t>
  </si>
  <si>
    <t>543465</t>
  </si>
  <si>
    <t>fgdh</t>
  </si>
  <si>
    <t>45647</t>
  </si>
  <si>
    <t>2874</t>
  </si>
  <si>
    <t>dfhfg</t>
  </si>
  <si>
    <t>15DGHR0141</t>
  </si>
  <si>
    <t>2015-11-27</t>
  </si>
  <si>
    <t>jsadhfg</t>
  </si>
  <si>
    <t>asdfjsdjk</t>
  </si>
  <si>
    <t>23</t>
  </si>
  <si>
    <t>Closed</t>
  </si>
  <si>
    <t>sajgfhj</t>
  </si>
  <si>
    <t>sdjhugd</t>
  </si>
  <si>
    <t>jsdhgfhsg</t>
  </si>
  <si>
    <t>327586435</t>
  </si>
  <si>
    <t>usdyfusdh</t>
  </si>
  <si>
    <t>238768746</t>
  </si>
  <si>
    <t>634765786</t>
  </si>
  <si>
    <t>sajfhjsdkg</t>
  </si>
  <si>
    <t>sdgfdh</t>
  </si>
  <si>
    <t>1500</t>
  </si>
  <si>
    <t>45</t>
  </si>
  <si>
    <t>15DGAP0144</t>
  </si>
  <si>
    <t>Retail</t>
  </si>
  <si>
    <t>fhfgcn</t>
  </si>
  <si>
    <t>jkxdfg</t>
  </si>
  <si>
    <t>600</t>
  </si>
  <si>
    <t>56</t>
  </si>
  <si>
    <t>vcnvb</t>
  </si>
  <si>
    <t>dfkjgklh</t>
  </si>
  <si>
    <t>uhsdfhg</t>
  </si>
  <si>
    <t>657836457</t>
  </si>
  <si>
    <t>uhdsfhi</t>
  </si>
  <si>
    <t>832748236</t>
  </si>
  <si>
    <t>3647823</t>
  </si>
  <si>
    <t>sdhjkhq</t>
  </si>
  <si>
    <t>dfjhskjd</t>
  </si>
  <si>
    <t>1250</t>
  </si>
  <si>
    <t>15DGJK0145</t>
  </si>
  <si>
    <t>ryhfgj</t>
  </si>
  <si>
    <t>vbmv</t>
  </si>
  <si>
    <t>ert</t>
  </si>
  <si>
    <t>fdhfgj</t>
  </si>
  <si>
    <t>gff</t>
  </si>
  <si>
    <t>5765</t>
  </si>
  <si>
    <t>fdhgfj</t>
  </si>
  <si>
    <t>65756687</t>
  </si>
  <si>
    <t>456575</t>
  </si>
  <si>
    <t>gfjgh</t>
  </si>
  <si>
    <t>vgjnvbm</t>
  </si>
  <si>
    <t>15DGMG0146</t>
  </si>
  <si>
    <t>fbhcvnnj</t>
  </si>
  <si>
    <t>xcbcv</t>
  </si>
  <si>
    <t>xfbhvc</t>
  </si>
  <si>
    <t>cvncn</t>
  </si>
  <si>
    <t>54676</t>
  </si>
  <si>
    <t>fhfg</t>
  </si>
  <si>
    <t>546457</t>
  </si>
  <si>
    <t>4145434</t>
  </si>
  <si>
    <t>cvncvn</t>
  </si>
  <si>
    <t>fhfgjf</t>
  </si>
  <si>
    <t>15DGRJ0149</t>
  </si>
  <si>
    <t>sadhbhsb</t>
  </si>
  <si>
    <t>sdg</t>
  </si>
  <si>
    <t>54</t>
  </si>
  <si>
    <t>asvhv</t>
  </si>
  <si>
    <t>jhsadfhg</t>
  </si>
  <si>
    <t>yggsayg</t>
  </si>
  <si>
    <t>761473278</t>
  </si>
  <si>
    <t>safgg</t>
  </si>
  <si>
    <t>832426</t>
  </si>
  <si>
    <t>8394887</t>
  </si>
  <si>
    <t>sdfjhfdh</t>
  </si>
  <si>
    <t>15DGKL0153</t>
  </si>
  <si>
    <t>hjsabfhs</t>
  </si>
  <si>
    <t>2500</t>
  </si>
  <si>
    <t>34</t>
  </si>
  <si>
    <t>jkHJAGSD</t>
  </si>
  <si>
    <t>jsdfhjgsf</t>
  </si>
  <si>
    <t>gshgshdfg</t>
  </si>
  <si>
    <t>6426387645</t>
  </si>
  <si>
    <t>dsufysdy</t>
  </si>
  <si>
    <t>632646784362</t>
  </si>
  <si>
    <t>832734757634</t>
  </si>
  <si>
    <t>dshjhsdhgh</t>
  </si>
  <si>
    <t>15DGTR0158</t>
  </si>
  <si>
    <t>2015-11-28</t>
  </si>
  <si>
    <t>fdhjh</t>
  </si>
  <si>
    <t>dfhfhhgj</t>
  </si>
  <si>
    <t>1010 HE</t>
  </si>
  <si>
    <t>xdsgdh</t>
  </si>
  <si>
    <t>shdhhdhds</t>
  </si>
  <si>
    <t>afjsdkjhfajsd</t>
  </si>
  <si>
    <t>983234937475</t>
  </si>
  <si>
    <t>jhsdjhfs</t>
  </si>
  <si>
    <t>897878978798</t>
  </si>
  <si>
    <t>98743247865866</t>
  </si>
  <si>
    <t>jrhskjfhjfsdg</t>
  </si>
  <si>
    <t>fgfgjgh</t>
  </si>
  <si>
    <t>15DGUP0159</t>
  </si>
  <si>
    <t>nxnn</t>
  </si>
  <si>
    <t>gfgghf</t>
  </si>
  <si>
    <t>910 H</t>
  </si>
  <si>
    <t>sdlkjksdj</t>
  </si>
  <si>
    <t>ajsfshdkjfh</t>
  </si>
  <si>
    <t>jhsdfhfshd</t>
  </si>
  <si>
    <t>874237497439</t>
  </si>
  <si>
    <t>kdfjjdkf</t>
  </si>
  <si>
    <t>759837873434</t>
  </si>
  <si>
    <t>748723738973</t>
  </si>
  <si>
    <t>sakhksdjfhjk</t>
  </si>
  <si>
    <t>ngfvjkds</t>
  </si>
  <si>
    <t>78</t>
  </si>
  <si>
    <t>15DGUP0160</t>
  </si>
  <si>
    <t>fhfgjfj</t>
  </si>
  <si>
    <t>asjhvbhjfa</t>
  </si>
  <si>
    <t>1010 R</t>
  </si>
  <si>
    <t>55</t>
  </si>
  <si>
    <t>dfhgdf</t>
  </si>
  <si>
    <t>jkdsjksdh</t>
  </si>
  <si>
    <t>ytufrusdgfhfg</t>
  </si>
  <si>
    <t>632786237867</t>
  </si>
  <si>
    <t>fghjgfj</t>
  </si>
  <si>
    <t>765967978905</t>
  </si>
  <si>
    <t>798475973456767</t>
  </si>
  <si>
    <t>dfhdf</t>
  </si>
  <si>
    <t>15DGKA0161</t>
  </si>
  <si>
    <t>dfhgf</t>
  </si>
  <si>
    <t>rehuyjg</t>
  </si>
  <si>
    <t>1010</t>
  </si>
  <si>
    <t>sderyhgt</t>
  </si>
  <si>
    <t>sdgfksjh</t>
  </si>
  <si>
    <t>hsgdfsdg</t>
  </si>
  <si>
    <t>832965832465</t>
  </si>
  <si>
    <t>76897079067</t>
  </si>
  <si>
    <t>7236782356</t>
  </si>
  <si>
    <t>sdgdf</t>
  </si>
  <si>
    <t>15DGAP0164</t>
  </si>
  <si>
    <t>ssda</t>
  </si>
  <si>
    <t>15DGAP0163</t>
  </si>
  <si>
    <t>kgfkgjkn</t>
  </si>
  <si>
    <t>Vijayawada</t>
  </si>
  <si>
    <t>30</t>
  </si>
  <si>
    <t>Hari</t>
  </si>
  <si>
    <t>Mr. Kalyan Ankam</t>
  </si>
  <si>
    <t>9060000991</t>
  </si>
  <si>
    <t>9000000000</t>
  </si>
  <si>
    <t>5555555555</t>
  </si>
  <si>
    <t>15DGAP0171</t>
  </si>
  <si>
    <t>hgwqhg``</t>
  </si>
  <si>
    <t>58</t>
  </si>
  <si>
    <t>dsgdf</t>
  </si>
  <si>
    <t>9948437757</t>
  </si>
  <si>
    <t>8888888888</t>
  </si>
  <si>
    <t>15DGBR0176</t>
  </si>
  <si>
    <t>hg;lkjg;lhjk;lhg</t>
  </si>
  <si>
    <t>25</t>
  </si>
  <si>
    <t>bkjglklk;gh</t>
  </si>
  <si>
    <t>8088991617</t>
  </si>
  <si>
    <t>J.Hariprasad</t>
  </si>
  <si>
    <t>7411002658</t>
  </si>
  <si>
    <t>15DGAP0180</t>
  </si>
  <si>
    <t>PQR</t>
  </si>
  <si>
    <t>350</t>
  </si>
  <si>
    <t>15DGGU0185</t>
  </si>
  <si>
    <t>gfhbjgkgl;</t>
  </si>
  <si>
    <t>gkjnhkgf</t>
  </si>
  <si>
    <t>9035705530</t>
  </si>
  <si>
    <t>9790093110</t>
  </si>
  <si>
    <t>9993654217</t>
  </si>
  <si>
    <t>15DGBR0192</t>
  </si>
  <si>
    <t>';dflkhg</t>
  </si>
  <si>
    <t>38</t>
  </si>
  <si>
    <t>ghbjlo</t>
  </si>
  <si>
    <t>9980140134</t>
  </si>
  <si>
    <t>1245638525</t>
  </si>
  <si>
    <t>15DGAR0197</t>
  </si>
  <si>
    <t>mdfl;gkhlf;k</t>
  </si>
  <si>
    <t>nsdlkgj</t>
  </si>
  <si>
    <t>08042885000</t>
  </si>
  <si>
    <t>454554565566</t>
  </si>
  <si>
    <t>21</t>
  </si>
  <si>
    <t>15DGAS0199</t>
  </si>
  <si>
    <t>gjlhkg</t>
  </si>
  <si>
    <t>12</t>
  </si>
  <si>
    <t>gfbfdkjgh</t>
  </si>
  <si>
    <t>9945206109</t>
  </si>
  <si>
    <t>14525633122</t>
  </si>
  <si>
    <t>15DGCH0201</t>
  </si>
  <si>
    <t>ashbcgjs</t>
  </si>
  <si>
    <t>5236565554</t>
  </si>
  <si>
    <t>15DGCH0203</t>
  </si>
  <si>
    <t>900000000</t>
  </si>
  <si>
    <t>14526352555</t>
  </si>
  <si>
    <t>15DGGO0204</t>
  </si>
  <si>
    <t>gjhhgmjhn</t>
  </si>
  <si>
    <t>15</t>
  </si>
  <si>
    <t>gfvnhgbvnh</t>
  </si>
  <si>
    <t>543546546526</t>
  </si>
  <si>
    <t>15DGAR0205</t>
  </si>
  <si>
    <t>fvhgnj</t>
  </si>
  <si>
    <t>14</t>
  </si>
  <si>
    <t>cvbvbn</t>
  </si>
  <si>
    <t>9900005550</t>
  </si>
  <si>
    <t>7829279988</t>
  </si>
  <si>
    <t>4565634536456</t>
  </si>
  <si>
    <t>15DGTN0212</t>
  </si>
  <si>
    <t>2015-11-29</t>
  </si>
  <si>
    <t>Good</t>
  </si>
  <si>
    <t>7867867867</t>
  </si>
  <si>
    <t>787</t>
  </si>
  <si>
    <t>678768</t>
  </si>
  <si>
    <t>SE Coimbatore</t>
  </si>
  <si>
    <t>78686786787</t>
  </si>
  <si>
    <t>8088312485</t>
  </si>
  <si>
    <t>878678678768678</t>
  </si>
  <si>
    <t>dfgfgfg</t>
  </si>
  <si>
    <t>5656</t>
  </si>
  <si>
    <t>15DGTN0214</t>
  </si>
  <si>
    <t>pipiopoip</t>
  </si>
  <si>
    <t>tyutyutyu</t>
  </si>
  <si>
    <t>67567</t>
  </si>
  <si>
    <t>cbcvbcv</t>
  </si>
  <si>
    <t>nsmdbfbs</t>
  </si>
  <si>
    <t>HSAGDHFS</t>
  </si>
  <si>
    <t>76472363745</t>
  </si>
  <si>
    <t>67676767</t>
  </si>
  <si>
    <t>76756765767</t>
  </si>
  <si>
    <t>7657567667</t>
  </si>
  <si>
    <t>677767</t>
  </si>
  <si>
    <t>15DGCH0213</t>
  </si>
  <si>
    <t>fgfjgfk</t>
  </si>
  <si>
    <t>fjlhkjf</t>
  </si>
  <si>
    <t>54656565665</t>
  </si>
  <si>
    <t>15DGTN0219</t>
  </si>
  <si>
    <t>89789</t>
  </si>
  <si>
    <t>789789789</t>
  </si>
  <si>
    <t>87897979</t>
  </si>
  <si>
    <t>sdshghsd</t>
  </si>
  <si>
    <t>jgdgfdshg</t>
  </si>
  <si>
    <t>897423623638</t>
  </si>
  <si>
    <t>shdhfsdjh</t>
  </si>
  <si>
    <t>87482377233</t>
  </si>
  <si>
    <t>678678768678</t>
  </si>
  <si>
    <t>ksdhsdkjhj</t>
  </si>
  <si>
    <t>15DGUK0220</t>
  </si>
  <si>
    <t>789789</t>
  </si>
  <si>
    <t>67657</t>
  </si>
  <si>
    <t>989879</t>
  </si>
  <si>
    <t>hekjshfjkshd</t>
  </si>
  <si>
    <t>ugyfuhsdg</t>
  </si>
  <si>
    <t>287682356653</t>
  </si>
  <si>
    <t>9789787567</t>
  </si>
  <si>
    <t>15DGAS0223</t>
  </si>
  <si>
    <t>889789</t>
  </si>
  <si>
    <t>90</t>
  </si>
  <si>
    <t>78979</t>
  </si>
  <si>
    <t>hjfghgdf</t>
  </si>
  <si>
    <t>ghgdsfsdh</t>
  </si>
  <si>
    <t>78789789789</t>
  </si>
  <si>
    <t>89789789789</t>
  </si>
  <si>
    <t>07907</t>
  </si>
  <si>
    <t>7907907</t>
  </si>
  <si>
    <t>89789789</t>
  </si>
  <si>
    <t>15DGBR0224</t>
  </si>
  <si>
    <t>hjlk'jh</t>
  </si>
  <si>
    <t>glkgjkg</t>
  </si>
  <si>
    <t>9686246246</t>
  </si>
  <si>
    <t>9980563252</t>
  </si>
  <si>
    <t>1656546545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</si>
</sst>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64" formatCode="_(* #,##0.00_);_(* \(#,##0.00\);_(* &quot;-&quot;??_);_(@_)"/>
    <numFmt numFmtId="165" formatCode="0.0"/>
    <numFmt numFmtId="166" formatCode="_ * #,##0_ ;_ * \-#,##0_ ;_ * &quot;-&quot;??_ ;_ @_ "/>
    <numFmt numFmtId="167" formatCode="_ * #,##0.0_ ;_ * \-#,##0.0_ ;_ * &quot;-&quot;??_ ;_ @_ "/>
    <numFmt numFmtId="168" formatCode="_(* #,##0_);_(* \(#,##0\);_(* &quot;-&quot;??_);_(@_)"/>
    <numFmt numFmtId="169" formatCode="_ * #,##0.000_ ;_ * \-#,##0.000_ ;_ * &quot;-&quot;??_ ;_ @_ "/>
  </numFmts>
  <fonts count="4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indexed="9"/>
      <name val="Arial"/>
      <family val="2"/>
    </font>
    <font>
      <sz val="10"/>
      <color theme="0"/>
      <name val="Arial"/>
      <family val="2"/>
    </font>
    <font>
      <b/>
      <vertAlign val="superscript"/>
      <sz val="10"/>
      <color indexed="8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  <scheme val="minor"/>
    </font>
    <font>
      <sz val="10"/>
      <color indexed="8"/>
      <name val="Calibri"/>
      <family val="2"/>
      <scheme val="minor"/>
    </font>
    <font>
      <b/>
      <vertAlign val="superscript"/>
      <sz val="10"/>
      <color indexed="9"/>
      <name val="Arial"/>
      <family val="2"/>
    </font>
    <font>
      <vertAlign val="superscript"/>
      <sz val="10"/>
      <color indexed="9"/>
      <name val="Arial"/>
      <family val="2"/>
    </font>
    <font>
      <b/>
      <sz val="10"/>
      <color indexed="8"/>
      <name val="Arial"/>
      <family val="2"/>
    </font>
    <font>
      <sz val="11"/>
      <color theme="1"/>
      <name val="Arial Narrow"/>
      <family val="2"/>
    </font>
    <font>
      <sz val="11"/>
      <color rgb="FF000000"/>
      <name val="Arial Narrow"/>
      <family val="2"/>
    </font>
    <font>
      <sz val="11"/>
      <name val="Arial Narrow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i/>
      <sz val="10"/>
      <color theme="1"/>
      <name val="Arial Narrow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Century Gothic"/>
      <family val="2"/>
    </font>
    <font>
      <sz val="10"/>
      <color theme="1"/>
      <name val="Calibri"/>
      <family val="2"/>
      <scheme val="minor"/>
    </font>
    <font>
      <sz val="10"/>
      <color theme="1"/>
      <name val="Cambria"/>
      <family val="1"/>
      <scheme val="major"/>
    </font>
  </fonts>
  <fills count="1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A452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7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1" fillId="0" borderId="0"/>
    <xf numFmtId="164" fontId="3" fillId="0" borderId="0" applyFont="0" applyFill="0" applyBorder="0" applyAlignment="0" applyProtection="0"/>
  </cellStyleXfs>
  <cellXfs count="407">
    <xf numFmtId="0" fontId="0" fillId="0" borderId="0" xfId="0"/>
    <xf numFmtId="0" fontId="5" fillId="0" borderId="0" xfId="0" applyFont="1"/>
    <xf numFmtId="0" fontId="5" fillId="0" borderId="8" xfId="0" applyFont="1" applyBorder="1"/>
    <xf numFmtId="0" fontId="5" fillId="0" borderId="38" xfId="0" applyFont="1" applyBorder="1"/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39" xfId="0" applyFont="1" applyBorder="1" applyAlignment="1">
      <alignment horizontal="center" vertical="center"/>
    </xf>
    <xf numFmtId="0" fontId="6" fillId="0" borderId="39" xfId="0" applyFont="1" applyBorder="1" applyAlignment="1">
      <alignment vertical="center" wrapText="1"/>
    </xf>
    <xf numFmtId="0" fontId="6" fillId="0" borderId="39" xfId="0" applyFont="1" applyBorder="1" applyAlignment="1">
      <alignment horizontal="center"/>
    </xf>
    <xf numFmtId="0" fontId="6" fillId="0" borderId="39" xfId="0" applyFont="1" applyBorder="1" applyAlignment="1">
      <alignment horizont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left" vertical="center" wrapText="1"/>
    </xf>
    <xf numFmtId="165" fontId="7" fillId="0" borderId="39" xfId="0" applyNumberFormat="1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38" xfId="0" applyFont="1" applyFill="1" applyBorder="1" applyAlignment="1">
      <alignment horizontal="center" wrapText="1"/>
    </xf>
    <xf numFmtId="0" fontId="6" fillId="0" borderId="38" xfId="0" applyFont="1" applyBorder="1" applyAlignment="1">
      <alignment horizontal="left" vertical="center" wrapText="1"/>
    </xf>
    <xf numFmtId="0" fontId="6" fillId="0" borderId="38" xfId="0" applyFont="1" applyFill="1" applyBorder="1" applyAlignment="1">
      <alignment horizontal="center" vertical="center" wrapText="1"/>
    </xf>
    <xf numFmtId="2" fontId="6" fillId="0" borderId="38" xfId="0" applyNumberFormat="1" applyFont="1" applyFill="1" applyBorder="1" applyAlignment="1">
      <alignment horizontal="center" vertical="center" wrapText="1"/>
    </xf>
    <xf numFmtId="2" fontId="5" fillId="0" borderId="38" xfId="0" applyNumberFormat="1" applyFont="1" applyBorder="1"/>
    <xf numFmtId="0" fontId="3" fillId="0" borderId="0" xfId="0" applyFont="1"/>
    <xf numFmtId="2" fontId="5" fillId="0" borderId="0" xfId="0" applyNumberFormat="1" applyFont="1"/>
    <xf numFmtId="2" fontId="5" fillId="0" borderId="8" xfId="0" applyNumberFormat="1" applyFont="1" applyBorder="1"/>
    <xf numFmtId="1" fontId="5" fillId="0" borderId="0" xfId="0" applyNumberFormat="1" applyFont="1"/>
    <xf numFmtId="0" fontId="6" fillId="0" borderId="38" xfId="0" applyFont="1" applyFill="1" applyBorder="1" applyAlignment="1">
      <alignment horizontal="left" vertical="center" wrapText="1"/>
    </xf>
    <xf numFmtId="0" fontId="6" fillId="0" borderId="38" xfId="0" applyFont="1" applyFill="1" applyBorder="1" applyAlignment="1">
      <alignment horizontal="left" vertical="center"/>
    </xf>
    <xf numFmtId="0" fontId="6" fillId="0" borderId="38" xfId="0" applyFont="1" applyBorder="1" applyAlignment="1">
      <alignment horizontal="left" wrapText="1"/>
    </xf>
    <xf numFmtId="0" fontId="6" fillId="0" borderId="38" xfId="0" applyFont="1" applyBorder="1" applyAlignment="1">
      <alignment wrapText="1"/>
    </xf>
    <xf numFmtId="0" fontId="6" fillId="0" borderId="38" xfId="0" applyFont="1" applyFill="1" applyBorder="1" applyAlignment="1">
      <alignment horizontal="center" vertical="center"/>
    </xf>
    <xf numFmtId="0" fontId="6" fillId="0" borderId="38" xfId="0" applyFont="1" applyBorder="1" applyAlignment="1">
      <alignment horizontal="center"/>
    </xf>
    <xf numFmtId="0" fontId="6" fillId="0" borderId="38" xfId="0" applyFont="1" applyFill="1" applyBorder="1" applyAlignment="1">
      <alignment horizontal="center"/>
    </xf>
    <xf numFmtId="1" fontId="6" fillId="0" borderId="38" xfId="0" applyNumberFormat="1" applyFont="1" applyFill="1" applyBorder="1" applyAlignment="1">
      <alignment horizontal="center" vertical="center"/>
    </xf>
    <xf numFmtId="0" fontId="6" fillId="0" borderId="38" xfId="0" quotePrefix="1" applyFont="1" applyFill="1" applyBorder="1" applyAlignment="1">
      <alignment horizontal="center" vertical="center"/>
    </xf>
    <xf numFmtId="0" fontId="6" fillId="6" borderId="38" xfId="0" applyFont="1" applyFill="1" applyBorder="1" applyAlignment="1">
      <alignment horizontal="center" wrapText="1"/>
    </xf>
    <xf numFmtId="17" fontId="6" fillId="6" borderId="38" xfId="0" quotePrefix="1" applyNumberFormat="1" applyFont="1" applyFill="1" applyBorder="1" applyAlignment="1">
      <alignment vertical="center" wrapText="1"/>
    </xf>
    <xf numFmtId="0" fontId="3" fillId="10" borderId="0" xfId="0" applyFont="1" applyFill="1"/>
    <xf numFmtId="0" fontId="6" fillId="0" borderId="38" xfId="0" applyFont="1" applyBorder="1" applyAlignment="1">
      <alignment vertical="center" wrapText="1"/>
    </xf>
    <xf numFmtId="0" fontId="6" fillId="6" borderId="38" xfId="0" applyFont="1" applyFill="1" applyBorder="1" applyAlignment="1">
      <alignment vertical="center" wrapText="1"/>
    </xf>
    <xf numFmtId="167" fontId="5" fillId="0" borderId="8" xfId="0" applyNumberFormat="1" applyFont="1" applyBorder="1"/>
    <xf numFmtId="167" fontId="5" fillId="0" borderId="18" xfId="0" applyNumberFormat="1" applyFont="1" applyBorder="1"/>
    <xf numFmtId="167" fontId="5" fillId="0" borderId="23" xfId="0" applyNumberFormat="1" applyFont="1" applyBorder="1"/>
    <xf numFmtId="167" fontId="5" fillId="0" borderId="25" xfId="0" applyNumberFormat="1" applyFont="1" applyBorder="1"/>
    <xf numFmtId="167" fontId="5" fillId="0" borderId="19" xfId="0" applyNumberFormat="1" applyFont="1" applyBorder="1"/>
    <xf numFmtId="167" fontId="5" fillId="0" borderId="26" xfId="0" applyNumberFormat="1" applyFont="1" applyBorder="1"/>
    <xf numFmtId="167" fontId="5" fillId="0" borderId="36" xfId="0" applyNumberFormat="1" applyFont="1" applyBorder="1"/>
    <xf numFmtId="167" fontId="5" fillId="0" borderId="30" xfId="0" applyNumberFormat="1" applyFont="1" applyBorder="1"/>
    <xf numFmtId="167" fontId="5" fillId="0" borderId="20" xfId="0" applyNumberFormat="1" applyFont="1" applyBorder="1"/>
    <xf numFmtId="0" fontId="5" fillId="0" borderId="56" xfId="0" applyFont="1" applyBorder="1"/>
    <xf numFmtId="0" fontId="5" fillId="11" borderId="77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9" fillId="0" borderId="0" xfId="0" applyFont="1"/>
    <xf numFmtId="0" fontId="9" fillId="11" borderId="77" xfId="0" applyFont="1" applyFill="1" applyBorder="1"/>
    <xf numFmtId="167" fontId="5" fillId="13" borderId="18" xfId="0" applyNumberFormat="1" applyFont="1" applyFill="1" applyBorder="1"/>
    <xf numFmtId="167" fontId="5" fillId="13" borderId="25" xfId="0" applyNumberFormat="1" applyFont="1" applyFill="1" applyBorder="1"/>
    <xf numFmtId="167" fontId="5" fillId="13" borderId="36" xfId="0" applyNumberFormat="1" applyFont="1" applyFill="1" applyBorder="1"/>
    <xf numFmtId="0" fontId="5" fillId="13" borderId="38" xfId="0" applyFont="1" applyFill="1" applyBorder="1"/>
    <xf numFmtId="167" fontId="3" fillId="13" borderId="4" xfId="0" applyNumberFormat="1" applyFont="1" applyFill="1" applyBorder="1"/>
    <xf numFmtId="0" fontId="5" fillId="13" borderId="4" xfId="0" applyFont="1" applyFill="1" applyBorder="1"/>
    <xf numFmtId="167" fontId="5" fillId="13" borderId="4" xfId="0" applyNumberFormat="1" applyFont="1" applyFill="1" applyBorder="1"/>
    <xf numFmtId="167" fontId="5" fillId="13" borderId="17" xfId="0" applyNumberFormat="1" applyFont="1" applyFill="1" applyBorder="1"/>
    <xf numFmtId="167" fontId="5" fillId="13" borderId="19" xfId="0" applyNumberFormat="1" applyFont="1" applyFill="1" applyBorder="1"/>
    <xf numFmtId="167" fontId="5" fillId="13" borderId="28" xfId="0" applyNumberFormat="1" applyFont="1" applyFill="1" applyBorder="1"/>
    <xf numFmtId="167" fontId="5" fillId="13" borderId="24" xfId="0" applyNumberFormat="1" applyFont="1" applyFill="1" applyBorder="1"/>
    <xf numFmtId="167" fontId="5" fillId="13" borderId="27" xfId="0" applyNumberFormat="1" applyFont="1" applyFill="1" applyBorder="1"/>
    <xf numFmtId="167" fontId="5" fillId="13" borderId="29" xfId="0" applyNumberFormat="1" applyFont="1" applyFill="1" applyBorder="1"/>
    <xf numFmtId="1" fontId="5" fillId="13" borderId="38" xfId="0" applyNumberFormat="1" applyFont="1" applyFill="1" applyBorder="1"/>
    <xf numFmtId="2" fontId="5" fillId="13" borderId="4" xfId="0" applyNumberFormat="1" applyFont="1" applyFill="1" applyBorder="1"/>
    <xf numFmtId="166" fontId="3" fillId="0" borderId="0" xfId="0" applyNumberFormat="1" applyFont="1" applyAlignment="1">
      <alignment horizontal="center" vertical="center"/>
    </xf>
    <xf numFmtId="0" fontId="6" fillId="0" borderId="38" xfId="0" applyFont="1" applyBorder="1" applyAlignment="1">
      <alignment vertical="center" wrapText="1"/>
    </xf>
    <xf numFmtId="0" fontId="6" fillId="6" borderId="38" xfId="0" applyFont="1" applyFill="1" applyBorder="1" applyAlignment="1">
      <alignment vertical="center" wrapText="1"/>
    </xf>
    <xf numFmtId="0" fontId="0" fillId="0" borderId="38" xfId="0" applyBorder="1"/>
    <xf numFmtId="0" fontId="3" fillId="0" borderId="38" xfId="0" applyFont="1" applyBorder="1"/>
    <xf numFmtId="0" fontId="9" fillId="0" borderId="0" xfId="0" applyFont="1" applyAlignment="1">
      <alignment horizontal="center"/>
    </xf>
    <xf numFmtId="0" fontId="13" fillId="8" borderId="38" xfId="0" applyFont="1" applyFill="1" applyBorder="1" applyAlignment="1">
      <alignment horizontal="center" wrapText="1"/>
    </xf>
    <xf numFmtId="0" fontId="13" fillId="8" borderId="38" xfId="0" applyFont="1" applyFill="1" applyBorder="1" applyAlignment="1">
      <alignment horizontal="center" vertical="center" wrapText="1"/>
    </xf>
    <xf numFmtId="0" fontId="13" fillId="8" borderId="38" xfId="0" applyFont="1" applyFill="1" applyBorder="1" applyAlignment="1" applyProtection="1">
      <alignment horizontal="center" wrapText="1"/>
      <protection locked="0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3" fillId="9" borderId="3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4" fillId="0" borderId="38" xfId="0" applyFont="1" applyBorder="1" applyAlignment="1">
      <alignment horizontal="center" wrapText="1"/>
    </xf>
    <xf numFmtId="0" fontId="14" fillId="0" borderId="38" xfId="0" applyFont="1" applyBorder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wrapText="1"/>
    </xf>
    <xf numFmtId="0" fontId="3" fillId="15" borderId="38" xfId="0" applyFont="1" applyFill="1" applyBorder="1" applyAlignment="1">
      <alignment vertical="center" wrapText="1"/>
    </xf>
    <xf numFmtId="0" fontId="3" fillId="0" borderId="38" xfId="0" applyFont="1" applyBorder="1" applyAlignment="1">
      <alignment vertical="center" wrapText="1"/>
    </xf>
    <xf numFmtId="0" fontId="3" fillId="0" borderId="38" xfId="0" applyFont="1" applyBorder="1" applyAlignment="1">
      <alignment horizontal="center"/>
    </xf>
    <xf numFmtId="0" fontId="15" fillId="12" borderId="38" xfId="0" applyFont="1" applyFill="1" applyBorder="1" applyAlignment="1">
      <alignment horizontal="center" vertical="center" wrapText="1"/>
    </xf>
    <xf numFmtId="0" fontId="3" fillId="12" borderId="0" xfId="0" applyFont="1" applyFill="1" applyAlignment="1">
      <alignment horizontal="center" vertical="center"/>
    </xf>
    <xf numFmtId="0" fontId="3" fillId="0" borderId="38" xfId="0" applyFont="1" applyFill="1" applyBorder="1" applyAlignment="1">
      <alignment horizontal="center" wrapText="1"/>
    </xf>
    <xf numFmtId="0" fontId="3" fillId="0" borderId="38" xfId="0" applyFont="1" applyFill="1" applyBorder="1" applyAlignment="1">
      <alignment horizontal="left" vertical="center" wrapText="1"/>
    </xf>
    <xf numFmtId="0" fontId="3" fillId="0" borderId="38" xfId="0" applyFont="1" applyFill="1" applyBorder="1" applyAlignment="1">
      <alignment horizontal="center" vertical="center" wrapText="1"/>
    </xf>
    <xf numFmtId="1" fontId="3" fillId="0" borderId="38" xfId="0" applyNumberFormat="1" applyFont="1" applyFill="1" applyBorder="1" applyAlignment="1">
      <alignment horizontal="center"/>
    </xf>
    <xf numFmtId="0" fontId="3" fillId="6" borderId="38" xfId="0" applyFont="1" applyFill="1" applyBorder="1" applyAlignment="1">
      <alignment horizontal="center" wrapText="1"/>
    </xf>
    <xf numFmtId="0" fontId="3" fillId="0" borderId="38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6" borderId="38" xfId="0" applyFont="1" applyFill="1" applyBorder="1" applyAlignment="1">
      <alignment vertical="center" wrapText="1"/>
    </xf>
    <xf numFmtId="0" fontId="3" fillId="0" borderId="38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2" fontId="5" fillId="13" borderId="56" xfId="0" applyNumberFormat="1" applyFont="1" applyFill="1" applyBorder="1" applyAlignment="1">
      <alignment horizontal="center"/>
    </xf>
    <xf numFmtId="2" fontId="5" fillId="13" borderId="57" xfId="0" applyNumberFormat="1" applyFont="1" applyFill="1" applyBorder="1" applyAlignment="1">
      <alignment horizontal="center"/>
    </xf>
    <xf numFmtId="2" fontId="5" fillId="13" borderId="9" xfId="0" applyNumberFormat="1" applyFont="1" applyFill="1" applyBorder="1" applyAlignment="1">
      <alignment horizontal="center"/>
    </xf>
    <xf numFmtId="2" fontId="5" fillId="13" borderId="1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13" borderId="4" xfId="0" applyFont="1" applyFill="1" applyBorder="1"/>
    <xf numFmtId="0" fontId="3" fillId="13" borderId="9" xfId="0" applyFont="1" applyFill="1" applyBorder="1"/>
    <xf numFmtId="167" fontId="3" fillId="13" borderId="48" xfId="0" applyNumberFormat="1" applyFont="1" applyFill="1" applyBorder="1"/>
    <xf numFmtId="0" fontId="3" fillId="13" borderId="0" xfId="0" applyFont="1" applyFill="1"/>
    <xf numFmtId="2" fontId="3" fillId="13" borderId="0" xfId="0" applyNumberFormat="1" applyFont="1" applyFill="1"/>
    <xf numFmtId="1" fontId="3" fillId="0" borderId="0" xfId="0" applyNumberFormat="1" applyFont="1"/>
    <xf numFmtId="0" fontId="3" fillId="0" borderId="0" xfId="0" applyFont="1" applyAlignment="1">
      <alignment horizontal="center" readingOrder="1"/>
    </xf>
    <xf numFmtId="0" fontId="16" fillId="0" borderId="72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 readingOrder="1"/>
    </xf>
    <xf numFmtId="2" fontId="3" fillId="0" borderId="69" xfId="0" applyNumberFormat="1" applyFont="1" applyBorder="1" applyAlignment="1">
      <alignment horizontal="center" wrapText="1"/>
    </xf>
    <xf numFmtId="0" fontId="3" fillId="0" borderId="69" xfId="0" applyFont="1" applyBorder="1" applyAlignment="1">
      <alignment horizontal="center" wrapText="1"/>
    </xf>
    <xf numFmtId="167" fontId="13" fillId="12" borderId="74" xfId="0" applyNumberFormat="1" applyFont="1" applyFill="1" applyBorder="1" applyAlignment="1">
      <alignment horizontal="center" vertical="center" wrapText="1" readingOrder="1"/>
    </xf>
    <xf numFmtId="166" fontId="16" fillId="0" borderId="72" xfId="0" applyNumberFormat="1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3" fillId="12" borderId="74" xfId="0" applyFont="1" applyFill="1" applyBorder="1" applyAlignment="1">
      <alignment horizontal="center" vertical="center" wrapText="1" readingOrder="1"/>
    </xf>
    <xf numFmtId="166" fontId="17" fillId="0" borderId="1" xfId="0" applyNumberFormat="1" applyFont="1" applyBorder="1" applyAlignment="1">
      <alignment horizontal="center" vertical="center" wrapText="1"/>
    </xf>
    <xf numFmtId="43" fontId="18" fillId="0" borderId="43" xfId="0" applyNumberFormat="1" applyFont="1" applyBorder="1" applyAlignment="1">
      <alignment horizontal="center" wrapText="1"/>
    </xf>
    <xf numFmtId="43" fontId="18" fillId="0" borderId="43" xfId="0" applyNumberFormat="1" applyFont="1" applyBorder="1" applyAlignment="1">
      <alignment horizontal="center" vertical="center" wrapText="1"/>
    </xf>
    <xf numFmtId="0" fontId="16" fillId="9" borderId="38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3" fillId="0" borderId="38" xfId="0" applyFont="1" applyBorder="1" applyAlignment="1">
      <alignment wrapText="1"/>
    </xf>
    <xf numFmtId="0" fontId="3" fillId="0" borderId="38" xfId="0" applyFont="1" applyFill="1" applyBorder="1" applyAlignment="1">
      <alignment wrapText="1"/>
    </xf>
    <xf numFmtId="0" fontId="3" fillId="0" borderId="38" xfId="0" applyFont="1" applyFill="1" applyBorder="1"/>
    <xf numFmtId="49" fontId="14" fillId="9" borderId="38" xfId="0" applyNumberFormat="1" applyFont="1" applyFill="1" applyBorder="1" applyAlignment="1">
      <alignment horizontal="left" vertical="center" wrapText="1"/>
    </xf>
    <xf numFmtId="0" fontId="3" fillId="13" borderId="2" xfId="0" applyFont="1" applyFill="1" applyBorder="1"/>
    <xf numFmtId="0" fontId="3" fillId="0" borderId="3" xfId="0" applyFont="1" applyBorder="1"/>
    <xf numFmtId="0" fontId="3" fillId="0" borderId="5" xfId="0" applyFont="1" applyBorder="1"/>
    <xf numFmtId="0" fontId="3" fillId="13" borderId="6" xfId="0" applyFont="1" applyFill="1" applyBorder="1"/>
    <xf numFmtId="0" fontId="3" fillId="0" borderId="7" xfId="0" applyFont="1" applyBorder="1"/>
    <xf numFmtId="0" fontId="3" fillId="0" borderId="8" xfId="0" applyFont="1" applyFill="1" applyBorder="1"/>
    <xf numFmtId="0" fontId="3" fillId="0" borderId="10" xfId="0" applyFont="1" applyBorder="1"/>
    <xf numFmtId="0" fontId="3" fillId="13" borderId="11" xfId="0" applyFont="1" applyFill="1" applyBorder="1"/>
    <xf numFmtId="0" fontId="3" fillId="0" borderId="12" xfId="0" applyFont="1" applyBorder="1"/>
    <xf numFmtId="0" fontId="3" fillId="0" borderId="8" xfId="0" applyFont="1" applyBorder="1"/>
    <xf numFmtId="167" fontId="3" fillId="0" borderId="4" xfId="0" applyNumberFormat="1" applyFont="1" applyBorder="1"/>
    <xf numFmtId="2" fontId="3" fillId="0" borderId="0" xfId="0" applyNumberFormat="1" applyFont="1"/>
    <xf numFmtId="2" fontId="3" fillId="13" borderId="4" xfId="0" applyNumberFormat="1" applyFont="1" applyFill="1" applyBorder="1"/>
    <xf numFmtId="2" fontId="3" fillId="0" borderId="3" xfId="0" applyNumberFormat="1" applyFont="1" applyBorder="1"/>
    <xf numFmtId="2" fontId="3" fillId="0" borderId="5" xfId="0" applyNumberFormat="1" applyFont="1" applyBorder="1"/>
    <xf numFmtId="2" fontId="3" fillId="0" borderId="7" xfId="0" applyNumberFormat="1" applyFont="1" applyBorder="1"/>
    <xf numFmtId="2" fontId="3" fillId="0" borderId="8" xfId="0" applyNumberFormat="1" applyFont="1" applyFill="1" applyBorder="1"/>
    <xf numFmtId="2" fontId="3" fillId="0" borderId="10" xfId="0" applyNumberFormat="1" applyFont="1" applyBorder="1"/>
    <xf numFmtId="2" fontId="3" fillId="0" borderId="12" xfId="0" applyNumberFormat="1" applyFont="1" applyBorder="1"/>
    <xf numFmtId="2" fontId="3" fillId="0" borderId="8" xfId="0" applyNumberFormat="1" applyFont="1" applyBorder="1"/>
    <xf numFmtId="0" fontId="15" fillId="12" borderId="38" xfId="0" applyFont="1" applyFill="1" applyBorder="1" applyAlignment="1">
      <alignment horizontal="left" vertical="center" wrapText="1"/>
    </xf>
    <xf numFmtId="0" fontId="3" fillId="0" borderId="38" xfId="0" applyFont="1" applyBorder="1" applyAlignment="1">
      <alignment horizontal="center" wrapText="1"/>
    </xf>
    <xf numFmtId="2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wrapText="1"/>
    </xf>
    <xf numFmtId="0" fontId="15" fillId="5" borderId="38" xfId="0" applyFont="1" applyFill="1" applyBorder="1" applyAlignment="1">
      <alignment horizontal="center" vertical="center" wrapText="1"/>
    </xf>
    <xf numFmtId="0" fontId="16" fillId="0" borderId="72" xfId="0" applyFont="1" applyBorder="1" applyAlignment="1">
      <alignment horizontal="center" wrapText="1" readingOrder="1"/>
    </xf>
    <xf numFmtId="2" fontId="16" fillId="0" borderId="72" xfId="0" applyNumberFormat="1" applyFont="1" applyBorder="1" applyAlignment="1">
      <alignment horizontal="center" wrapText="1" readingOrder="1"/>
    </xf>
    <xf numFmtId="0" fontId="16" fillId="0" borderId="0" xfId="0" applyFont="1" applyFill="1" applyBorder="1" applyAlignment="1">
      <alignment horizontal="center" wrapText="1" readingOrder="1"/>
    </xf>
    <xf numFmtId="2" fontId="15" fillId="12" borderId="38" xfId="0" applyNumberFormat="1" applyFont="1" applyFill="1" applyBorder="1" applyAlignment="1">
      <alignment horizontal="center" vertical="center" wrapText="1"/>
    </xf>
    <xf numFmtId="0" fontId="19" fillId="0" borderId="69" xfId="0" applyFont="1" applyBorder="1" applyAlignment="1">
      <alignment horizontal="center" wrapText="1" readingOrder="1"/>
    </xf>
    <xf numFmtId="0" fontId="16" fillId="0" borderId="69" xfId="0" applyFont="1" applyBorder="1" applyAlignment="1">
      <alignment horizontal="center" wrapText="1" readingOrder="1"/>
    </xf>
    <xf numFmtId="0" fontId="16" fillId="0" borderId="70" xfId="0" applyFont="1" applyBorder="1" applyAlignment="1">
      <alignment horizontal="center" wrapText="1" readingOrder="1"/>
    </xf>
    <xf numFmtId="0" fontId="13" fillId="8" borderId="69" xfId="0" applyFont="1" applyFill="1" applyBorder="1" applyAlignment="1">
      <alignment horizontal="center" wrapText="1" readingOrder="1"/>
    </xf>
    <xf numFmtId="0" fontId="3" fillId="8" borderId="69" xfId="0" applyFont="1" applyFill="1" applyBorder="1" applyAlignment="1">
      <alignment horizontal="center" wrapText="1"/>
    </xf>
    <xf numFmtId="167" fontId="16" fillId="0" borderId="72" xfId="0" applyNumberFormat="1" applyFont="1" applyBorder="1" applyAlignment="1">
      <alignment horizontal="center" vertical="center" wrapText="1" readingOrder="1"/>
    </xf>
    <xf numFmtId="43" fontId="16" fillId="0" borderId="72" xfId="0" applyNumberFormat="1" applyFont="1" applyBorder="1" applyAlignment="1">
      <alignment horizontal="center" vertical="center" wrapText="1"/>
    </xf>
    <xf numFmtId="166" fontId="16" fillId="11" borderId="72" xfId="0" applyNumberFormat="1" applyFont="1" applyFill="1" applyBorder="1" applyAlignment="1">
      <alignment horizontal="center" vertical="center" wrapText="1"/>
    </xf>
    <xf numFmtId="166" fontId="16" fillId="14" borderId="72" xfId="0" applyNumberFormat="1" applyFont="1" applyFill="1" applyBorder="1" applyAlignment="1">
      <alignment horizontal="center" vertical="center" wrapText="1"/>
    </xf>
    <xf numFmtId="168" fontId="16" fillId="14" borderId="72" xfId="0" applyNumberFormat="1" applyFont="1" applyFill="1" applyBorder="1" applyAlignment="1">
      <alignment horizontal="center" vertical="center" wrapText="1"/>
    </xf>
    <xf numFmtId="166" fontId="16" fillId="0" borderId="72" xfId="0" applyNumberFormat="1" applyFont="1" applyBorder="1" applyAlignment="1">
      <alignment horizontal="center" vertical="center" wrapText="1" readingOrder="1"/>
    </xf>
    <xf numFmtId="166" fontId="20" fillId="2" borderId="1" xfId="0" applyNumberFormat="1" applyFont="1" applyFill="1" applyBorder="1" applyAlignment="1">
      <alignment horizontal="center" vertical="center" wrapText="1" readingOrder="1"/>
    </xf>
    <xf numFmtId="166" fontId="17" fillId="0" borderId="1" xfId="0" applyNumberFormat="1" applyFont="1" applyBorder="1" applyAlignment="1">
      <alignment horizontal="center" vertical="center" wrapText="1" readingOrder="1"/>
    </xf>
    <xf numFmtId="166" fontId="17" fillId="3" borderId="1" xfId="0" applyNumberFormat="1" applyFont="1" applyFill="1" applyBorder="1" applyAlignment="1">
      <alignment horizontal="center" vertical="center" wrapText="1" readingOrder="1"/>
    </xf>
    <xf numFmtId="1" fontId="22" fillId="0" borderId="43" xfId="0" applyNumberFormat="1" applyFont="1" applyBorder="1" applyAlignment="1">
      <alignment horizontal="center" wrapText="1" readingOrder="1"/>
    </xf>
    <xf numFmtId="1" fontId="18" fillId="0" borderId="43" xfId="0" applyNumberFormat="1" applyFont="1" applyBorder="1" applyAlignment="1">
      <alignment horizontal="center" wrapText="1" readingOrder="1"/>
    </xf>
    <xf numFmtId="166" fontId="18" fillId="0" borderId="43" xfId="0" applyNumberFormat="1" applyFont="1" applyBorder="1" applyAlignment="1">
      <alignment horizontal="center" wrapText="1"/>
    </xf>
    <xf numFmtId="166" fontId="22" fillId="0" borderId="43" xfId="0" applyNumberFormat="1" applyFont="1" applyBorder="1" applyAlignment="1">
      <alignment horizontal="center" vertical="center" wrapText="1" readingOrder="1"/>
    </xf>
    <xf numFmtId="166" fontId="18" fillId="0" borderId="43" xfId="0" applyNumberFormat="1" applyFont="1" applyBorder="1" applyAlignment="1">
      <alignment horizontal="center" vertical="center" wrapText="1" readingOrder="1"/>
    </xf>
    <xf numFmtId="166" fontId="18" fillId="0" borderId="43" xfId="0" applyNumberFormat="1" applyFont="1" applyBorder="1" applyAlignment="1">
      <alignment horizontal="center" vertical="center" wrapText="1"/>
    </xf>
    <xf numFmtId="0" fontId="16" fillId="9" borderId="38" xfId="0" applyFont="1" applyFill="1" applyBorder="1" applyAlignment="1">
      <alignment horizontal="left" vertical="center" wrapText="1"/>
    </xf>
    <xf numFmtId="1" fontId="16" fillId="9" borderId="38" xfId="0" applyNumberFormat="1" applyFont="1" applyFill="1" applyBorder="1" applyAlignment="1">
      <alignment horizontal="center" vertical="center" wrapText="1"/>
    </xf>
    <xf numFmtId="0" fontId="17" fillId="0" borderId="40" xfId="0" applyFont="1" applyBorder="1" applyAlignment="1">
      <alignment horizontal="center" wrapText="1" readingOrder="1"/>
    </xf>
    <xf numFmtId="0" fontId="13" fillId="8" borderId="74" xfId="0" applyFont="1" applyFill="1" applyBorder="1" applyAlignment="1">
      <alignment horizontal="center" wrapText="1" readingOrder="1"/>
    </xf>
    <xf numFmtId="0" fontId="13" fillId="8" borderId="75" xfId="0" applyFont="1" applyFill="1" applyBorder="1" applyAlignment="1">
      <alignment horizontal="center" wrapText="1" readingOrder="1"/>
    </xf>
    <xf numFmtId="0" fontId="3" fillId="0" borderId="0" xfId="0" applyFont="1" applyAlignment="1"/>
    <xf numFmtId="0" fontId="3" fillId="13" borderId="13" xfId="0" applyFont="1" applyFill="1" applyBorder="1"/>
    <xf numFmtId="0" fontId="3" fillId="0" borderId="14" xfId="0" applyFont="1" applyBorder="1"/>
    <xf numFmtId="0" fontId="3" fillId="13" borderId="47" xfId="0" applyFont="1" applyFill="1" applyBorder="1"/>
    <xf numFmtId="0" fontId="3" fillId="13" borderId="0" xfId="0" applyFont="1" applyFill="1" applyBorder="1"/>
    <xf numFmtId="0" fontId="3" fillId="0" borderId="0" xfId="0" applyFont="1" applyBorder="1"/>
    <xf numFmtId="0" fontId="3" fillId="13" borderId="15" xfId="0" applyFont="1" applyFill="1" applyBorder="1"/>
    <xf numFmtId="0" fontId="3" fillId="0" borderId="16" xfId="0" applyFont="1" applyBorder="1"/>
    <xf numFmtId="0" fontId="23" fillId="9" borderId="38" xfId="0" applyFont="1" applyFill="1" applyBorder="1" applyAlignment="1">
      <alignment horizontal="center" vertical="center" wrapText="1"/>
    </xf>
    <xf numFmtId="167" fontId="3" fillId="13" borderId="49" xfId="0" applyNumberFormat="1" applyFont="1" applyFill="1" applyBorder="1"/>
    <xf numFmtId="167" fontId="3" fillId="13" borderId="13" xfId="0" applyNumberFormat="1" applyFont="1" applyFill="1" applyBorder="1"/>
    <xf numFmtId="167" fontId="3" fillId="0" borderId="14" xfId="0" applyNumberFormat="1" applyFont="1" applyBorder="1"/>
    <xf numFmtId="167" fontId="3" fillId="13" borderId="0" xfId="0" applyNumberFormat="1" applyFont="1" applyFill="1" applyBorder="1"/>
    <xf numFmtId="167" fontId="3" fillId="0" borderId="0" xfId="0" applyNumberFormat="1" applyFont="1" applyBorder="1"/>
    <xf numFmtId="167" fontId="3" fillId="13" borderId="21" xfId="0" applyNumberFormat="1" applyFont="1" applyFill="1" applyBorder="1"/>
    <xf numFmtId="167" fontId="3" fillId="0" borderId="22" xfId="0" applyNumberFormat="1" applyFont="1" applyBorder="1"/>
    <xf numFmtId="167" fontId="3" fillId="13" borderId="44" xfId="0" applyNumberFormat="1" applyFont="1" applyFill="1" applyBorder="1"/>
    <xf numFmtId="167" fontId="3" fillId="13" borderId="45" xfId="0" applyNumberFormat="1" applyFont="1" applyFill="1" applyBorder="1"/>
    <xf numFmtId="167" fontId="3" fillId="13" borderId="46" xfId="0" applyNumberFormat="1" applyFont="1" applyFill="1" applyBorder="1"/>
    <xf numFmtId="167" fontId="3" fillId="13" borderId="29" xfId="0" applyNumberFormat="1" applyFont="1" applyFill="1" applyBorder="1"/>
    <xf numFmtId="167" fontId="3" fillId="0" borderId="37" xfId="0" applyNumberFormat="1" applyFont="1" applyBorder="1"/>
    <xf numFmtId="1" fontId="3" fillId="13" borderId="0" xfId="0" applyNumberFormat="1" applyFont="1" applyFill="1"/>
    <xf numFmtId="2" fontId="3" fillId="13" borderId="9" xfId="0" applyNumberFormat="1" applyFont="1" applyFill="1" applyBorder="1"/>
    <xf numFmtId="2" fontId="3" fillId="13" borderId="11" xfId="0" applyNumberFormat="1" applyFont="1" applyFill="1" applyBorder="1"/>
    <xf numFmtId="2" fontId="3" fillId="13" borderId="2" xfId="0" applyNumberFormat="1" applyFont="1" applyFill="1" applyBorder="1"/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/>
    <xf numFmtId="2" fontId="3" fillId="13" borderId="13" xfId="0" applyNumberFormat="1" applyFont="1" applyFill="1" applyBorder="1"/>
    <xf numFmtId="0" fontId="3" fillId="0" borderId="4" xfId="0" applyFont="1" applyBorder="1"/>
    <xf numFmtId="2" fontId="3" fillId="13" borderId="0" xfId="0" applyNumberFormat="1" applyFont="1" applyFill="1" applyBorder="1"/>
    <xf numFmtId="2" fontId="3" fillId="0" borderId="14" xfId="0" applyNumberFormat="1" applyFont="1" applyBorder="1"/>
    <xf numFmtId="2" fontId="3" fillId="0" borderId="0" xfId="0" applyNumberFormat="1" applyFont="1" applyBorder="1"/>
    <xf numFmtId="2" fontId="3" fillId="13" borderId="15" xfId="0" applyNumberFormat="1" applyFont="1" applyFill="1" applyBorder="1"/>
    <xf numFmtId="2" fontId="3" fillId="0" borderId="16" xfId="0" applyNumberFormat="1" applyFont="1" applyBorder="1"/>
    <xf numFmtId="167" fontId="3" fillId="13" borderId="31" xfId="0" applyNumberFormat="1" applyFont="1" applyFill="1" applyBorder="1"/>
    <xf numFmtId="167" fontId="3" fillId="0" borderId="32" xfId="0" applyNumberFormat="1" applyFont="1" applyBorder="1"/>
    <xf numFmtId="167" fontId="3" fillId="13" borderId="33" xfId="0" applyNumberFormat="1" applyFont="1" applyFill="1" applyBorder="1"/>
    <xf numFmtId="167" fontId="3" fillId="0" borderId="34" xfId="0" applyNumberFormat="1" applyFont="1" applyBorder="1"/>
    <xf numFmtId="167" fontId="3" fillId="13" borderId="35" xfId="0" applyNumberFormat="1" applyFont="1" applyFill="1" applyBorder="1"/>
    <xf numFmtId="167" fontId="3" fillId="0" borderId="30" xfId="0" applyNumberFormat="1" applyFont="1" applyBorder="1"/>
    <xf numFmtId="0" fontId="24" fillId="0" borderId="69" xfId="0" applyFont="1" applyBorder="1" applyAlignment="1">
      <alignment horizontal="center" wrapText="1" readingOrder="1"/>
    </xf>
    <xf numFmtId="0" fontId="25" fillId="0" borderId="69" xfId="0" applyFont="1" applyBorder="1" applyAlignment="1">
      <alignment horizontal="center" wrapText="1" readingOrder="1"/>
    </xf>
    <xf numFmtId="1" fontId="3" fillId="0" borderId="69" xfId="0" applyNumberFormat="1" applyFont="1" applyBorder="1" applyAlignment="1">
      <alignment horizontal="center" wrapText="1"/>
    </xf>
    <xf numFmtId="167" fontId="13" fillId="12" borderId="73" xfId="0" applyNumberFormat="1" applyFont="1" applyFill="1" applyBorder="1" applyAlignment="1">
      <alignment horizontal="center" vertical="center" wrapText="1" readingOrder="1"/>
    </xf>
    <xf numFmtId="167" fontId="13" fillId="12" borderId="75" xfId="0" applyNumberFormat="1" applyFont="1" applyFill="1" applyBorder="1" applyAlignment="1">
      <alignment horizontal="center" vertical="center" wrapText="1" readingOrder="1"/>
    </xf>
    <xf numFmtId="167" fontId="19" fillId="0" borderId="72" xfId="0" applyNumberFormat="1" applyFont="1" applyBorder="1" applyAlignment="1">
      <alignment horizontal="center" vertical="center" wrapText="1" readingOrder="1"/>
    </xf>
    <xf numFmtId="166" fontId="19" fillId="0" borderId="72" xfId="0" applyNumberFormat="1" applyFont="1" applyBorder="1" applyAlignment="1">
      <alignment horizontal="center" vertical="center" wrapText="1"/>
    </xf>
    <xf numFmtId="43" fontId="19" fillId="0" borderId="72" xfId="0" applyNumberFormat="1" applyFont="1" applyBorder="1" applyAlignment="1">
      <alignment horizontal="center" vertical="center" wrapText="1"/>
    </xf>
    <xf numFmtId="0" fontId="26" fillId="12" borderId="38" xfId="0" applyFont="1" applyFill="1" applyBorder="1" applyAlignment="1">
      <alignment horizontal="center" vertical="center" wrapText="1"/>
    </xf>
    <xf numFmtId="0" fontId="13" fillId="12" borderId="73" xfId="0" applyFont="1" applyFill="1" applyBorder="1" applyAlignment="1">
      <alignment horizontal="center" vertical="center" wrapText="1" readingOrder="1"/>
    </xf>
    <xf numFmtId="0" fontId="13" fillId="12" borderId="75" xfId="0" applyFont="1" applyFill="1" applyBorder="1" applyAlignment="1">
      <alignment horizontal="center" vertical="center" wrapText="1" readingOrder="1"/>
    </xf>
    <xf numFmtId="0" fontId="3" fillId="11" borderId="77" xfId="0" applyFont="1" applyFill="1" applyBorder="1"/>
    <xf numFmtId="0" fontId="26" fillId="12" borderId="73" xfId="0" applyFont="1" applyFill="1" applyBorder="1" applyAlignment="1">
      <alignment horizontal="center" vertical="center" wrapText="1" readingOrder="1"/>
    </xf>
    <xf numFmtId="0" fontId="26" fillId="12" borderId="75" xfId="0" applyFont="1" applyFill="1" applyBorder="1" applyAlignment="1">
      <alignment horizontal="center" vertical="center" wrapText="1" readingOrder="1"/>
    </xf>
    <xf numFmtId="166" fontId="23" fillId="0" borderId="72" xfId="0" applyNumberFormat="1" applyFont="1" applyBorder="1" applyAlignment="1">
      <alignment horizontal="center" vertical="center" wrapText="1" readingOrder="1"/>
    </xf>
    <xf numFmtId="166" fontId="23" fillId="0" borderId="72" xfId="0" applyNumberFormat="1" applyFont="1" applyBorder="1" applyAlignment="1">
      <alignment horizontal="center" vertical="center" wrapText="1"/>
    </xf>
    <xf numFmtId="166" fontId="23" fillId="11" borderId="72" xfId="0" applyNumberFormat="1" applyFont="1" applyFill="1" applyBorder="1" applyAlignment="1">
      <alignment horizontal="center" vertical="center" wrapText="1"/>
    </xf>
    <xf numFmtId="166" fontId="23" fillId="14" borderId="72" xfId="0" applyNumberFormat="1" applyFont="1" applyFill="1" applyBorder="1" applyAlignment="1">
      <alignment horizontal="center" vertical="center" wrapText="1"/>
    </xf>
    <xf numFmtId="0" fontId="10" fillId="0" borderId="0" xfId="0" applyFont="1"/>
    <xf numFmtId="166" fontId="20" fillId="12" borderId="1" xfId="0" applyNumberFormat="1" applyFont="1" applyFill="1" applyBorder="1" applyAlignment="1">
      <alignment horizontal="center" vertical="center" wrapText="1" readingOrder="1"/>
    </xf>
    <xf numFmtId="166" fontId="17" fillId="4" borderId="1" xfId="0" applyNumberFormat="1" applyFont="1" applyFill="1" applyBorder="1" applyAlignment="1">
      <alignment horizontal="center" vertical="center" wrapText="1" readingOrder="1"/>
    </xf>
    <xf numFmtId="166" fontId="30" fillId="0" borderId="1" xfId="0" applyNumberFormat="1" applyFont="1" applyBorder="1" applyAlignment="1">
      <alignment horizontal="center" vertical="center" wrapText="1" readingOrder="1"/>
    </xf>
    <xf numFmtId="166" fontId="30" fillId="0" borderId="1" xfId="0" applyNumberFormat="1" applyFont="1" applyBorder="1" applyAlignment="1">
      <alignment horizontal="center" vertical="center" wrapText="1"/>
    </xf>
    <xf numFmtId="0" fontId="16" fillId="0" borderId="71" xfId="0" applyFont="1" applyBorder="1" applyAlignment="1">
      <alignment horizontal="center" wrapText="1" readingOrder="1"/>
    </xf>
    <xf numFmtId="0" fontId="3" fillId="9" borderId="0" xfId="0" applyFont="1" applyFill="1"/>
    <xf numFmtId="2" fontId="16" fillId="0" borderId="38" xfId="0" applyNumberFormat="1" applyFont="1" applyBorder="1" applyAlignment="1">
      <alignment horizontal="center" vertical="center" wrapText="1"/>
    </xf>
    <xf numFmtId="0" fontId="16" fillId="11" borderId="38" xfId="0" applyFont="1" applyFill="1" applyBorder="1" applyAlignment="1">
      <alignment horizontal="center" vertical="center" wrapText="1"/>
    </xf>
    <xf numFmtId="0" fontId="19" fillId="11" borderId="38" xfId="0" applyFont="1" applyFill="1" applyBorder="1" applyAlignment="1">
      <alignment horizontal="center" vertical="center" wrapText="1"/>
    </xf>
    <xf numFmtId="167" fontId="3" fillId="0" borderId="4" xfId="0" applyNumberFormat="1" applyFont="1" applyFill="1" applyBorder="1"/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wrapText="1"/>
    </xf>
    <xf numFmtId="0" fontId="32" fillId="9" borderId="38" xfId="0" applyFont="1" applyFill="1" applyBorder="1" applyAlignment="1">
      <alignment horizontal="center" vertical="center" wrapText="1"/>
    </xf>
    <xf numFmtId="0" fontId="32" fillId="9" borderId="38" xfId="0" applyFont="1" applyFill="1" applyBorder="1" applyAlignment="1">
      <alignment horizontal="left" vertical="center" wrapText="1"/>
    </xf>
    <xf numFmtId="0" fontId="32" fillId="0" borderId="38" xfId="0" applyFont="1" applyBorder="1" applyAlignment="1">
      <alignment horizontal="center" vertical="center" wrapText="1"/>
    </xf>
    <xf numFmtId="0" fontId="33" fillId="0" borderId="0" xfId="0" applyFont="1"/>
    <xf numFmtId="2" fontId="32" fillId="0" borderId="38" xfId="0" applyNumberFormat="1" applyFont="1" applyBorder="1" applyAlignment="1">
      <alignment horizontal="center" vertical="center" wrapText="1"/>
    </xf>
    <xf numFmtId="1" fontId="3" fillId="0" borderId="38" xfId="1" applyNumberFormat="1" applyFont="1" applyFill="1" applyBorder="1" applyAlignment="1">
      <alignment horizontal="center" vertical="top" readingOrder="1"/>
    </xf>
    <xf numFmtId="0" fontId="17" fillId="0" borderId="1" xfId="0" applyFont="1" applyBorder="1" applyAlignment="1">
      <alignment horizontal="right" wrapText="1" readingOrder="1"/>
    </xf>
    <xf numFmtId="0" fontId="3" fillId="0" borderId="0" xfId="0" applyFont="1" applyAlignment="1">
      <alignment horizontal="right" readingOrder="1"/>
    </xf>
    <xf numFmtId="0" fontId="34" fillId="0" borderId="0" xfId="0" applyFont="1"/>
    <xf numFmtId="0" fontId="35" fillId="0" borderId="0" xfId="0" applyFont="1"/>
    <xf numFmtId="0" fontId="34" fillId="0" borderId="0" xfId="0" applyFont="1" applyAlignment="1">
      <alignment wrapText="1"/>
    </xf>
    <xf numFmtId="0" fontId="34" fillId="0" borderId="0" xfId="0" applyFont="1" applyAlignment="1"/>
    <xf numFmtId="0" fontId="36" fillId="0" borderId="0" xfId="0" applyFont="1" applyAlignment="1">
      <alignment wrapText="1"/>
    </xf>
    <xf numFmtId="0" fontId="23" fillId="0" borderId="38" xfId="0" applyFont="1" applyBorder="1" applyAlignment="1">
      <alignment horizontal="center" vertical="center" wrapText="1"/>
    </xf>
    <xf numFmtId="166" fontId="3" fillId="0" borderId="0" xfId="0" applyNumberFormat="1" applyFont="1"/>
    <xf numFmtId="169" fontId="16" fillId="0" borderId="72" xfId="0" applyNumberFormat="1" applyFont="1" applyBorder="1" applyAlignment="1">
      <alignment horizontal="center" vertical="center" wrapText="1"/>
    </xf>
    <xf numFmtId="1" fontId="18" fillId="0" borderId="43" xfId="0" applyNumberFormat="1" applyFont="1" applyBorder="1" applyAlignment="1">
      <alignment horizontal="center" vertical="center" wrapText="1"/>
    </xf>
    <xf numFmtId="1" fontId="16" fillId="0" borderId="72" xfId="0" applyNumberFormat="1" applyFont="1" applyBorder="1" applyAlignment="1">
      <alignment horizontal="center" vertical="center" wrapText="1"/>
    </xf>
    <xf numFmtId="1" fontId="23" fillId="0" borderId="72" xfId="0" applyNumberFormat="1" applyFont="1" applyBorder="1" applyAlignment="1">
      <alignment horizontal="center" vertical="center" wrapText="1"/>
    </xf>
    <xf numFmtId="3" fontId="16" fillId="0" borderId="72" xfId="0" applyNumberFormat="1" applyFont="1" applyBorder="1" applyAlignment="1">
      <alignment horizontal="center" vertical="center" wrapText="1"/>
    </xf>
    <xf numFmtId="3" fontId="23" fillId="0" borderId="72" xfId="0" applyNumberFormat="1" applyFont="1" applyBorder="1" applyAlignment="1">
      <alignment horizontal="center" vertical="center" wrapText="1"/>
    </xf>
    <xf numFmtId="1" fontId="13" fillId="12" borderId="73" xfId="0" applyNumberFormat="1" applyFont="1" applyFill="1" applyBorder="1" applyAlignment="1">
      <alignment horizontal="center" vertical="center" wrapText="1" readingOrder="1"/>
    </xf>
    <xf numFmtId="1" fontId="13" fillId="12" borderId="75" xfId="0" applyNumberFormat="1" applyFont="1" applyFill="1" applyBorder="1" applyAlignment="1">
      <alignment horizontal="center" vertical="center" wrapText="1" readingOrder="1"/>
    </xf>
    <xf numFmtId="1" fontId="13" fillId="12" borderId="74" xfId="0" applyNumberFormat="1" applyFont="1" applyFill="1" applyBorder="1" applyAlignment="1">
      <alignment horizontal="center" vertical="center" wrapText="1" readingOrder="1"/>
    </xf>
    <xf numFmtId="1" fontId="16" fillId="0" borderId="72" xfId="0" applyNumberFormat="1" applyFont="1" applyBorder="1" applyAlignment="1">
      <alignment horizontal="center" wrapText="1"/>
    </xf>
    <xf numFmtId="1" fontId="16" fillId="0" borderId="72" xfId="0" applyNumberFormat="1" applyFont="1" applyBorder="1" applyAlignment="1">
      <alignment horizontal="center" wrapText="1" readingOrder="1"/>
    </xf>
    <xf numFmtId="1" fontId="16" fillId="9" borderId="72" xfId="0" applyNumberFormat="1" applyFont="1" applyFill="1" applyBorder="1" applyAlignment="1">
      <alignment horizontal="center" wrapText="1"/>
    </xf>
    <xf numFmtId="1" fontId="16" fillId="11" borderId="72" xfId="0" applyNumberFormat="1" applyFont="1" applyFill="1" applyBorder="1" applyAlignment="1">
      <alignment horizontal="center" wrapText="1"/>
    </xf>
    <xf numFmtId="1" fontId="19" fillId="0" borderId="72" xfId="0" applyNumberFormat="1" applyFont="1" applyBorder="1" applyAlignment="1">
      <alignment horizontal="center" wrapText="1" readingOrder="1"/>
    </xf>
    <xf numFmtId="1" fontId="3" fillId="11" borderId="77" xfId="0" applyNumberFormat="1" applyFont="1" applyFill="1" applyBorder="1"/>
    <xf numFmtId="1" fontId="24" fillId="0" borderId="69" xfId="0" applyNumberFormat="1" applyFont="1" applyBorder="1" applyAlignment="1">
      <alignment horizontal="center" wrapText="1" readingOrder="1"/>
    </xf>
    <xf numFmtId="1" fontId="16" fillId="0" borderId="69" xfId="0" applyNumberFormat="1" applyFont="1" applyBorder="1" applyAlignment="1">
      <alignment horizontal="center" wrapText="1" readingOrder="1"/>
    </xf>
    <xf numFmtId="0" fontId="37" fillId="0" borderId="72" xfId="0" applyFont="1" applyBorder="1" applyAlignment="1">
      <alignment horizontal="center" vertical="center" wrapText="1" readingOrder="1"/>
    </xf>
    <xf numFmtId="0" fontId="37" fillId="16" borderId="72" xfId="0" applyFont="1" applyFill="1" applyBorder="1" applyAlignment="1">
      <alignment horizontal="center" vertical="center" wrapText="1" readingOrder="1"/>
    </xf>
    <xf numFmtId="0" fontId="38" fillId="0" borderId="72" xfId="0" applyFont="1" applyBorder="1" applyAlignment="1">
      <alignment horizontal="center" vertical="center" wrapText="1" readingOrder="1"/>
    </xf>
    <xf numFmtId="0" fontId="37" fillId="7" borderId="72" xfId="0" applyFont="1" applyFill="1" applyBorder="1" applyAlignment="1">
      <alignment horizontal="center" vertical="center" wrapText="1" readingOrder="1"/>
    </xf>
    <xf numFmtId="0" fontId="14" fillId="0" borderId="38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33" fillId="0" borderId="38" xfId="0" applyFont="1" applyBorder="1" applyAlignment="1">
      <alignment horizontal="center" vertical="center"/>
    </xf>
    <xf numFmtId="0" fontId="16" fillId="0" borderId="38" xfId="0" applyFont="1" applyBorder="1" applyAlignment="1">
      <alignment vertical="center" wrapText="1"/>
    </xf>
    <xf numFmtId="0" fontId="33" fillId="0" borderId="38" xfId="0" applyFont="1" applyBorder="1" applyAlignment="1">
      <alignment vertical="center"/>
    </xf>
    <xf numFmtId="0" fontId="3" fillId="9" borderId="38" xfId="0" applyFont="1" applyFill="1" applyBorder="1" applyAlignment="1">
      <alignment horizontal="center" wrapText="1"/>
    </xf>
    <xf numFmtId="1" fontId="15" fillId="12" borderId="38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1" fontId="37" fillId="0" borderId="72" xfId="0" applyNumberFormat="1" applyFont="1" applyBorder="1" applyAlignment="1">
      <alignment horizontal="center" vertical="center" wrapText="1" readingOrder="1"/>
    </xf>
    <xf numFmtId="0" fontId="3" fillId="12" borderId="38" xfId="0" applyFont="1" applyFill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/>
    </xf>
    <xf numFmtId="0" fontId="13" fillId="12" borderId="73" xfId="0" applyFont="1" applyFill="1" applyBorder="1" applyAlignment="1">
      <alignment horizontal="center" vertical="center" wrapText="1" readingOrder="1"/>
    </xf>
    <xf numFmtId="2" fontId="16" fillId="9" borderId="39" xfId="0" applyNumberFormat="1" applyFont="1" applyFill="1" applyBorder="1" applyAlignment="1">
      <alignment vertical="center" wrapText="1"/>
    </xf>
    <xf numFmtId="2" fontId="16" fillId="9" borderId="38" xfId="0" applyNumberFormat="1" applyFont="1" applyFill="1" applyBorder="1" applyAlignment="1">
      <alignment horizontal="center" vertical="center" wrapText="1"/>
    </xf>
    <xf numFmtId="2" fontId="16" fillId="9" borderId="38" xfId="0" applyNumberFormat="1" applyFont="1" applyFill="1" applyBorder="1" applyAlignment="1">
      <alignment vertical="center" wrapText="1"/>
    </xf>
    <xf numFmtId="2" fontId="39" fillId="0" borderId="38" xfId="6" applyNumberFormat="1" applyFont="1" applyBorder="1" applyAlignment="1">
      <alignment horizontal="center" vertical="center" wrapText="1"/>
    </xf>
    <xf numFmtId="2" fontId="19" fillId="11" borderId="3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38" xfId="0" applyFont="1" applyBorder="1" applyAlignment="1">
      <alignment vertical="center" wrapText="1"/>
    </xf>
    <xf numFmtId="0" fontId="3" fillId="0" borderId="38" xfId="0" applyFont="1" applyBorder="1" applyAlignment="1">
      <alignment vertical="center" wrapText="1" readingOrder="1"/>
    </xf>
    <xf numFmtId="0" fontId="3" fillId="0" borderId="38" xfId="0" applyFont="1" applyBorder="1" applyAlignment="1">
      <alignment horizontal="center" vertical="center" wrapText="1" readingOrder="1"/>
    </xf>
    <xf numFmtId="0" fontId="16" fillId="0" borderId="38" xfId="0" applyFont="1" applyBorder="1" applyAlignment="1">
      <alignment horizontal="left" vertical="center" wrapText="1" readingOrder="1"/>
    </xf>
    <xf numFmtId="0" fontId="16" fillId="0" borderId="38" xfId="0" applyFont="1" applyBorder="1" applyAlignment="1">
      <alignment horizontal="center" vertical="center" wrapText="1" readingOrder="1"/>
    </xf>
    <xf numFmtId="0" fontId="40" fillId="0" borderId="38" xfId="0" applyFont="1" applyBorder="1"/>
    <xf numFmtId="0" fontId="41" fillId="0" borderId="38" xfId="0" applyFont="1" applyBorder="1" applyAlignment="1">
      <alignment horizontal="left" vertical="center"/>
    </xf>
    <xf numFmtId="0" fontId="41" fillId="0" borderId="38" xfId="0" applyFont="1" applyBorder="1" applyAlignment="1">
      <alignment horizontal="center" vertical="center"/>
    </xf>
    <xf numFmtId="2" fontId="5" fillId="0" borderId="78" xfId="0" applyNumberFormat="1" applyFont="1" applyBorder="1" applyAlignment="1">
      <alignment horizontal="center"/>
    </xf>
    <xf numFmtId="0" fontId="5" fillId="0" borderId="78" xfId="0" applyFont="1" applyBorder="1" applyAlignment="1">
      <alignment horizontal="center"/>
    </xf>
    <xf numFmtId="0" fontId="5" fillId="0" borderId="76" xfId="0" applyFont="1" applyBorder="1" applyAlignment="1">
      <alignment horizontal="center"/>
    </xf>
    <xf numFmtId="2" fontId="5" fillId="11" borderId="38" xfId="0" applyNumberFormat="1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3" fillId="0" borderId="38" xfId="0" applyFont="1" applyBorder="1" applyAlignment="1">
      <alignment horizontal="center" wrapText="1"/>
    </xf>
    <xf numFmtId="166" fontId="29" fillId="12" borderId="41" xfId="0" applyNumberFormat="1" applyFont="1" applyFill="1" applyBorder="1" applyAlignment="1">
      <alignment horizontal="center" vertical="center" wrapText="1" readingOrder="1"/>
    </xf>
    <xf numFmtId="166" fontId="29" fillId="12" borderId="42" xfId="0" applyNumberFormat="1" applyFont="1" applyFill="1" applyBorder="1" applyAlignment="1">
      <alignment horizontal="center" vertical="center" wrapText="1" readingOrder="1"/>
    </xf>
    <xf numFmtId="166" fontId="28" fillId="12" borderId="41" xfId="0" applyNumberFormat="1" applyFont="1" applyFill="1" applyBorder="1" applyAlignment="1">
      <alignment horizontal="center" vertical="center" wrapText="1"/>
    </xf>
    <xf numFmtId="166" fontId="28" fillId="12" borderId="42" xfId="0" applyNumberFormat="1" applyFont="1" applyFill="1" applyBorder="1" applyAlignment="1">
      <alignment horizontal="center" vertical="center" wrapText="1"/>
    </xf>
    <xf numFmtId="166" fontId="15" fillId="12" borderId="52" xfId="0" applyNumberFormat="1" applyFont="1" applyFill="1" applyBorder="1" applyAlignment="1">
      <alignment horizontal="center" vertical="center" wrapText="1" readingOrder="1"/>
    </xf>
    <xf numFmtId="166" fontId="15" fillId="12" borderId="53" xfId="0" applyNumberFormat="1" applyFont="1" applyFill="1" applyBorder="1" applyAlignment="1">
      <alignment horizontal="center" vertical="center" wrapText="1" readingOrder="1"/>
    </xf>
    <xf numFmtId="166" fontId="20" fillId="12" borderId="40" xfId="0" applyNumberFormat="1" applyFont="1" applyFill="1" applyBorder="1" applyAlignment="1">
      <alignment horizontal="center" vertical="center" wrapText="1" readingOrder="1"/>
    </xf>
    <xf numFmtId="166" fontId="20" fillId="12" borderId="54" xfId="0" applyNumberFormat="1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/>
    </xf>
    <xf numFmtId="0" fontId="5" fillId="0" borderId="56" xfId="0" applyFont="1" applyBorder="1" applyAlignment="1">
      <alignment horizontal="center"/>
    </xf>
    <xf numFmtId="0" fontId="5" fillId="0" borderId="57" xfId="0" applyFont="1" applyBorder="1" applyAlignment="1">
      <alignment horizontal="center"/>
    </xf>
    <xf numFmtId="0" fontId="5" fillId="0" borderId="58" xfId="0" applyFont="1" applyBorder="1" applyAlignment="1">
      <alignment horizontal="center"/>
    </xf>
    <xf numFmtId="0" fontId="3" fillId="0" borderId="59" xfId="0" applyFont="1" applyBorder="1" applyAlignment="1">
      <alignment horizontal="center"/>
    </xf>
    <xf numFmtId="0" fontId="3" fillId="0" borderId="60" xfId="0" applyFont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0" fontId="5" fillId="0" borderId="61" xfId="0" applyFont="1" applyBorder="1" applyAlignment="1">
      <alignment horizontal="center"/>
    </xf>
    <xf numFmtId="0" fontId="5" fillId="0" borderId="62" xfId="0" applyFont="1" applyBorder="1" applyAlignment="1">
      <alignment horizontal="center"/>
    </xf>
    <xf numFmtId="0" fontId="5" fillId="0" borderId="63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2" fontId="5" fillId="13" borderId="56" xfId="0" applyNumberFormat="1" applyFont="1" applyFill="1" applyBorder="1" applyAlignment="1">
      <alignment horizontal="center"/>
    </xf>
    <xf numFmtId="2" fontId="5" fillId="0" borderId="57" xfId="0" applyNumberFormat="1" applyFont="1" applyBorder="1" applyAlignment="1">
      <alignment horizontal="center"/>
    </xf>
    <xf numFmtId="2" fontId="5" fillId="13" borderId="57" xfId="0" applyNumberFormat="1" applyFont="1" applyFill="1" applyBorder="1" applyAlignment="1">
      <alignment horizontal="center"/>
    </xf>
    <xf numFmtId="2" fontId="5" fillId="0" borderId="58" xfId="0" applyNumberFormat="1" applyFont="1" applyBorder="1" applyAlignment="1">
      <alignment horizontal="center"/>
    </xf>
    <xf numFmtId="2" fontId="3" fillId="13" borderId="12" xfId="0" applyNumberFormat="1" applyFont="1" applyFill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13" borderId="66" xfId="0" applyNumberFormat="1" applyFont="1" applyFill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2" fontId="3" fillId="13" borderId="59" xfId="0" applyNumberFormat="1" applyFont="1" applyFill="1" applyBorder="1" applyAlignment="1">
      <alignment horizontal="center"/>
    </xf>
    <xf numFmtId="2" fontId="3" fillId="0" borderId="60" xfId="0" applyNumberFormat="1" applyFont="1" applyBorder="1" applyAlignment="1">
      <alignment horizontal="center"/>
    </xf>
    <xf numFmtId="2" fontId="3" fillId="13" borderId="67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5" fillId="13" borderId="9" xfId="0" applyNumberFormat="1" applyFont="1" applyFill="1" applyBorder="1" applyAlignment="1">
      <alignment horizontal="center"/>
    </xf>
    <xf numFmtId="2" fontId="5" fillId="0" borderId="11" xfId="0" applyNumberFormat="1" applyFont="1" applyBorder="1" applyAlignment="1">
      <alignment horizontal="center"/>
    </xf>
    <xf numFmtId="2" fontId="5" fillId="13" borderId="11" xfId="0" applyNumberFormat="1" applyFont="1" applyFill="1" applyBorder="1" applyAlignment="1">
      <alignment horizontal="center"/>
    </xf>
    <xf numFmtId="2" fontId="5" fillId="0" borderId="64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2" fontId="5" fillId="13" borderId="0" xfId="0" applyNumberFormat="1" applyFont="1" applyFill="1" applyAlignment="1">
      <alignment horizontal="center" vertical="center"/>
    </xf>
    <xf numFmtId="2" fontId="3" fillId="13" borderId="50" xfId="0" applyNumberFormat="1" applyFont="1" applyFill="1" applyBorder="1" applyAlignment="1">
      <alignment horizontal="center"/>
    </xf>
    <xf numFmtId="2" fontId="3" fillId="0" borderId="51" xfId="0" applyNumberFormat="1" applyFont="1" applyBorder="1" applyAlignment="1">
      <alignment horizontal="center"/>
    </xf>
    <xf numFmtId="2" fontId="3" fillId="13" borderId="51" xfId="0" applyNumberFormat="1" applyFont="1" applyFill="1" applyBorder="1" applyAlignment="1">
      <alignment horizontal="center"/>
    </xf>
    <xf numFmtId="2" fontId="3" fillId="0" borderId="65" xfId="0" applyNumberFormat="1" applyFont="1" applyBorder="1" applyAlignment="1">
      <alignment horizontal="center"/>
    </xf>
    <xf numFmtId="2" fontId="3" fillId="13" borderId="56" xfId="0" applyNumberFormat="1" applyFont="1" applyFill="1" applyBorder="1" applyAlignment="1">
      <alignment horizontal="center"/>
    </xf>
    <xf numFmtId="2" fontId="3" fillId="0" borderId="57" xfId="0" applyNumberFormat="1" applyFont="1" applyBorder="1" applyAlignment="1">
      <alignment horizontal="center"/>
    </xf>
    <xf numFmtId="2" fontId="3" fillId="13" borderId="57" xfId="0" applyNumberFormat="1" applyFont="1" applyFill="1" applyBorder="1" applyAlignment="1">
      <alignment horizontal="center"/>
    </xf>
    <xf numFmtId="2" fontId="3" fillId="0" borderId="58" xfId="0" applyNumberFormat="1" applyFont="1" applyBorder="1" applyAlignment="1">
      <alignment horizontal="center"/>
    </xf>
    <xf numFmtId="166" fontId="21" fillId="12" borderId="40" xfId="0" applyNumberFormat="1" applyFont="1" applyFill="1" applyBorder="1" applyAlignment="1">
      <alignment horizontal="center" wrapText="1" readingOrder="1"/>
    </xf>
    <xf numFmtId="166" fontId="21" fillId="12" borderId="54" xfId="0" applyNumberFormat="1" applyFont="1" applyFill="1" applyBorder="1" applyAlignment="1">
      <alignment horizontal="center" wrapText="1" readingOrder="1"/>
    </xf>
    <xf numFmtId="0" fontId="17" fillId="0" borderId="40" xfId="0" applyFont="1" applyBorder="1" applyAlignment="1">
      <alignment horizontal="center" wrapText="1" readingOrder="1"/>
    </xf>
    <xf numFmtId="0" fontId="17" fillId="0" borderId="68" xfId="0" applyFont="1" applyBorder="1" applyAlignment="1">
      <alignment horizontal="center" wrapText="1" readingOrder="1"/>
    </xf>
    <xf numFmtId="0" fontId="17" fillId="0" borderId="52" xfId="0" applyFont="1" applyBorder="1" applyAlignment="1">
      <alignment horizontal="center" wrapText="1" readingOrder="1"/>
    </xf>
    <xf numFmtId="0" fontId="17" fillId="0" borderId="53" xfId="0" applyFont="1" applyBorder="1" applyAlignment="1">
      <alignment horizontal="center" wrapText="1" readingOrder="1"/>
    </xf>
    <xf numFmtId="0" fontId="17" fillId="0" borderId="52" xfId="0" applyFont="1" applyBorder="1" applyAlignment="1">
      <alignment horizontal="right" wrapText="1" readingOrder="1"/>
    </xf>
    <xf numFmtId="0" fontId="17" fillId="0" borderId="53" xfId="0" applyFont="1" applyBorder="1" applyAlignment="1">
      <alignment horizontal="right" wrapText="1" readingOrder="1"/>
    </xf>
    <xf numFmtId="0" fontId="17" fillId="0" borderId="40" xfId="0" applyFont="1" applyBorder="1" applyAlignment="1">
      <alignment horizontal="right" wrapText="1" readingOrder="1"/>
    </xf>
    <xf numFmtId="0" fontId="17" fillId="0" borderId="55" xfId="0" applyFont="1" applyBorder="1" applyAlignment="1">
      <alignment horizontal="right" wrapText="1" readingOrder="1"/>
    </xf>
    <xf numFmtId="0" fontId="17" fillId="0" borderId="54" xfId="0" applyFont="1" applyBorder="1" applyAlignment="1">
      <alignment horizontal="right" wrapText="1" readingOrder="1"/>
    </xf>
    <xf numFmtId="0" fontId="26" fillId="12" borderId="73" xfId="0" applyFont="1" applyFill="1" applyBorder="1" applyAlignment="1">
      <alignment horizontal="center" vertical="center" wrapText="1" readingOrder="1"/>
    </xf>
    <xf numFmtId="0" fontId="26" fillId="12" borderId="75" xfId="0" applyFont="1" applyFill="1" applyBorder="1" applyAlignment="1">
      <alignment horizontal="center" vertical="center" wrapText="1" readingOrder="1"/>
    </xf>
    <xf numFmtId="0" fontId="26" fillId="12" borderId="74" xfId="0" applyFont="1" applyFill="1" applyBorder="1" applyAlignment="1">
      <alignment horizontal="center" vertical="center" wrapText="1" readingOrder="1"/>
    </xf>
    <xf numFmtId="0" fontId="13" fillId="12" borderId="73" xfId="0" applyFont="1" applyFill="1" applyBorder="1" applyAlignment="1">
      <alignment horizontal="center" vertical="center" wrapText="1" readingOrder="1"/>
    </xf>
    <xf numFmtId="0" fontId="13" fillId="12" borderId="75" xfId="0" applyFont="1" applyFill="1" applyBorder="1" applyAlignment="1">
      <alignment horizontal="center" vertical="center" wrapText="1" readingOrder="1"/>
    </xf>
    <xf numFmtId="0" fontId="13" fillId="12" borderId="74" xfId="0" applyFont="1" applyFill="1" applyBorder="1" applyAlignment="1">
      <alignment horizontal="center" vertical="center" wrapText="1" readingOrder="1"/>
    </xf>
    <xf numFmtId="1" fontId="13" fillId="12" borderId="73" xfId="0" applyNumberFormat="1" applyFont="1" applyFill="1" applyBorder="1" applyAlignment="1">
      <alignment horizontal="center" vertical="center" wrapText="1" readingOrder="1"/>
    </xf>
    <xf numFmtId="1" fontId="13" fillId="12" borderId="75" xfId="0" applyNumberFormat="1" applyFont="1" applyFill="1" applyBorder="1" applyAlignment="1">
      <alignment horizontal="center" vertical="center" wrapText="1" readingOrder="1"/>
    </xf>
    <xf numFmtId="1" fontId="13" fillId="12" borderId="74" xfId="0" applyNumberFormat="1" applyFont="1" applyFill="1" applyBorder="1" applyAlignment="1">
      <alignment horizontal="center" vertical="center" wrapText="1" readingOrder="1"/>
    </xf>
    <xf numFmtId="167" fontId="13" fillId="12" borderId="73" xfId="0" applyNumberFormat="1" applyFont="1" applyFill="1" applyBorder="1" applyAlignment="1">
      <alignment horizontal="center" vertical="center" wrapText="1" readingOrder="1"/>
    </xf>
    <xf numFmtId="167" fontId="13" fillId="12" borderId="75" xfId="0" applyNumberFormat="1" applyFont="1" applyFill="1" applyBorder="1" applyAlignment="1">
      <alignment horizontal="center" vertical="center" wrapText="1" readingOrder="1"/>
    </xf>
    <xf numFmtId="167" fontId="13" fillId="12" borderId="74" xfId="0" applyNumberFormat="1" applyFont="1" applyFill="1" applyBorder="1" applyAlignment="1">
      <alignment horizontal="center" vertical="center" wrapText="1" readingOrder="1"/>
    </xf>
    <xf numFmtId="0" fontId="5" fillId="0" borderId="0" xfId="0" applyFont="1" applyBorder="1" applyAlignment="1">
      <alignment horizontal="center"/>
    </xf>
    <xf numFmtId="0" fontId="5" fillId="13" borderId="0" xfId="0" applyFont="1" applyFill="1" applyAlignment="1">
      <alignment horizontal="center" vertical="center"/>
    </xf>
    <xf numFmtId="0" fontId="3" fillId="13" borderId="56" xfId="0" applyFont="1" applyFill="1" applyBorder="1" applyAlignment="1">
      <alignment horizontal="center"/>
    </xf>
    <xf numFmtId="0" fontId="3" fillId="13" borderId="57" xfId="0" applyFont="1" applyFill="1" applyBorder="1" applyAlignment="1">
      <alignment horizontal="center"/>
    </xf>
    <xf numFmtId="0" fontId="3" fillId="13" borderId="59" xfId="0" applyFont="1" applyFill="1" applyBorder="1" applyAlignment="1">
      <alignment horizontal="center"/>
    </xf>
    <xf numFmtId="0" fontId="5" fillId="13" borderId="61" xfId="0" applyFont="1" applyFill="1" applyBorder="1" applyAlignment="1">
      <alignment horizontal="center"/>
    </xf>
    <xf numFmtId="0" fontId="5" fillId="13" borderId="62" xfId="0" applyFont="1" applyFill="1" applyBorder="1" applyAlignment="1">
      <alignment horizontal="center"/>
    </xf>
    <xf numFmtId="0" fontId="5" fillId="13" borderId="56" xfId="0" applyFont="1" applyFill="1" applyBorder="1" applyAlignment="1">
      <alignment horizontal="center"/>
    </xf>
    <xf numFmtId="0" fontId="5" fillId="13" borderId="5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70" xfId="0" applyFont="1" applyBorder="1" applyAlignment="1">
      <alignment horizontal="center" wrapText="1" readingOrder="1"/>
    </xf>
    <xf numFmtId="0" fontId="16" fillId="0" borderId="71" xfId="0" applyFont="1" applyBorder="1" applyAlignment="1">
      <alignment horizontal="center" wrapText="1" readingOrder="1"/>
    </xf>
  </cellXfs>
  <cellStyles count="7">
    <cellStyle name="Comma 10" xfId="6"/>
    <cellStyle name="Comma 2" xfId="1"/>
    <cellStyle name="Normal" xfId="0" builtinId="0"/>
    <cellStyle name="Normal 2" xfId="2"/>
    <cellStyle name="Normal 3" xfId="4"/>
    <cellStyle name="Normal 33" xfId="5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7"/>
  <dimension ref="A3:H16"/>
  <sheetViews>
    <sheetView workbookViewId="0">
      <selection activeCell="B4" sqref="B4"/>
    </sheetView>
  </sheetViews>
  <sheetFormatPr defaultRowHeight="12.75"/>
  <cols>
    <col min="1" max="1" width="35.42578125" style="19" customWidth="1" collapsed="1"/>
    <col min="2" max="2" width="22.85546875" style="19" customWidth="1" collapsed="1"/>
    <col min="3" max="16384" width="9.140625" style="19" collapsed="1"/>
  </cols>
  <sheetData>
    <row r="3" spans="1:8" ht="13.5" thickBot="1">
      <c r="B3" s="48" t="s">
        <v>222</v>
      </c>
    </row>
    <row r="4" spans="1:8" ht="13.5" thickBot="1">
      <c r="A4" s="46" t="s">
        <v>221</v>
      </c>
      <c r="B4" s="47" t="s">
        <v>13</v>
      </c>
    </row>
    <row r="5" spans="1:8">
      <c r="F5" s="115"/>
      <c r="G5" s="115"/>
      <c r="H5" s="115"/>
    </row>
    <row r="6" spans="1:8">
      <c r="F6" s="115"/>
      <c r="G6" s="115"/>
      <c r="H6" s="115"/>
    </row>
    <row r="7" spans="1:8">
      <c r="F7" s="115"/>
      <c r="G7" s="115"/>
      <c r="H7" s="115"/>
    </row>
    <row r="8" spans="1:8">
      <c r="F8" s="115"/>
      <c r="G8" s="115"/>
      <c r="H8" s="115"/>
    </row>
    <row r="9" spans="1:8">
      <c r="F9" s="115"/>
      <c r="G9" s="115"/>
      <c r="H9" s="115"/>
    </row>
    <row r="10" spans="1:8">
      <c r="F10" s="115"/>
      <c r="G10" s="115"/>
      <c r="H10" s="115"/>
    </row>
    <row r="11" spans="1:8">
      <c r="F11" s="115"/>
      <c r="G11" s="115"/>
      <c r="H11" s="115"/>
    </row>
    <row r="12" spans="1:8">
      <c r="F12" s="115"/>
      <c r="G12" s="115"/>
      <c r="H12" s="115"/>
    </row>
    <row r="13" spans="1:8">
      <c r="F13" s="115"/>
      <c r="G13" s="115"/>
      <c r="H13" s="115"/>
    </row>
    <row r="14" spans="1:8">
      <c r="F14" s="115"/>
      <c r="G14" s="115"/>
      <c r="H14" s="115"/>
    </row>
    <row r="15" spans="1:8">
      <c r="F15" s="115"/>
      <c r="G15" s="115"/>
      <c r="H15" s="115"/>
    </row>
    <row r="16" spans="1:8">
      <c r="F16" s="115"/>
      <c r="G16" s="115"/>
      <c r="H16" s="115"/>
    </row>
  </sheetData>
  <protectedRanges>
    <protectedRange password="C73C" sqref="B4" name="Range1"/>
  </protectedRanges>
  <dataValidations count="1">
    <dataValidation type="list" allowBlank="1" showInputMessage="1" showErrorMessage="1" sqref="B4">
      <formula1>"APL,MAY,Q1,JUL,AUG,Q2,OCT,NOV,Q3,JAN,FEB,Q4"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30"/>
  <dimension ref="A1:J8"/>
  <sheetViews>
    <sheetView zoomScale="145" zoomScaleNormal="145" workbookViewId="0">
      <selection sqref="A1:A2"/>
    </sheetView>
  </sheetViews>
  <sheetFormatPr defaultColWidth="8.140625" defaultRowHeight="12.75"/>
  <cols>
    <col min="1" max="1" width="6.28515625" style="66" bestFit="1" customWidth="1" collapsed="1"/>
    <col min="2" max="2" width="6.42578125" style="66" bestFit="1" customWidth="1" collapsed="1"/>
    <col min="3" max="3" width="7" style="66" bestFit="1" customWidth="1" collapsed="1"/>
    <col min="4" max="4" width="8.5703125" style="66" bestFit="1" customWidth="1" collapsed="1"/>
    <col min="5" max="5" width="5.42578125" style="66" bestFit="1" customWidth="1" collapsed="1"/>
    <col min="6" max="6" width="8.42578125" style="66" bestFit="1" customWidth="1" collapsed="1"/>
    <col min="7" max="7" width="5.140625" style="66" bestFit="1" customWidth="1" collapsed="1"/>
    <col min="8" max="8" width="4.85546875" style="66" bestFit="1" customWidth="1" collapsed="1"/>
    <col min="9" max="9" width="10.85546875" style="66" bestFit="1" customWidth="1" collapsed="1"/>
    <col min="10" max="10" width="7.28515625" style="66" bestFit="1" customWidth="1" collapsed="1"/>
    <col min="11" max="16384" width="8.140625" style="66" collapsed="1"/>
  </cols>
  <sheetData>
    <row r="1" spans="1:10">
      <c r="A1" s="327"/>
      <c r="B1" s="325" t="s">
        <v>30</v>
      </c>
      <c r="C1" s="325" t="s">
        <v>228</v>
      </c>
      <c r="D1" s="325" t="s">
        <v>227</v>
      </c>
      <c r="E1" s="325" t="s">
        <v>224</v>
      </c>
      <c r="F1" s="325" t="s">
        <v>32</v>
      </c>
      <c r="G1" s="325" t="s">
        <v>223</v>
      </c>
      <c r="H1" s="325" t="s">
        <v>225</v>
      </c>
      <c r="I1" s="325" t="s">
        <v>33</v>
      </c>
      <c r="J1" s="325" t="s">
        <v>226</v>
      </c>
    </row>
    <row r="2" spans="1:10" ht="13.5" thickBot="1">
      <c r="A2" s="328"/>
      <c r="B2" s="326"/>
      <c r="C2" s="326"/>
      <c r="D2" s="326"/>
      <c r="E2" s="326"/>
      <c r="F2" s="326"/>
      <c r="G2" s="326"/>
      <c r="H2" s="326"/>
      <c r="I2" s="326"/>
      <c r="J2" s="326"/>
    </row>
    <row r="3" spans="1:10" ht="15" thickBot="1">
      <c r="A3" s="177" t="s">
        <v>23</v>
      </c>
      <c r="B3" s="178" t="s">
        <v>34</v>
      </c>
      <c r="C3" s="179">
        <f>'Quote Analysis-Proj-Earlier'!C3+'Quote Analysis-Proj-Current'!C3</f>
        <v>162</v>
      </c>
      <c r="D3" s="179">
        <f>'Quote Analysis-Proj-Earlier'!D3+'Quote Analysis-Proj-Current'!D3</f>
        <v>17</v>
      </c>
      <c r="E3" s="124">
        <f t="shared" ref="E3:E8" si="0">IFERROR(D3/C3*100,0)</f>
        <v>10.493827160493826</v>
      </c>
      <c r="F3" s="179">
        <f>'Quote Analysis-Proj-Earlier'!F3+'Quote Analysis-Proj-Current'!F3</f>
        <v>40</v>
      </c>
      <c r="G3" s="124">
        <f t="shared" ref="G3:G8" si="1">IFERROR(F3/C3*100,0)</f>
        <v>24.691358024691358</v>
      </c>
      <c r="H3" s="124">
        <f t="shared" ref="H3:H8" si="2">IFERROR(D3/(D3+F3)*100,)</f>
        <v>29.82456140350877</v>
      </c>
      <c r="I3" s="179">
        <f>'Quote Analysis-Proj-Earlier'!I3+'Quote Analysis-Proj-Current'!I3</f>
        <v>105</v>
      </c>
      <c r="J3" s="124">
        <f t="shared" ref="J3:J8" si="3">IFERROR(I3/C3*100,)</f>
        <v>64.81481481481481</v>
      </c>
    </row>
    <row r="4" spans="1:10" ht="15" thickBot="1">
      <c r="A4" s="177" t="s">
        <v>35</v>
      </c>
      <c r="B4" s="178" t="s">
        <v>36</v>
      </c>
      <c r="C4" s="179">
        <f>'Quote Analysis-Proj-Earlier'!C4+'Quote Analysis-Proj-Current'!C4</f>
        <v>22749.541916018956</v>
      </c>
      <c r="D4" s="179">
        <f>'Quote Analysis-Proj-Earlier'!D4+'Quote Analysis-Proj-Current'!D4</f>
        <v>2211.7656560189571</v>
      </c>
      <c r="E4" s="124">
        <f t="shared" si="0"/>
        <v>9.7222426024391968</v>
      </c>
      <c r="F4" s="179">
        <f>'Quote Analysis-Proj-Earlier'!F4+'Quote Analysis-Proj-Current'!F4</f>
        <v>7002.35</v>
      </c>
      <c r="G4" s="124">
        <f t="shared" si="1"/>
        <v>30.78018021571387</v>
      </c>
      <c r="H4" s="124">
        <f t="shared" si="2"/>
        <v>24.004101300531868</v>
      </c>
      <c r="I4" s="179">
        <f>'Quote Analysis-Proj-Earlier'!I4+'Quote Analysis-Proj-Current'!I4</f>
        <v>13535.42626</v>
      </c>
      <c r="J4" s="124">
        <f t="shared" si="3"/>
        <v>59.497577181846935</v>
      </c>
    </row>
    <row r="5" spans="1:10" ht="15" thickBot="1">
      <c r="A5" s="177" t="s">
        <v>24</v>
      </c>
      <c r="B5" s="178" t="s">
        <v>34</v>
      </c>
      <c r="C5" s="179">
        <f>'Quote Analysis-Proj-Earlier'!C5+'Quote Analysis-Proj-Current'!C5</f>
        <v>14</v>
      </c>
      <c r="D5" s="179">
        <f>'Quote Analysis-Proj-Earlier'!D5+'Quote Analysis-Proj-Current'!D5</f>
        <v>0</v>
      </c>
      <c r="E5" s="124">
        <f t="shared" si="0"/>
        <v>0</v>
      </c>
      <c r="F5" s="179">
        <f>'Quote Analysis-Proj-Earlier'!F5+'Quote Analysis-Proj-Current'!F5</f>
        <v>2</v>
      </c>
      <c r="G5" s="124">
        <f t="shared" si="1"/>
        <v>14.285714285714285</v>
      </c>
      <c r="H5" s="124">
        <f t="shared" si="2"/>
        <v>0</v>
      </c>
      <c r="I5" s="179">
        <f>'Quote Analysis-Proj-Earlier'!I5+'Quote Analysis-Proj-Current'!I5</f>
        <v>12</v>
      </c>
      <c r="J5" s="124">
        <f t="shared" si="3"/>
        <v>85.714285714285708</v>
      </c>
    </row>
    <row r="6" spans="1:10" ht="15" thickBot="1">
      <c r="A6" s="177" t="s">
        <v>35</v>
      </c>
      <c r="B6" s="178" t="s">
        <v>36</v>
      </c>
      <c r="C6" s="179">
        <f>'Quote Analysis-Proj-Earlier'!C6+'Quote Analysis-Proj-Current'!C6</f>
        <v>7131.7800000000007</v>
      </c>
      <c r="D6" s="179">
        <f>'Quote Analysis-Proj-Earlier'!D6+'Quote Analysis-Proj-Current'!D6</f>
        <v>0</v>
      </c>
      <c r="E6" s="124">
        <f t="shared" si="0"/>
        <v>0</v>
      </c>
      <c r="F6" s="179">
        <f>'Quote Analysis-Proj-Earlier'!F6+'Quote Analysis-Proj-Current'!F6</f>
        <v>210.91</v>
      </c>
      <c r="G6" s="124">
        <f t="shared" si="1"/>
        <v>2.9573262215043088</v>
      </c>
      <c r="H6" s="124">
        <f t="shared" si="2"/>
        <v>0</v>
      </c>
      <c r="I6" s="179">
        <f>'Quote Analysis-Proj-Earlier'!I6+'Quote Analysis-Proj-Current'!I6</f>
        <v>6920.8700000000008</v>
      </c>
      <c r="J6" s="124">
        <f t="shared" si="3"/>
        <v>97.042673778495697</v>
      </c>
    </row>
    <row r="7" spans="1:10" ht="15" thickBot="1">
      <c r="A7" s="177" t="s">
        <v>25</v>
      </c>
      <c r="B7" s="178" t="s">
        <v>37</v>
      </c>
      <c r="C7" s="179">
        <f>C3+C5</f>
        <v>176</v>
      </c>
      <c r="D7" s="179">
        <f>D3+D5</f>
        <v>17</v>
      </c>
      <c r="E7" s="124">
        <f t="shared" si="0"/>
        <v>9.6590909090909083</v>
      </c>
      <c r="F7" s="179">
        <f>F3+F5</f>
        <v>42</v>
      </c>
      <c r="G7" s="124">
        <f t="shared" si="1"/>
        <v>23.863636363636363</v>
      </c>
      <c r="H7" s="124">
        <f t="shared" si="2"/>
        <v>28.8135593220339</v>
      </c>
      <c r="I7" s="179">
        <f>I3+I5</f>
        <v>117</v>
      </c>
      <c r="J7" s="124">
        <f t="shared" si="3"/>
        <v>66.477272727272734</v>
      </c>
    </row>
    <row r="8" spans="1:10" ht="15" thickBot="1">
      <c r="A8" s="177" t="s">
        <v>38</v>
      </c>
      <c r="B8" s="178" t="s">
        <v>39</v>
      </c>
      <c r="C8" s="179">
        <f>C4+C6</f>
        <v>29881.321916018955</v>
      </c>
      <c r="D8" s="179">
        <f>D4+D6</f>
        <v>2211.7656560189571</v>
      </c>
      <c r="E8" s="124">
        <f t="shared" si="0"/>
        <v>7.4018333667937917</v>
      </c>
      <c r="F8" s="179">
        <f>F4+F6</f>
        <v>7213.26</v>
      </c>
      <c r="G8" s="124">
        <f t="shared" si="1"/>
        <v>24.139695092047027</v>
      </c>
      <c r="H8" s="124">
        <f t="shared" si="2"/>
        <v>23.466945732996404</v>
      </c>
      <c r="I8" s="179">
        <f>I4+I6</f>
        <v>20456.296260000003</v>
      </c>
      <c r="J8" s="124">
        <f t="shared" si="3"/>
        <v>68.458471541159199</v>
      </c>
    </row>
  </sheetData>
  <mergeCells count="10">
    <mergeCell ref="J1:J2"/>
    <mergeCell ref="I1:I2"/>
    <mergeCell ref="A1:A2"/>
    <mergeCell ref="B1:B2"/>
    <mergeCell ref="C1:C2"/>
    <mergeCell ref="D1:D2"/>
    <mergeCell ref="F1:F2"/>
    <mergeCell ref="H1:H2"/>
    <mergeCell ref="E1:E2"/>
    <mergeCell ref="G1:G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31"/>
  <dimension ref="A1:J12"/>
  <sheetViews>
    <sheetView zoomScale="160" zoomScaleNormal="160" workbookViewId="0">
      <selection activeCell="C5" sqref="C5"/>
    </sheetView>
  </sheetViews>
  <sheetFormatPr defaultRowHeight="12.75"/>
  <cols>
    <col min="1" max="1" width="6.7109375" style="112" bestFit="1" customWidth="1" collapsed="1"/>
    <col min="2" max="2" width="4.140625" style="112" bestFit="1" customWidth="1" collapsed="1"/>
    <col min="3" max="3" width="7" style="112" bestFit="1" customWidth="1" collapsed="1"/>
    <col min="4" max="6" width="5.42578125" style="112" bestFit="1" customWidth="1" collapsed="1"/>
    <col min="7" max="7" width="5.85546875" style="112" bestFit="1" customWidth="1" collapsed="1"/>
    <col min="8" max="8" width="5.140625" style="112" bestFit="1" customWidth="1" collapsed="1"/>
    <col min="9" max="9" width="5.7109375" style="112" bestFit="1" customWidth="1" collapsed="1"/>
    <col min="10" max="10" width="6.140625" style="112" bestFit="1" customWidth="1" collapsed="1"/>
    <col min="11" max="16384" width="9.140625" style="112" collapsed="1"/>
  </cols>
  <sheetData>
    <row r="1" spans="1:10" s="154" customFormat="1">
      <c r="A1" s="327"/>
      <c r="B1" s="325" t="s">
        <v>229</v>
      </c>
      <c r="C1" s="325" t="s">
        <v>228</v>
      </c>
      <c r="D1" s="325" t="s">
        <v>230</v>
      </c>
      <c r="E1" s="325" t="s">
        <v>224</v>
      </c>
      <c r="F1" s="325" t="s">
        <v>231</v>
      </c>
      <c r="G1" s="325" t="s">
        <v>223</v>
      </c>
      <c r="H1" s="325" t="s">
        <v>225</v>
      </c>
      <c r="I1" s="325" t="s">
        <v>232</v>
      </c>
      <c r="J1" s="325" t="s">
        <v>233</v>
      </c>
    </row>
    <row r="2" spans="1:10" s="154" customFormat="1" ht="13.5" thickBot="1">
      <c r="A2" s="328"/>
      <c r="B2" s="326"/>
      <c r="C2" s="326"/>
      <c r="D2" s="326"/>
      <c r="E2" s="326"/>
      <c r="F2" s="326"/>
      <c r="G2" s="326"/>
      <c r="H2" s="326"/>
      <c r="I2" s="326"/>
      <c r="J2" s="326"/>
    </row>
    <row r="3" spans="1:10" ht="15" thickBot="1">
      <c r="A3" s="174" t="s">
        <v>23</v>
      </c>
      <c r="B3" s="175" t="s">
        <v>34</v>
      </c>
      <c r="C3" s="176">
        <f>SUMIFS('QUOTED PROJECTS-Earlier Yr'!L2:L2598,'QUOTED PROJECTS-Earlier Yr'!H2:H2598,"PERKINS",'QUOTED PROJECTS-Earlier Yr'!J2:J2598,"R")</f>
        <v>103</v>
      </c>
      <c r="D3" s="176">
        <f>SUMIFS('QUOTED PROJECTS-Earlier Yr'!L2:L2598,'QUOTED PROJECTS-Earlier Yr'!H2:H2598,"PERKINS",'QUOTED PROJECTS-Earlier Yr'!J2:J2598,"R",'QUOTED PROJECTS-Earlier Yr'!Q2:Q2598,"WON")</f>
        <v>0</v>
      </c>
      <c r="E3" s="123">
        <f>IFERROR(D3/C3*100,0)</f>
        <v>0</v>
      </c>
      <c r="F3" s="176">
        <f>SUMIFS('QUOTED PROJECTS-Earlier Yr'!L2:L2598,'QUOTED PROJECTS-Earlier Yr'!H2:H2598,"PERKINS",'QUOTED PROJECTS-Earlier Yr'!J2:J2598,"R",'QUOTED PROJECTS-Earlier Yr'!Q2:Q2598,"LOST")</f>
        <v>11</v>
      </c>
      <c r="G3" s="123">
        <f>IFERROR(F3/C3*100,0)</f>
        <v>10.679611650485436</v>
      </c>
      <c r="H3" s="123">
        <f>IFERROR(D3/(D3+F3)*100,0)</f>
        <v>0</v>
      </c>
      <c r="I3" s="176">
        <f>SUMIFS('QUOTED PROJECTS-Earlier Yr'!L2:L2598,'QUOTED PROJECTS-Earlier Yr'!H2:H2598,"PERKINS",'QUOTED PROJECTS-Earlier Yr'!J2:J2598,"R",'QUOTED PROJECTS-Earlier Yr'!Q2:Q2598,"PENDING")</f>
        <v>92</v>
      </c>
      <c r="J3" s="123">
        <f>IFERROR(I3/C3*100,)</f>
        <v>89.320388349514573</v>
      </c>
    </row>
    <row r="4" spans="1:10" ht="15" thickBot="1">
      <c r="A4" s="174" t="s">
        <v>35</v>
      </c>
      <c r="B4" s="175" t="s">
        <v>36</v>
      </c>
      <c r="C4" s="176">
        <f>SUMIFS('QUOTED PROJECTS-Earlier Yr'!O2:O2598,'QUOTED PROJECTS-Earlier Yr'!H2:H2598,"PERKINS",'QUOTED PROJECTS-Earlier Yr'!J2:J2598,"R")</f>
        <v>4112.0771100000002</v>
      </c>
      <c r="D4" s="176">
        <f>SUMIFS('QUOTED PROJECTS-Earlier Yr'!O2:O2598,'QUOTED PROJECTS-Earlier Yr'!H2:H2598,"PERKINS",'QUOTED PROJECTS-Earlier Yr'!J2:J2598,"R",'QUOTED PROJECTS-Earlier Yr'!Q2:Q2598,"WON")</f>
        <v>0</v>
      </c>
      <c r="E4" s="123">
        <f t="shared" ref="E4:E12" si="0">IFERROR(D4/C4*100,0)</f>
        <v>0</v>
      </c>
      <c r="F4" s="176">
        <f>SUMIFS('QUOTED PROJECTS-Earlier Yr'!O2:O2598,'QUOTED PROJECTS-Earlier Yr'!H2:H2598,"PERKINS",'QUOTED PROJECTS-Earlier Yr'!J2:J2598,"R",'QUOTED PROJECTS-Earlier Yr'!Q2:Q2598,"LOST")</f>
        <v>401.04</v>
      </c>
      <c r="G4" s="123">
        <f t="shared" ref="G4:G12" si="1">IFERROR(F4/C4*100,0)</f>
        <v>9.7527354004312432</v>
      </c>
      <c r="H4" s="123">
        <f t="shared" ref="H4:H12" si="2">IFERROR(D4/(D4+F4)*100,0)</f>
        <v>0</v>
      </c>
      <c r="I4" s="176">
        <f>SUMIFS('QUOTED PROJECTS-Earlier Yr'!O2:O2598,'QUOTED PROJECTS-Earlier Yr'!H2:H2598,"PERKINS",'QUOTED PROJECTS-Earlier Yr'!J2:J2598,"R",'QUOTED PROJECTS-Earlier Yr'!Q2:Q2598,"PENDING")</f>
        <v>3711.0371100000002</v>
      </c>
      <c r="J4" s="123">
        <f t="shared" ref="J4:J12" si="3">IFERROR(I4/C4*100,)</f>
        <v>90.247264599568751</v>
      </c>
    </row>
    <row r="5" spans="1:10" ht="15" thickBot="1">
      <c r="A5" s="174" t="s">
        <v>24</v>
      </c>
      <c r="B5" s="175" t="s">
        <v>34</v>
      </c>
      <c r="C5" s="176">
        <f>SUMIFS('QUOTED PROJECTS-Earlier Yr'!L2:L2598,'QUOTED PROJECTS-Earlier Yr'!H2:H2598,"MTU",'QUOTED PROJECTS-Earlier Yr'!J2:J2598,"R")</f>
        <v>2</v>
      </c>
      <c r="D5" s="176">
        <f>SUMIFS('QUOTED PROJECTS-Earlier Yr'!L2:L2598,'QUOTED PROJECTS-Earlier Yr'!H2:H2598,"MTU",'QUOTED PROJECTS-Earlier Yr'!J2:J2598,"R",'QUOTED PROJECTS-Earlier Yr'!Q2:Q2598,"WON")</f>
        <v>0</v>
      </c>
      <c r="E5" s="123">
        <f t="shared" si="0"/>
        <v>0</v>
      </c>
      <c r="F5" s="176">
        <f>SUMIFS('QUOTED PROJECTS-Earlier Yr'!L2:L2598,'QUOTED PROJECTS-Earlier Yr'!H2:H2598,"MTU",'QUOTED PROJECTS-Earlier Yr'!J2:J2598,"R",'QUOTED PROJECTS-Earlier Yr'!Q2:Q2598,"LOST")</f>
        <v>0</v>
      </c>
      <c r="G5" s="123">
        <f t="shared" si="1"/>
        <v>0</v>
      </c>
      <c r="H5" s="123">
        <f t="shared" si="2"/>
        <v>0</v>
      </c>
      <c r="I5" s="176">
        <f>SUMIFS('QUOTED PROJECTS-Earlier Yr'!L2:L2598,'QUOTED PROJECTS-Earlier Yr'!H2:H2598,"MTU",'QUOTED PROJECTS-Earlier Yr'!J2:J2598,"R",'QUOTED PROJECTS-Earlier Yr'!Q2:Q2598,"PENDING")</f>
        <v>2</v>
      </c>
      <c r="J5" s="123">
        <f t="shared" si="3"/>
        <v>100</v>
      </c>
    </row>
    <row r="6" spans="1:10" ht="15" thickBot="1">
      <c r="A6" s="174" t="s">
        <v>35</v>
      </c>
      <c r="B6" s="175" t="s">
        <v>36</v>
      </c>
      <c r="C6" s="176">
        <f>SUMIFS('QUOTED PROJECTS-Earlier Yr'!O2:O2598,'QUOTED PROJECTS-Earlier Yr'!H2:H2598,"MTU",'QUOTED PROJECTS-Earlier Yr'!J2:J2598,"R")</f>
        <v>84.039999999999992</v>
      </c>
      <c r="D6" s="176">
        <f>SUMIFS('QUOTED PROJECTS-Earlier Yr'!O2:O2598,'QUOTED PROJECTS-Earlier Yr'!H2:H2598,"MTU",'QUOTED PROJECTS-Earlier Yr'!J2:J2598,"R",'QUOTED PROJECTS-Earlier Yr'!Q2:Q2598,"WON")</f>
        <v>0</v>
      </c>
      <c r="E6" s="123">
        <f t="shared" si="0"/>
        <v>0</v>
      </c>
      <c r="F6" s="176">
        <f>SUMIFS('QUOTED PROJECTS-Earlier Yr'!O2:O2598,'QUOTED PROJECTS-Earlier Yr'!H2:H2598,"MTU",'QUOTED PROJECTS-Earlier Yr'!J2:J2598,"R",'QUOTED PROJECTS-Earlier Yr'!Q2:Q2598,"LOST")</f>
        <v>0</v>
      </c>
      <c r="G6" s="123">
        <f t="shared" si="1"/>
        <v>0</v>
      </c>
      <c r="H6" s="123">
        <f t="shared" si="2"/>
        <v>0</v>
      </c>
      <c r="I6" s="176">
        <f>SUMIFS('QUOTED PROJECTS-Earlier Yr'!O2:O2598,'QUOTED PROJECTS-Earlier Yr'!H2:H2598,"MTU",'QUOTED PROJECTS-Earlier Yr'!J2:J2598,"R",'QUOTED PROJECTS-Earlier Yr'!Q2:Q2598,"PENDING")</f>
        <v>84.039999999999992</v>
      </c>
      <c r="J6" s="123">
        <f t="shared" si="3"/>
        <v>100</v>
      </c>
    </row>
    <row r="7" spans="1:10" ht="15" thickBot="1">
      <c r="A7" s="174" t="s">
        <v>69</v>
      </c>
      <c r="B7" s="175" t="s">
        <v>34</v>
      </c>
      <c r="C7" s="176">
        <f>SUMIFS('QUOTED PROJECTS-Earlier Yr'!L2:L2598,'QUOTED PROJECTS-Earlier Yr'!H2:H2598,"MAXFORCE",'QUOTED PROJECTS-Earlier Yr'!J2:J2598,"R")</f>
        <v>66</v>
      </c>
      <c r="D7" s="176">
        <f>SUMIFS('QUOTED PROJECTS-Earlier Yr'!L2:L2598,'QUOTED PROJECTS-Earlier Yr'!H2:H2598,"MAXFORCE",'QUOTED PROJECTS-Earlier Yr'!J2:J2598,"R",'QUOTED PROJECTS-Earlier Yr'!Q2:Q2598,"WON")</f>
        <v>0</v>
      </c>
      <c r="E7" s="123">
        <f t="shared" si="0"/>
        <v>0</v>
      </c>
      <c r="F7" s="176">
        <f>SUMIFS('QUOTED PROJECTS-Earlier Yr'!L2:L2598,'QUOTED PROJECTS-Earlier Yr'!H2:H2598,"MAXFORCE",'QUOTED PROJECTS-Earlier Yr'!J2:J2598,"R",'QUOTED PROJECTS-Earlier Yr'!Q2:Q2598,"LOST")</f>
        <v>2</v>
      </c>
      <c r="G7" s="123">
        <f t="shared" si="1"/>
        <v>3.0303030303030303</v>
      </c>
      <c r="H7" s="123">
        <f t="shared" si="2"/>
        <v>0</v>
      </c>
      <c r="I7" s="176">
        <f>SUMIFS('QUOTED PROJECTS-Earlier Yr'!L2:L2598,'QUOTED PROJECTS-Earlier Yr'!H2:H2598,"MAXFORCE",'QUOTED PROJECTS-Earlier Yr'!J2:J2598,"R",'QUOTED PROJECTS-Earlier Yr'!Q2:Q2598,"PENDING")</f>
        <v>64</v>
      </c>
      <c r="J7" s="123">
        <f t="shared" si="3"/>
        <v>96.969696969696969</v>
      </c>
    </row>
    <row r="8" spans="1:10" ht="15" thickBot="1">
      <c r="A8" s="174" t="s">
        <v>35</v>
      </c>
      <c r="B8" s="175" t="s">
        <v>36</v>
      </c>
      <c r="C8" s="176">
        <f>SUMIFS('QUOTED PROJECTS-Earlier Yr'!O2:O2598,'QUOTED PROJECTS-Earlier Yr'!H2:H2598,"MAXFORCE",'QUOTED PROJECTS-Earlier Yr'!J2:J2598,"R")</f>
        <v>1006.31</v>
      </c>
      <c r="D8" s="176">
        <f>SUMIFS('QUOTED PROJECTS-Earlier Yr'!O2:O2598,'QUOTED PROJECTS-Earlier Yr'!H2:H2598,"MAXFORCE",'QUOTED PROJECTS-Earlier Yr'!J2:J2598,"R",'QUOTED PROJECTS-Earlier Yr'!Q2:Q2598,"WON")</f>
        <v>0</v>
      </c>
      <c r="E8" s="123">
        <f t="shared" si="0"/>
        <v>0</v>
      </c>
      <c r="F8" s="176">
        <f>SUMIFS('QUOTED PROJECTS-Earlier Yr'!O2:O2598,'QUOTED PROJECTS-Earlier Yr'!H2:H2598,"MAXFORCE",'QUOTED PROJECTS-Earlier Yr'!J2:J2598,"R",'QUOTED PROJECTS-Earlier Yr'!Q2:Q2598,"LOST")</f>
        <v>17.78</v>
      </c>
      <c r="G8" s="123">
        <f t="shared" si="1"/>
        <v>1.766851169122835</v>
      </c>
      <c r="H8" s="123">
        <f t="shared" si="2"/>
        <v>0</v>
      </c>
      <c r="I8" s="176">
        <f>SUMIFS('QUOTED PROJECTS-Earlier Yr'!O2:O2598,'QUOTED PROJECTS-Earlier Yr'!H2:H2598,"MAXFORCE",'QUOTED PROJECTS-Earlier Yr'!J2:J2598,"R",'QUOTED PROJECTS-Earlier Yr'!Q2:Q2598,"PENDING")</f>
        <v>988.53</v>
      </c>
      <c r="J8" s="123">
        <f t="shared" si="3"/>
        <v>98.23314883087717</v>
      </c>
    </row>
    <row r="9" spans="1:10" ht="15" thickBot="1">
      <c r="A9" s="174" t="s">
        <v>89</v>
      </c>
      <c r="B9" s="175" t="s">
        <v>34</v>
      </c>
      <c r="C9" s="176">
        <f>SUMIFS('QUOTED PROJECTS-Earlier Yr'!L2:L2598,'QUOTED PROJECTS-Earlier Yr'!H2:H2598,"VOLVO",'QUOTED PROJECTS-Earlier Yr'!J2:J2598,"R")</f>
        <v>140</v>
      </c>
      <c r="D9" s="176">
        <f>SUMIFS('QUOTED PROJECTS-Earlier Yr'!L2:L2598,'QUOTED PROJECTS-Earlier Yr'!H2:H2598,"VOLVO",'QUOTED PROJECTS-Earlier Yr'!J2:J2598,"R",'QUOTED PROJECTS-Earlier Yr'!Q2:Q2598,"WON")</f>
        <v>4</v>
      </c>
      <c r="E9" s="123">
        <f t="shared" si="0"/>
        <v>2.8571428571428572</v>
      </c>
      <c r="F9" s="176">
        <f>SUMIFS('QUOTED PROJECTS-Earlier Yr'!L2:L2598,'QUOTED PROJECTS-Earlier Yr'!H2:H2598,"VOLVO",'QUOTED PROJECTS-Earlier Yr'!J2:J2598,"R",'QUOTED PROJECTS-Earlier Yr'!Q2:Q2598,"LOST")</f>
        <v>9</v>
      </c>
      <c r="G9" s="123">
        <f t="shared" si="1"/>
        <v>6.4285714285714279</v>
      </c>
      <c r="H9" s="123">
        <f t="shared" si="2"/>
        <v>30.76923076923077</v>
      </c>
      <c r="I9" s="176">
        <f>SUMIFS('QUOTED PROJECTS-Earlier Yr'!L2:L2598,'QUOTED PROJECTS-Earlier Yr'!H2:H2598,"VOLVO",'QUOTED PROJECTS-Earlier Yr'!J2:J2598,"R",'QUOTED PROJECTS-Earlier Yr'!Q2:Q2598,"PENDING")</f>
        <v>127</v>
      </c>
      <c r="J9" s="123">
        <f t="shared" si="3"/>
        <v>90.714285714285708</v>
      </c>
    </row>
    <row r="10" spans="1:10" ht="15" thickBot="1">
      <c r="A10" s="174"/>
      <c r="B10" s="175" t="s">
        <v>36</v>
      </c>
      <c r="C10" s="176">
        <f>SUMIFS('QUOTED PROJECTS-Earlier Yr'!O2:O2598,'QUOTED PROJECTS-Earlier Yr'!H2:H2598,"VOLVO",'QUOTED PROJECTS-Earlier Yr'!J2:J2598,"R")</f>
        <v>6289.7453499999992</v>
      </c>
      <c r="D10" s="176">
        <f>SUMIFS('QUOTED PROJECTS-Earlier Yr'!O2:O2598,'QUOTED PROJECTS-Earlier Yr'!H2:H2598,"VOLVO",'QUOTED PROJECTS-Earlier Yr'!J2:J2598,"R",'QUOTED PROJECTS-Earlier Yr'!Q2:Q2598,"WON")</f>
        <v>173.8</v>
      </c>
      <c r="E10" s="123">
        <f t="shared" si="0"/>
        <v>2.76322792623075</v>
      </c>
      <c r="F10" s="176">
        <f>SUMIFS('QUOTED PROJECTS-Earlier Yr'!O2:O2598,'QUOTED PROJECTS-Earlier Yr'!H2:H2598,"VOLVO",'QUOTED PROJECTS-Earlier Yr'!J2:J2598,"R",'QUOTED PROJECTS-Earlier Yr'!Q2:Q2598,"LOST")</f>
        <v>473.07000000000005</v>
      </c>
      <c r="G10" s="123">
        <f t="shared" si="1"/>
        <v>7.5212901902300402</v>
      </c>
      <c r="H10" s="123">
        <f t="shared" si="2"/>
        <v>26.8678405243712</v>
      </c>
      <c r="I10" s="176">
        <f>SUMIFS('QUOTED PROJECTS-Earlier Yr'!O2:O2598,'QUOTED PROJECTS-Earlier Yr'!H2:H2598,"VOLVO",'QUOTED PROJECTS-Earlier Yr'!J2:J2598,"R",'QUOTED PROJECTS-Earlier Yr'!Q2:Q2598,"PENDING")</f>
        <v>5642.8753500000012</v>
      </c>
      <c r="J10" s="123">
        <f t="shared" si="3"/>
        <v>89.71548188353924</v>
      </c>
    </row>
    <row r="11" spans="1:10" ht="15" thickBot="1">
      <c r="A11" s="174" t="s">
        <v>25</v>
      </c>
      <c r="B11" s="175" t="s">
        <v>37</v>
      </c>
      <c r="C11" s="176">
        <f>C3+C5+C7+C9</f>
        <v>311</v>
      </c>
      <c r="D11" s="176">
        <f>D3+D5+D7+D9</f>
        <v>4</v>
      </c>
      <c r="E11" s="123">
        <f t="shared" si="0"/>
        <v>1.2861736334405145</v>
      </c>
      <c r="F11" s="176">
        <f>F3+F5+F7+F9</f>
        <v>22</v>
      </c>
      <c r="G11" s="123">
        <f t="shared" si="1"/>
        <v>7.07395498392283</v>
      </c>
      <c r="H11" s="123">
        <f t="shared" si="2"/>
        <v>15.384615384615385</v>
      </c>
      <c r="I11" s="176">
        <f>I3+I5+I7+I9</f>
        <v>285</v>
      </c>
      <c r="J11" s="123">
        <f t="shared" si="3"/>
        <v>91.639871382636656</v>
      </c>
    </row>
    <row r="12" spans="1:10" ht="15" thickBot="1">
      <c r="A12" s="174" t="s">
        <v>38</v>
      </c>
      <c r="B12" s="175" t="s">
        <v>39</v>
      </c>
      <c r="C12" s="176">
        <f>C4+C6+C8+C10</f>
        <v>11492.17246</v>
      </c>
      <c r="D12" s="176">
        <f>D4+D6+D8+D10</f>
        <v>173.8</v>
      </c>
      <c r="E12" s="123">
        <f t="shared" si="0"/>
        <v>1.5123337263248833</v>
      </c>
      <c r="F12" s="176">
        <f>F4+F6+F8+F10</f>
        <v>891.8900000000001</v>
      </c>
      <c r="G12" s="123">
        <f t="shared" si="1"/>
        <v>7.7608476822318782</v>
      </c>
      <c r="H12" s="123">
        <f t="shared" si="2"/>
        <v>16.308682637539999</v>
      </c>
      <c r="I12" s="176">
        <f>I4+I6+I8+I10</f>
        <v>10426.482460000001</v>
      </c>
      <c r="J12" s="123">
        <f t="shared" si="3"/>
        <v>90.726818591443248</v>
      </c>
    </row>
  </sheetData>
  <mergeCells count="10">
    <mergeCell ref="J1:J2"/>
    <mergeCell ref="I1:I2"/>
    <mergeCell ref="A1:A2"/>
    <mergeCell ref="B1:B2"/>
    <mergeCell ref="C1:C2"/>
    <mergeCell ref="D1:D2"/>
    <mergeCell ref="F1:F2"/>
    <mergeCell ref="H1:H2"/>
    <mergeCell ref="E1:E2"/>
    <mergeCell ref="G1:G2"/>
  </mergeCells>
  <phoneticPr fontId="8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32"/>
  <dimension ref="A1:J12"/>
  <sheetViews>
    <sheetView zoomScale="160" zoomScaleNormal="160" workbookViewId="0">
      <selection activeCell="A6" sqref="A6"/>
    </sheetView>
  </sheetViews>
  <sheetFormatPr defaultRowHeight="12.75"/>
  <cols>
    <col min="1" max="1" width="6.7109375" style="112" bestFit="1" customWidth="1" collapsed="1"/>
    <col min="2" max="2" width="4.140625" style="112" bestFit="1" customWidth="1" collapsed="1"/>
    <col min="3" max="3" width="7" style="112" bestFit="1" customWidth="1" collapsed="1"/>
    <col min="4" max="6" width="5.42578125" style="112" bestFit="1" customWidth="1" collapsed="1"/>
    <col min="7" max="8" width="5.140625" style="112" bestFit="1" customWidth="1" collapsed="1"/>
    <col min="9" max="9" width="5.7109375" style="112" bestFit="1" customWidth="1" collapsed="1"/>
    <col min="10" max="10" width="6.140625" style="112" bestFit="1" customWidth="1" collapsed="1"/>
    <col min="11" max="16384" width="9.140625" style="112" collapsed="1"/>
  </cols>
  <sheetData>
    <row r="1" spans="1:10" s="154" customFormat="1">
      <c r="A1" s="327"/>
      <c r="B1" s="325" t="s">
        <v>229</v>
      </c>
      <c r="C1" s="325" t="s">
        <v>228</v>
      </c>
      <c r="D1" s="325" t="s">
        <v>230</v>
      </c>
      <c r="E1" s="325" t="s">
        <v>224</v>
      </c>
      <c r="F1" s="325" t="s">
        <v>231</v>
      </c>
      <c r="G1" s="325" t="s">
        <v>223</v>
      </c>
      <c r="H1" s="325" t="s">
        <v>225</v>
      </c>
      <c r="I1" s="325" t="s">
        <v>232</v>
      </c>
      <c r="J1" s="325" t="s">
        <v>233</v>
      </c>
    </row>
    <row r="2" spans="1:10" s="154" customFormat="1" ht="13.5" thickBot="1">
      <c r="A2" s="328"/>
      <c r="B2" s="326"/>
      <c r="C2" s="326"/>
      <c r="D2" s="326"/>
      <c r="E2" s="326"/>
      <c r="F2" s="326"/>
      <c r="G2" s="326"/>
      <c r="H2" s="326"/>
      <c r="I2" s="326"/>
      <c r="J2" s="326"/>
    </row>
    <row r="3" spans="1:10" ht="15" thickBot="1">
      <c r="A3" s="174" t="s">
        <v>23</v>
      </c>
      <c r="B3" s="175" t="s">
        <v>34</v>
      </c>
      <c r="C3" s="176">
        <f>SUMIFS('QUOTED PROJECTS-Current Year'!L2:L2525,'QUOTED PROJECTS-Current Year'!H2:H2525,"PERKINS",'QUOTED PROJECTS-Current Year'!J2:J2525,"R")</f>
        <v>40</v>
      </c>
      <c r="D3" s="176">
        <f>SUMIFS('QUOTED PROJECTS-Current Year'!L2:L2525,'QUOTED PROJECTS-Current Year'!H2:H2525,"PERKINS",'QUOTED PROJECTS-Current Year'!J2:J2525,"R",'QUOTED PROJECTS-Current Year'!Q2:Q2525,"WON")</f>
        <v>8</v>
      </c>
      <c r="E3" s="123">
        <f>IFERROR(D3/C3*100,0)</f>
        <v>20</v>
      </c>
      <c r="F3" s="176">
        <f>SUMIFS('QUOTED PROJECTS-Current Year'!L2:L2525,'QUOTED PROJECTS-Current Year'!H2:H2525,"PERKINS",'QUOTED PROJECTS-Current Year'!J2:J2525,"R",'QUOTED PROJECTS-Current Year'!Q2:Q2525,"LOST")</f>
        <v>8</v>
      </c>
      <c r="G3" s="123">
        <f>IFERROR(F3/C3*100,0)</f>
        <v>20</v>
      </c>
      <c r="H3" s="123">
        <f>IFERROR(D3/(D3+F3)*100,0)</f>
        <v>50</v>
      </c>
      <c r="I3" s="176">
        <f>SUMIFS('QUOTED PROJECTS-Current Year'!L2:L2525,'QUOTED PROJECTS-Current Year'!H2:H2525,"PERKINS",'QUOTED PROJECTS-Current Year'!J2:J2525,"R",'QUOTED PROJECTS-Current Year'!Q2:Q2525,"PENDING")</f>
        <v>24</v>
      </c>
      <c r="J3" s="123">
        <f>IFERROR(I3/C3*100,)</f>
        <v>60</v>
      </c>
    </row>
    <row r="4" spans="1:10" ht="15" thickBot="1">
      <c r="A4" s="174" t="s">
        <v>35</v>
      </c>
      <c r="B4" s="175" t="s">
        <v>36</v>
      </c>
      <c r="C4" s="176">
        <f>SUMIFS('QUOTED PROJECTS-Current Year'!O2:O2525,'QUOTED PROJECTS-Current Year'!H2:H2525,"PERKINS",'QUOTED PROJECTS-Current Year'!J2:J2525,"R")</f>
        <v>1729.5277900000003</v>
      </c>
      <c r="D4" s="176">
        <f>SUMIFS('QUOTED PROJECTS-Current Year'!O2:O2525,'QUOTED PROJECTS-Current Year'!H2:H2525,"PERKINS",'QUOTED PROJECTS-Current Year'!J2:J2525,"R",'QUOTED PROJECTS-Current Year'!Q2:Q2525,"WON")</f>
        <v>362.35779000000002</v>
      </c>
      <c r="E4" s="123">
        <f t="shared" ref="E4:E12" si="0">IFERROR(D4/C4*100,0)</f>
        <v>20.95125571818652</v>
      </c>
      <c r="F4" s="176">
        <f>SUMIFS('QUOTED PROJECTS-Current Year'!O2:O2525,'QUOTED PROJECTS-Current Year'!H2:H2525,"PERKINS",'QUOTED PROJECTS-Current Year'!J2:J2525,"R",'QUOTED PROJECTS-Current Year'!Q2:Q2525,"LOST")</f>
        <v>297.39</v>
      </c>
      <c r="G4" s="123">
        <f t="shared" ref="G4:G12" si="1">IFERROR(F4/C4*100,0)</f>
        <v>17.194866813906469</v>
      </c>
      <c r="H4" s="123">
        <f t="shared" ref="H4:H12" si="2">IFERROR(D4/(D4+F4)*100,0)</f>
        <v>54.923683791347003</v>
      </c>
      <c r="I4" s="176">
        <f>SUMIFS('QUOTED PROJECTS-Current Year'!O2:O2525,'QUOTED PROJECTS-Current Year'!H2:H2525,"PERKINS",'QUOTED PROJECTS-Current Year'!J2:J2525,"R",'QUOTED PROJECTS-Current Year'!Q2:Q2525,"PENDING")</f>
        <v>1069.7800000000002</v>
      </c>
      <c r="J4" s="123">
        <f t="shared" ref="J4:J12" si="3">IFERROR(I4/C4*100,)</f>
        <v>61.853877467907004</v>
      </c>
    </row>
    <row r="5" spans="1:10" ht="15" thickBot="1">
      <c r="A5" s="174" t="s">
        <v>24</v>
      </c>
      <c r="B5" s="175" t="s">
        <v>34</v>
      </c>
      <c r="C5" s="176">
        <f>SUMIFS('QUOTED PROJECTS-Current Year'!L2:L2525,'QUOTED PROJECTS-Current Year'!H2:H2525,"MTU",'QUOTED PROJECTS-Current Year'!J2:J2525,"R")</f>
        <v>0</v>
      </c>
      <c r="D5" s="176">
        <f>SUMIFS('QUOTED PROJECTS-Current Year'!L2:L2525,'QUOTED PROJECTS-Current Year'!H2:H2525,"MTU",'QUOTED PROJECTS-Current Year'!J2:J2525,"R",'QUOTED PROJECTS-Current Year'!Q2:Q2525,"WON")</f>
        <v>0</v>
      </c>
      <c r="E5" s="123">
        <f t="shared" si="0"/>
        <v>0</v>
      </c>
      <c r="F5" s="176">
        <f>SUMIFS('QUOTED PROJECTS-Current Year'!L2:L2525,'QUOTED PROJECTS-Current Year'!H2:H2525,"MTU",'QUOTED PROJECTS-Current Year'!J2:J2525,"R",'QUOTED PROJECTS-Current Year'!Q2:Q2525,"LOST")</f>
        <v>0</v>
      </c>
      <c r="G5" s="123">
        <f t="shared" si="1"/>
        <v>0</v>
      </c>
      <c r="H5" s="123">
        <f t="shared" si="2"/>
        <v>0</v>
      </c>
      <c r="I5" s="176">
        <f>SUMIFS('QUOTED PROJECTS-Current Year'!L2:L2525,'QUOTED PROJECTS-Current Year'!H2:H2525,"MTU",'QUOTED PROJECTS-Current Year'!J2:J2525,"R",'QUOTED PROJECTS-Current Year'!Q2:Q2525,"PENDING")</f>
        <v>0</v>
      </c>
      <c r="J5" s="123">
        <f t="shared" si="3"/>
        <v>0</v>
      </c>
    </row>
    <row r="6" spans="1:10" ht="15" thickBot="1">
      <c r="A6" s="174" t="s">
        <v>35</v>
      </c>
      <c r="B6" s="175" t="s">
        <v>36</v>
      </c>
      <c r="C6" s="176">
        <f>SUMIFS('QUOTED PROJECTS-Current Year'!O2:O2525,'QUOTED PROJECTS-Current Year'!H2:H2525,"MTU",'QUOTED PROJECTS-Current Year'!J2:J2525,"R")</f>
        <v>0</v>
      </c>
      <c r="D6" s="176">
        <f>SUMIFS('QUOTED PROJECTS-Current Year'!O2:O2525,'QUOTED PROJECTS-Current Year'!H2:H2525,"MTU",'QUOTED PROJECTS-Current Year'!J2:J2525,"R",'QUOTED PROJECTS-Current Year'!Q2:Q2525,"WON")</f>
        <v>0</v>
      </c>
      <c r="E6" s="123">
        <f t="shared" si="0"/>
        <v>0</v>
      </c>
      <c r="F6" s="176">
        <f>SUMIFS('QUOTED PROJECTS-Current Year'!O2:O2525,'QUOTED PROJECTS-Current Year'!H2:H2525,"MTU",'QUOTED PROJECTS-Current Year'!J2:J2525,"R",'QUOTED PROJECTS-Current Year'!Q2:Q2525,"LOST")</f>
        <v>0</v>
      </c>
      <c r="G6" s="123">
        <f t="shared" si="1"/>
        <v>0</v>
      </c>
      <c r="H6" s="123">
        <f t="shared" si="2"/>
        <v>0</v>
      </c>
      <c r="I6" s="176">
        <f>SUMIFS('QUOTED PROJECTS-Current Year'!O2:O2525,'QUOTED PROJECTS-Current Year'!H2:H2525,"MTU",'QUOTED PROJECTS-Current Year'!J2:J2525,"R",'QUOTED PROJECTS-Current Year'!Q2:Q2525,"PENDING")</f>
        <v>0</v>
      </c>
      <c r="J6" s="123">
        <f t="shared" si="3"/>
        <v>0</v>
      </c>
    </row>
    <row r="7" spans="1:10" ht="15" thickBot="1">
      <c r="A7" s="174" t="s">
        <v>69</v>
      </c>
      <c r="B7" s="175" t="s">
        <v>34</v>
      </c>
      <c r="C7" s="176">
        <f>SUMIFS('QUOTED PROJECTS-Current Year'!L2:L2525,'QUOTED PROJECTS-Current Year'!H2:H2525,"MAXFORCE",'QUOTED PROJECTS-Current Year'!J2:J2525,"R")</f>
        <v>44</v>
      </c>
      <c r="D7" s="176">
        <f>SUMIFS('QUOTED PROJECTS-Current Year'!L2:L2525,'QUOTED PROJECTS-Current Year'!H2:H2525,"MAXFORCE",'QUOTED PROJECTS-Current Year'!J2:J2525,"R",'QUOTED PROJECTS-Current Year'!Q2:Q2525,"WON")</f>
        <v>5</v>
      </c>
      <c r="E7" s="123">
        <f t="shared" si="0"/>
        <v>11.363636363636363</v>
      </c>
      <c r="F7" s="176">
        <f>SUMIFS('QUOTED PROJECTS-Current Year'!L2:L2525,'QUOTED PROJECTS-Current Year'!H2:H2525,"MAXFORCE",'QUOTED PROJECTS-Current Year'!J2:J2525,"R",'QUOTED PROJECTS-Current Year'!Q2:Q2525,"LOST")</f>
        <v>21</v>
      </c>
      <c r="G7" s="123">
        <f t="shared" si="1"/>
        <v>47.727272727272727</v>
      </c>
      <c r="H7" s="123">
        <f t="shared" si="2"/>
        <v>19.230769230769234</v>
      </c>
      <c r="I7" s="176">
        <f>SUMIFS('QUOTED PROJECTS-Current Year'!L2:L2525,'QUOTED PROJECTS-Current Year'!H2:H2525,"MAXFORCE",'QUOTED PROJECTS-Current Year'!J2:J2525,"R",'QUOTED PROJECTS-Current Year'!Q2:Q2525,"PENDING")</f>
        <v>18</v>
      </c>
      <c r="J7" s="123">
        <f t="shared" si="3"/>
        <v>40.909090909090914</v>
      </c>
    </row>
    <row r="8" spans="1:10" ht="15" thickBot="1">
      <c r="A8" s="174" t="s">
        <v>35</v>
      </c>
      <c r="B8" s="175" t="s">
        <v>36</v>
      </c>
      <c r="C8" s="176">
        <f>SUMIFS('QUOTED PROJECTS-Current Year'!O2:O2525,'QUOTED PROJECTS-Current Year'!H2:H2525,"MAXFORCE",'QUOTED PROJECTS-Current Year'!J2:J2525,"R")</f>
        <v>438.6515500000001</v>
      </c>
      <c r="D8" s="176">
        <f>SUMIFS('QUOTED PROJECTS-Current Year'!O2:O2525,'QUOTED PROJECTS-Current Year'!H2:H2525,"MAXFORCE",'QUOTED PROJECTS-Current Year'!J2:J2525,"R",'QUOTED PROJECTS-Current Year'!Q2:Q2525,"WON")</f>
        <v>48.101550000000003</v>
      </c>
      <c r="E8" s="123">
        <f t="shared" si="0"/>
        <v>10.965776822172403</v>
      </c>
      <c r="F8" s="176">
        <f>SUMIFS('QUOTED PROJECTS-Current Year'!O2:O2525,'QUOTED PROJECTS-Current Year'!H2:H2525,"MAXFORCE",'QUOTED PROJECTS-Current Year'!J2:J2525,"R",'QUOTED PROJECTS-Current Year'!Q2:Q2525,"LOST")</f>
        <v>211.82000000000002</v>
      </c>
      <c r="G8" s="123">
        <f t="shared" si="1"/>
        <v>48.288898101465726</v>
      </c>
      <c r="H8" s="123">
        <f t="shared" si="2"/>
        <v>18.506180037784478</v>
      </c>
      <c r="I8" s="176">
        <f>SUMIFS('QUOTED PROJECTS-Current Year'!O2:O2525,'QUOTED PROJECTS-Current Year'!H2:H2525,"MAXFORCE",'QUOTED PROJECTS-Current Year'!J2:J2525,"R",'QUOTED PROJECTS-Current Year'!Q2:Q2525,"PENDING")</f>
        <v>178.73</v>
      </c>
      <c r="J8" s="123">
        <f t="shared" si="3"/>
        <v>40.745325076361851</v>
      </c>
    </row>
    <row r="9" spans="1:10" ht="15" thickBot="1">
      <c r="A9" s="174" t="s">
        <v>89</v>
      </c>
      <c r="B9" s="175" t="s">
        <v>34</v>
      </c>
      <c r="C9" s="176">
        <f>SUMIFS('QUOTED PROJECTS-Current Year'!L2:L2525,'QUOTED PROJECTS-Current Year'!H2:H2525,"VOLVO",'QUOTED PROJECTS-Current Year'!J2:J2525,"R")</f>
        <v>58.5</v>
      </c>
      <c r="D9" s="176">
        <f>SUMIFS('QUOTED PROJECTS-Current Year'!L2:L2525,'QUOTED PROJECTS-Current Year'!H2:H2525,"VOLVO",'QUOTED PROJECTS-Current Year'!J2:J2525,"R",'QUOTED PROJECTS-Current Year'!Q2:Q2525,"WON")</f>
        <v>3.5</v>
      </c>
      <c r="E9" s="123">
        <f t="shared" si="0"/>
        <v>5.982905982905983</v>
      </c>
      <c r="F9" s="176">
        <f>SUMIFS('QUOTED PROJECTS-Current Year'!L2:L2525,'QUOTED PROJECTS-Current Year'!H2:H2525,"VOLVO",'QUOTED PROJECTS-Current Year'!J2:J2525,"R",'QUOTED PROJECTS-Current Year'!Q2:Q2525,"LOST")</f>
        <v>25</v>
      </c>
      <c r="G9" s="123">
        <f t="shared" si="1"/>
        <v>42.735042735042732</v>
      </c>
      <c r="H9" s="123">
        <f t="shared" si="2"/>
        <v>12.280701754385964</v>
      </c>
      <c r="I9" s="176">
        <f>SUMIFS('QUOTED PROJECTS-Current Year'!L2:L2525,'QUOTED PROJECTS-Current Year'!H2:H2525,"VOLVO",'QUOTED PROJECTS-Current Year'!J2:J2525,"R",'QUOTED PROJECTS-Current Year'!Q2:Q2525,"PENDING")</f>
        <v>30</v>
      </c>
      <c r="J9" s="123">
        <f t="shared" si="3"/>
        <v>51.282051282051277</v>
      </c>
    </row>
    <row r="10" spans="1:10" ht="15" thickBot="1">
      <c r="A10" s="174"/>
      <c r="B10" s="175" t="s">
        <v>36</v>
      </c>
      <c r="C10" s="176">
        <f>SUMIFS('QUOTED PROJECTS-Current Year'!O2:O2525,'QUOTED PROJECTS-Current Year'!H2:H2525,"VOLVO",'QUOTED PROJECTS-Current Year'!J2:J2525,"R")</f>
        <v>1946.7360900000001</v>
      </c>
      <c r="D10" s="176">
        <f>SUMIFS('QUOTED PROJECTS-Current Year'!O2:O2525,'QUOTED PROJECTS-Current Year'!H2:H2525,"VOLVO",'QUOTED PROJECTS-Current Year'!J2:J2525,"R",'QUOTED PROJECTS-Current Year'!Q2:Q2525,"WON")</f>
        <v>129.10608999999999</v>
      </c>
      <c r="E10" s="123">
        <f t="shared" si="0"/>
        <v>6.6319256453503144</v>
      </c>
      <c r="F10" s="176">
        <f>SUMIFS('QUOTED PROJECTS-Current Year'!O2:O2525,'QUOTED PROJECTS-Current Year'!H2:H2525,"VOLVO",'QUOTED PROJECTS-Current Year'!J2:J2525,"R",'QUOTED PROJECTS-Current Year'!Q2:Q2525,"LOST")</f>
        <v>628.71</v>
      </c>
      <c r="G10" s="123">
        <f t="shared" si="1"/>
        <v>32.295594828161839</v>
      </c>
      <c r="H10" s="123">
        <f t="shared" si="2"/>
        <v>17.03659920971063</v>
      </c>
      <c r="I10" s="176">
        <f>SUMIFS('QUOTED PROJECTS-Current Year'!O2:O2525,'QUOTED PROJECTS-Current Year'!H2:H2525,"VOLVO",'QUOTED PROJECTS-Current Year'!J2:J2525,"R",'QUOTED PROJECTS-Current Year'!Q2:Q2525,"PENDING")</f>
        <v>1188.9200000000003</v>
      </c>
      <c r="J10" s="123">
        <f t="shared" si="3"/>
        <v>61.072479526487854</v>
      </c>
    </row>
    <row r="11" spans="1:10" ht="15" thickBot="1">
      <c r="A11" s="174" t="s">
        <v>25</v>
      </c>
      <c r="B11" s="175" t="s">
        <v>37</v>
      </c>
      <c r="C11" s="176">
        <f>C3+C5+C7+C9</f>
        <v>142.5</v>
      </c>
      <c r="D11" s="176">
        <f>D3+D5+D7+D9</f>
        <v>16.5</v>
      </c>
      <c r="E11" s="123">
        <f t="shared" si="0"/>
        <v>11.578947368421053</v>
      </c>
      <c r="F11" s="176">
        <f>F3+F5+F7+F9</f>
        <v>54</v>
      </c>
      <c r="G11" s="123">
        <f t="shared" si="1"/>
        <v>37.894736842105267</v>
      </c>
      <c r="H11" s="123">
        <f t="shared" si="2"/>
        <v>23.404255319148938</v>
      </c>
      <c r="I11" s="176">
        <f>I3+I5+I7+I9</f>
        <v>72</v>
      </c>
      <c r="J11" s="123">
        <f t="shared" si="3"/>
        <v>50.526315789473685</v>
      </c>
    </row>
    <row r="12" spans="1:10" ht="15" thickBot="1">
      <c r="A12" s="174" t="s">
        <v>38</v>
      </c>
      <c r="B12" s="175" t="s">
        <v>39</v>
      </c>
      <c r="C12" s="176">
        <f>C4+C6+C8+C10</f>
        <v>4114.9154300000009</v>
      </c>
      <c r="D12" s="176">
        <f>D4+D6+D8+D10</f>
        <v>539.56542999999999</v>
      </c>
      <c r="E12" s="123">
        <f t="shared" si="0"/>
        <v>13.112430599819152</v>
      </c>
      <c r="F12" s="176">
        <f>F4+F6+F8+F10</f>
        <v>1137.92</v>
      </c>
      <c r="G12" s="123">
        <f t="shared" si="1"/>
        <v>27.653545239446142</v>
      </c>
      <c r="H12" s="123">
        <f t="shared" si="2"/>
        <v>32.165133619074112</v>
      </c>
      <c r="I12" s="176">
        <f>I4+I6+I8+I10</f>
        <v>2437.4300000000003</v>
      </c>
      <c r="J12" s="123">
        <f t="shared" si="3"/>
        <v>59.234024160734691</v>
      </c>
    </row>
  </sheetData>
  <mergeCells count="10">
    <mergeCell ref="J1:J2"/>
    <mergeCell ref="I1:I2"/>
    <mergeCell ref="A1:A2"/>
    <mergeCell ref="B1:B2"/>
    <mergeCell ref="C1:C2"/>
    <mergeCell ref="D1:D2"/>
    <mergeCell ref="F1:F2"/>
    <mergeCell ref="H1:H2"/>
    <mergeCell ref="E1:E2"/>
    <mergeCell ref="G1: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33"/>
  <dimension ref="A1:J12"/>
  <sheetViews>
    <sheetView zoomScale="145" zoomScaleNormal="145" workbookViewId="0">
      <selection activeCell="H17" sqref="H17"/>
    </sheetView>
  </sheetViews>
  <sheetFormatPr defaultRowHeight="12.75"/>
  <cols>
    <col min="1" max="1" width="6.7109375" style="112" bestFit="1" customWidth="1" collapsed="1"/>
    <col min="2" max="2" width="4.140625" style="112" bestFit="1" customWidth="1" collapsed="1"/>
    <col min="3" max="3" width="7" style="112" bestFit="1" customWidth="1" collapsed="1"/>
    <col min="4" max="6" width="5.42578125" style="112" bestFit="1" customWidth="1" collapsed="1"/>
    <col min="7" max="8" width="5.140625" style="112" bestFit="1" customWidth="1" collapsed="1"/>
    <col min="9" max="9" width="5.7109375" style="112" bestFit="1" customWidth="1" collapsed="1"/>
    <col min="10" max="10" width="6.140625" style="112" bestFit="1" customWidth="1" collapsed="1"/>
    <col min="11" max="16384" width="9.140625" style="112" collapsed="1"/>
  </cols>
  <sheetData>
    <row r="1" spans="1:10" s="154" customFormat="1">
      <c r="A1" s="327"/>
      <c r="B1" s="325" t="s">
        <v>229</v>
      </c>
      <c r="C1" s="325" t="s">
        <v>228</v>
      </c>
      <c r="D1" s="325" t="s">
        <v>230</v>
      </c>
      <c r="E1" s="325" t="s">
        <v>224</v>
      </c>
      <c r="F1" s="325" t="s">
        <v>231</v>
      </c>
      <c r="G1" s="325" t="s">
        <v>223</v>
      </c>
      <c r="H1" s="325" t="s">
        <v>225</v>
      </c>
      <c r="I1" s="325" t="s">
        <v>232</v>
      </c>
      <c r="J1" s="325" t="s">
        <v>233</v>
      </c>
    </row>
    <row r="2" spans="1:10" s="154" customFormat="1" ht="13.5" thickBot="1">
      <c r="A2" s="328"/>
      <c r="B2" s="326"/>
      <c r="C2" s="326"/>
      <c r="D2" s="326"/>
      <c r="E2" s="326"/>
      <c r="F2" s="326"/>
      <c r="G2" s="326"/>
      <c r="H2" s="326"/>
      <c r="I2" s="326"/>
      <c r="J2" s="326"/>
    </row>
    <row r="3" spans="1:10" ht="15" thickBot="1">
      <c r="A3" s="174" t="s">
        <v>23</v>
      </c>
      <c r="B3" s="175" t="s">
        <v>34</v>
      </c>
      <c r="C3" s="176">
        <f>'Quote Analysis-Retail-Earlier'!C3+'Quote Analysis-Retail-Current'!C3</f>
        <v>143</v>
      </c>
      <c r="D3" s="176">
        <f>'Quote Analysis-Retail-Earlier'!D3+'Quote Analysis-Retail-Current'!D3</f>
        <v>8</v>
      </c>
      <c r="E3" s="123">
        <f>IFERROR(D3/C3*100,0)</f>
        <v>5.5944055944055942</v>
      </c>
      <c r="F3" s="176">
        <f>'Quote Analysis-Retail-Earlier'!F3+'Quote Analysis-Retail-Current'!F3</f>
        <v>19</v>
      </c>
      <c r="G3" s="123">
        <f>IFERROR(F3/C3*100,0)</f>
        <v>13.286713286713287</v>
      </c>
      <c r="H3" s="123">
        <f>IFERROR(D3/(D3+F3)*100,0)</f>
        <v>29.629629629629626</v>
      </c>
      <c r="I3" s="176">
        <f>'Quote Analysis-Retail-Earlier'!I3+'Quote Analysis-Retail-Current'!I3</f>
        <v>116</v>
      </c>
      <c r="J3" s="123">
        <f>IFERROR(I3/C3*100,)</f>
        <v>81.11888111888112</v>
      </c>
    </row>
    <row r="4" spans="1:10" ht="15" thickBot="1">
      <c r="A4" s="174" t="s">
        <v>35</v>
      </c>
      <c r="B4" s="175" t="s">
        <v>36</v>
      </c>
      <c r="C4" s="176">
        <f>'Quote Analysis-Retail-Earlier'!C4+'Quote Analysis-Retail-Current'!C4</f>
        <v>5841.6049000000003</v>
      </c>
      <c r="D4" s="176">
        <f>'Quote Analysis-Retail-Earlier'!D4+'Quote Analysis-Retail-Current'!D4</f>
        <v>362.35779000000002</v>
      </c>
      <c r="E4" s="123">
        <f t="shared" ref="E4:E12" si="0">IFERROR(D4/C4*100,0)</f>
        <v>6.2030520071633051</v>
      </c>
      <c r="F4" s="176">
        <f>'Quote Analysis-Retail-Earlier'!F4+'Quote Analysis-Retail-Current'!F4</f>
        <v>698.43000000000006</v>
      </c>
      <c r="G4" s="123">
        <f t="shared" ref="G4:G12" si="1">IFERROR(F4/C4*100,0)</f>
        <v>11.956132123896294</v>
      </c>
      <c r="H4" s="123">
        <f t="shared" ref="H4:H12" si="2">IFERROR(D4/(D4+F4)*100,0)</f>
        <v>34.159310035044804</v>
      </c>
      <c r="I4" s="176">
        <f>'Quote Analysis-Retail-Earlier'!I4+'Quote Analysis-Retail-Current'!I4</f>
        <v>4780.81711</v>
      </c>
      <c r="J4" s="123">
        <f t="shared" ref="J4:J12" si="3">IFERROR(I4/C4*100,)</f>
        <v>81.840815868940396</v>
      </c>
    </row>
    <row r="5" spans="1:10" ht="15" thickBot="1">
      <c r="A5" s="174" t="s">
        <v>24</v>
      </c>
      <c r="B5" s="175" t="s">
        <v>34</v>
      </c>
      <c r="C5" s="176">
        <f>'Quote Analysis-Retail-Earlier'!C5+'Quote Analysis-Retail-Current'!C5</f>
        <v>2</v>
      </c>
      <c r="D5" s="176">
        <f>'Quote Analysis-Retail-Earlier'!D5+'Quote Analysis-Retail-Current'!D5</f>
        <v>0</v>
      </c>
      <c r="E5" s="123">
        <f t="shared" si="0"/>
        <v>0</v>
      </c>
      <c r="F5" s="176">
        <f>'Quote Analysis-Retail-Earlier'!F5+'Quote Analysis-Retail-Current'!F5</f>
        <v>0</v>
      </c>
      <c r="G5" s="123">
        <f t="shared" si="1"/>
        <v>0</v>
      </c>
      <c r="H5" s="123">
        <f t="shared" si="2"/>
        <v>0</v>
      </c>
      <c r="I5" s="176">
        <f>'Quote Analysis-Retail-Earlier'!I5+'Quote Analysis-Retail-Current'!I5</f>
        <v>2</v>
      </c>
      <c r="J5" s="123">
        <f t="shared" si="3"/>
        <v>100</v>
      </c>
    </row>
    <row r="6" spans="1:10" ht="15" thickBot="1">
      <c r="A6" s="174" t="s">
        <v>35</v>
      </c>
      <c r="B6" s="175" t="s">
        <v>36</v>
      </c>
      <c r="C6" s="176">
        <f>'Quote Analysis-Retail-Earlier'!C6+'Quote Analysis-Retail-Current'!C6</f>
        <v>84.039999999999992</v>
      </c>
      <c r="D6" s="176">
        <f>'Quote Analysis-Retail-Earlier'!D6+'Quote Analysis-Retail-Current'!D6</f>
        <v>0</v>
      </c>
      <c r="E6" s="123">
        <f t="shared" si="0"/>
        <v>0</v>
      </c>
      <c r="F6" s="176">
        <f>'Quote Analysis-Retail-Earlier'!F6+'Quote Analysis-Retail-Current'!F6</f>
        <v>0</v>
      </c>
      <c r="G6" s="123">
        <f t="shared" si="1"/>
        <v>0</v>
      </c>
      <c r="H6" s="123">
        <f t="shared" si="2"/>
        <v>0</v>
      </c>
      <c r="I6" s="176">
        <f>'Quote Analysis-Retail-Earlier'!I6+'Quote Analysis-Retail-Current'!I6</f>
        <v>84.039999999999992</v>
      </c>
      <c r="J6" s="123">
        <f t="shared" si="3"/>
        <v>100</v>
      </c>
    </row>
    <row r="7" spans="1:10" ht="15" thickBot="1">
      <c r="A7" s="174" t="s">
        <v>69</v>
      </c>
      <c r="B7" s="175" t="s">
        <v>34</v>
      </c>
      <c r="C7" s="176">
        <f>'Quote Analysis-Retail-Earlier'!C7+'Quote Analysis-Retail-Current'!C7</f>
        <v>110</v>
      </c>
      <c r="D7" s="176">
        <f>'Quote Analysis-Retail-Earlier'!D7+'Quote Analysis-Retail-Current'!D7</f>
        <v>5</v>
      </c>
      <c r="E7" s="123">
        <f t="shared" si="0"/>
        <v>4.5454545454545459</v>
      </c>
      <c r="F7" s="176">
        <f>'Quote Analysis-Retail-Earlier'!F7+'Quote Analysis-Retail-Current'!F7</f>
        <v>23</v>
      </c>
      <c r="G7" s="123">
        <f t="shared" si="1"/>
        <v>20.909090909090907</v>
      </c>
      <c r="H7" s="123">
        <f t="shared" si="2"/>
        <v>17.857142857142858</v>
      </c>
      <c r="I7" s="176">
        <f>'Quote Analysis-Retail-Earlier'!I7+'Quote Analysis-Retail-Current'!I7</f>
        <v>82</v>
      </c>
      <c r="J7" s="123">
        <f t="shared" si="3"/>
        <v>74.545454545454547</v>
      </c>
    </row>
    <row r="8" spans="1:10" ht="15" thickBot="1">
      <c r="A8" s="174" t="s">
        <v>35</v>
      </c>
      <c r="B8" s="175" t="s">
        <v>36</v>
      </c>
      <c r="C8" s="176">
        <f>'Quote Analysis-Retail-Earlier'!C8+'Quote Analysis-Retail-Current'!C8</f>
        <v>1444.96155</v>
      </c>
      <c r="D8" s="176">
        <f>'Quote Analysis-Retail-Earlier'!D8+'Quote Analysis-Retail-Current'!D8</f>
        <v>48.101550000000003</v>
      </c>
      <c r="E8" s="123">
        <f t="shared" si="0"/>
        <v>3.3289155687222265</v>
      </c>
      <c r="F8" s="176">
        <f>'Quote Analysis-Retail-Earlier'!F8+'Quote Analysis-Retail-Current'!F8</f>
        <v>229.60000000000002</v>
      </c>
      <c r="G8" s="123">
        <f t="shared" si="1"/>
        <v>15.889696165271666</v>
      </c>
      <c r="H8" s="123">
        <f t="shared" si="2"/>
        <v>17.32131131425086</v>
      </c>
      <c r="I8" s="176">
        <f>'Quote Analysis-Retail-Earlier'!I8+'Quote Analysis-Retail-Current'!I8</f>
        <v>1167.26</v>
      </c>
      <c r="J8" s="123">
        <f t="shared" si="3"/>
        <v>80.781388266006104</v>
      </c>
    </row>
    <row r="9" spans="1:10" ht="15" thickBot="1">
      <c r="A9" s="174" t="s">
        <v>89</v>
      </c>
      <c r="B9" s="175" t="s">
        <v>34</v>
      </c>
      <c r="C9" s="176">
        <f>'Quote Analysis-Retail-Earlier'!C9+'Quote Analysis-Retail-Current'!C9</f>
        <v>198.5</v>
      </c>
      <c r="D9" s="176">
        <f>'Quote Analysis-Retail-Earlier'!D9+'Quote Analysis-Retail-Current'!D9</f>
        <v>7.5</v>
      </c>
      <c r="E9" s="123">
        <f t="shared" si="0"/>
        <v>3.7783375314861463</v>
      </c>
      <c r="F9" s="176">
        <f>'Quote Analysis-Retail-Earlier'!F9+'Quote Analysis-Retail-Current'!F9</f>
        <v>34</v>
      </c>
      <c r="G9" s="123">
        <f t="shared" si="1"/>
        <v>17.128463476070529</v>
      </c>
      <c r="H9" s="123">
        <f t="shared" si="2"/>
        <v>18.072289156626507</v>
      </c>
      <c r="I9" s="176">
        <f>'Quote Analysis-Retail-Earlier'!I9+'Quote Analysis-Retail-Current'!I9</f>
        <v>157</v>
      </c>
      <c r="J9" s="123">
        <f t="shared" si="3"/>
        <v>79.09319899244332</v>
      </c>
    </row>
    <row r="10" spans="1:10" ht="15" thickBot="1">
      <c r="A10" s="174"/>
      <c r="B10" s="175" t="s">
        <v>36</v>
      </c>
      <c r="C10" s="176">
        <f>'Quote Analysis-Retail-Earlier'!C10+'Quote Analysis-Retail-Current'!C10</f>
        <v>8236.4814399999996</v>
      </c>
      <c r="D10" s="176">
        <f>'Quote Analysis-Retail-Earlier'!D10+'Quote Analysis-Retail-Current'!D10</f>
        <v>302.90609000000001</v>
      </c>
      <c r="E10" s="123">
        <f t="shared" si="0"/>
        <v>3.6776151589312631</v>
      </c>
      <c r="F10" s="176">
        <f>'Quote Analysis-Retail-Earlier'!F10+'Quote Analysis-Retail-Current'!F10</f>
        <v>1101.7800000000002</v>
      </c>
      <c r="G10" s="123">
        <f t="shared" si="1"/>
        <v>13.376828540513294</v>
      </c>
      <c r="H10" s="123">
        <f t="shared" si="2"/>
        <v>21.563970210597013</v>
      </c>
      <c r="I10" s="176">
        <f>'Quote Analysis-Retail-Earlier'!I10+'Quote Analysis-Retail-Current'!I10</f>
        <v>6831.7953500000012</v>
      </c>
      <c r="J10" s="123">
        <f t="shared" si="3"/>
        <v>82.945556300555467</v>
      </c>
    </row>
    <row r="11" spans="1:10" ht="15" thickBot="1">
      <c r="A11" s="174" t="s">
        <v>25</v>
      </c>
      <c r="B11" s="175" t="s">
        <v>37</v>
      </c>
      <c r="C11" s="176">
        <f>C3+C5+C7+C9</f>
        <v>453.5</v>
      </c>
      <c r="D11" s="176">
        <f>D3+D5+D7+D9</f>
        <v>20.5</v>
      </c>
      <c r="E11" s="123">
        <f t="shared" si="0"/>
        <v>4.5203969128996695</v>
      </c>
      <c r="F11" s="176">
        <f>F3+F5+F7+F9</f>
        <v>76</v>
      </c>
      <c r="G11" s="123">
        <f t="shared" si="1"/>
        <v>16.758544652701211</v>
      </c>
      <c r="H11" s="123">
        <f t="shared" si="2"/>
        <v>21.243523316062177</v>
      </c>
      <c r="I11" s="176">
        <f>I3+I5+I7+I9</f>
        <v>357</v>
      </c>
      <c r="J11" s="123">
        <f t="shared" si="3"/>
        <v>78.721058434399112</v>
      </c>
    </row>
    <row r="12" spans="1:10" ht="15" thickBot="1">
      <c r="A12" s="174" t="s">
        <v>38</v>
      </c>
      <c r="B12" s="175" t="s">
        <v>39</v>
      </c>
      <c r="C12" s="176">
        <f>C4+C6+C8+C10</f>
        <v>15607.087889999999</v>
      </c>
      <c r="D12" s="176">
        <f>D4+D6+D8+D10</f>
        <v>713.36543000000006</v>
      </c>
      <c r="E12" s="123">
        <f t="shared" si="0"/>
        <v>4.570778578475732</v>
      </c>
      <c r="F12" s="176">
        <f>F4+F6+F8+F10</f>
        <v>2029.8100000000004</v>
      </c>
      <c r="G12" s="123">
        <f t="shared" si="1"/>
        <v>13.005693402294286</v>
      </c>
      <c r="H12" s="123">
        <f t="shared" si="2"/>
        <v>26.00509694708078</v>
      </c>
      <c r="I12" s="176">
        <f>I4+I6+I8+I10</f>
        <v>12863.912460000001</v>
      </c>
      <c r="J12" s="123">
        <f t="shared" si="3"/>
        <v>82.423528019229991</v>
      </c>
    </row>
  </sheetData>
  <mergeCells count="10">
    <mergeCell ref="J1:J2"/>
    <mergeCell ref="I1:I2"/>
    <mergeCell ref="A1:A2"/>
    <mergeCell ref="B1:B2"/>
    <mergeCell ref="C1:C2"/>
    <mergeCell ref="D1:D2"/>
    <mergeCell ref="F1:F2"/>
    <mergeCell ref="H1:H2"/>
    <mergeCell ref="E1:E2"/>
    <mergeCell ref="G1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/>
  <dimension ref="A1:H10"/>
  <sheetViews>
    <sheetView zoomScale="160" zoomScaleNormal="160" workbookViewId="0">
      <selection activeCell="B4" sqref="B4:G10"/>
    </sheetView>
  </sheetViews>
  <sheetFormatPr defaultRowHeight="12.75"/>
  <cols>
    <col min="1" max="1" width="10" style="19" bestFit="1" customWidth="1" collapsed="1"/>
    <col min="2" max="2" width="5.140625" style="19" bestFit="1" customWidth="1" collapsed="1"/>
    <col min="3" max="3" width="7.7109375" style="19" bestFit="1" customWidth="1" collapsed="1"/>
    <col min="4" max="4" width="4.5703125" style="19" bestFit="1" customWidth="1" collapsed="1"/>
    <col min="5" max="5" width="7.7109375" style="19" bestFit="1" customWidth="1" collapsed="1"/>
    <col min="6" max="6" width="5.140625" style="19" bestFit="1" customWidth="1" collapsed="1"/>
    <col min="7" max="7" width="7.7109375" style="19" bestFit="1" customWidth="1" collapsed="1"/>
    <col min="8" max="16384" width="9.140625" style="19" collapsed="1"/>
  </cols>
  <sheetData>
    <row r="1" spans="1:8">
      <c r="A1" s="329" t="s">
        <v>1</v>
      </c>
      <c r="B1" s="331" t="s">
        <v>23</v>
      </c>
      <c r="C1" s="332"/>
      <c r="D1" s="331" t="s">
        <v>24</v>
      </c>
      <c r="E1" s="332"/>
      <c r="F1" s="331" t="s">
        <v>25</v>
      </c>
      <c r="G1" s="332"/>
    </row>
    <row r="2" spans="1:8">
      <c r="A2" s="330"/>
      <c r="B2" s="244" t="s">
        <v>157</v>
      </c>
      <c r="C2" s="244" t="s">
        <v>3</v>
      </c>
      <c r="D2" s="244" t="s">
        <v>157</v>
      </c>
      <c r="E2" s="244" t="s">
        <v>3</v>
      </c>
      <c r="F2" s="244" t="s">
        <v>157</v>
      </c>
      <c r="G2" s="244" t="s">
        <v>3</v>
      </c>
    </row>
    <row r="3" spans="1:8">
      <c r="A3" s="172"/>
      <c r="B3" s="172"/>
      <c r="C3" s="172"/>
      <c r="D3" s="172"/>
      <c r="E3" s="172"/>
      <c r="F3" s="172"/>
      <c r="G3" s="172"/>
    </row>
    <row r="4" spans="1:8">
      <c r="A4" s="171" t="s">
        <v>26</v>
      </c>
      <c r="B4" s="172">
        <f>SUMIFS('QUOTED PROJECTS-Earlier Yr'!$L$2:$L$2598,'QUOTED PROJECTS-Earlier Yr'!$H$2:$H$2598,"PERKINS",'QUOTED PROJECTS-Earlier Yr'!$Q$2:$Q$2598,"PENDING",'QUOTED PROJECTS-Earlier Yr'!$J$2:$J$2598,"P",'QUOTED PROJECTS-Earlier Yr'!$T$2:$T$2598,"R")+SUMIFS('UPCOMNG PROJETCS'!$G$2:$G$2761,'UPCOMNG PROJETCS'!$E$2:$E$2761,"PERKINS",'UPCOMNG PROJETCS'!$I$2:$I$2761,"P",'UPCOMNG PROJETCS'!$J$2:$J$2761,"R")+SUMIFS('QUOTED PROJECTS-Current Year'!$L$2:$L$2525,'QUOTED PROJECTS-Current Year'!$H$2:$H$2525,"PERKINS",'QUOTED PROJECTS-Current Year'!$Q$2:$Q$2525,"PENDING",'QUOTED PROJECTS-Current Year'!$J$2:$J$2525,"P",'QUOTED PROJECTS-Current Year'!$T$2:$T$2525,"R")</f>
        <v>88</v>
      </c>
      <c r="C4" s="172">
        <f>SUMIFS('QUOTED PROJECTS-Earlier Yr'!$O$2:$O$2598,'QUOTED PROJECTS-Earlier Yr'!$H$2:$H$2598,"PERKINS",'QUOTED PROJECTS-Earlier Yr'!$Q$2:$Q$2598,"PENDING",'QUOTED PROJECTS-Earlier Yr'!$J$2:$J$2598,"P",'QUOTED PROJECTS-Earlier Yr'!$T$2:$T$2598,"R")+SUMIFS('UPCOMNG PROJETCS'!$H$2:$H$2761,'UPCOMNG PROJETCS'!$E$2:$E$2761,"PERKINS",'UPCOMNG PROJETCS'!$I$2:$I$2761,"P",'UPCOMNG PROJETCS'!$J$2:$J$2761,"R")+SUMIFS('QUOTED PROJECTS-Current Year'!$O$2:$O$2525,'QUOTED PROJECTS-Current Year'!$H$2:$H$2525,"PERKINS",'QUOTED PROJECTS-Current Year'!$Q$2:$Q$2525,"PENDING",'QUOTED PROJECTS-Current Year'!$J$2:$J$2525,"P",'QUOTED PROJECTS-Current Year'!$T$2:$T$2525,"R")</f>
        <v>9672.8885699999992</v>
      </c>
      <c r="D4" s="172">
        <f>SUMIFS('QUOTED PROJECTS-Earlier Yr'!$L$2:$L$2598,'QUOTED PROJECTS-Earlier Yr'!$H$2:$H$2598,"MTU",'QUOTED PROJECTS-Earlier Yr'!$Q$2:$Q$2598,"PENDING",'QUOTED PROJECTS-Earlier Yr'!$J$2:$J$2598,"P",'QUOTED PROJECTS-Earlier Yr'!$T$2:$T$2598,"R")+SUMIFS('UPCOMNG PROJETCS'!$G$2:$G$2761,'UPCOMNG PROJETCS'!$E$2:$E$2761,"MTU",'UPCOMNG PROJETCS'!$I$2:$I$2761,"P",'UPCOMNG PROJETCS'!$J$2:$J$2761,"R")+SUMIFS('QUOTED PROJECTS-Current Year'!$L$2:$L$2525,'QUOTED PROJECTS-Current Year'!$H$2:$H$2525,"MTU",'QUOTED PROJECTS-Current Year'!$Q$2:$Q$2525,"PENDING",'QUOTED PROJECTS-Current Year'!$J$2:$J$2525,"P",'QUOTED PROJECTS-Current Year'!$T$2:$T$2525,"R")</f>
        <v>16</v>
      </c>
      <c r="E4" s="172">
        <f>SUMIFS('QUOTED PROJECTS-Earlier Yr'!$O$2:$O$2598,'QUOTED PROJECTS-Earlier Yr'!$H$2:$H$2598,"MTU",'QUOTED PROJECTS-Earlier Yr'!$Q$2:$Q$2598,"PENDING",'QUOTED PROJECTS-Earlier Yr'!$J$2:$J$2598,"P",'QUOTED PROJECTS-Earlier Yr'!$T$2:$T$2598,"R")+SUMIFS('UPCOMNG PROJETCS'!$H$2:$H$2761,'UPCOMNG PROJETCS'!$E$2:$E$2761,"MTU",'UPCOMNG PROJETCS'!$I$2:$I$2761,"P",'UPCOMNG PROJETCS'!$J$2:$J$2761,"R")+SUMIFS('QUOTED PROJECTS-Current Year'!$O$2:$O$2525,'QUOTED PROJECTS-Current Year'!$H$2:$H$2525,"MTU",'QUOTED PROJECTS-Current Year'!$Q$2:$Q$2525,"PENDING",'QUOTED PROJECTS-Current Year'!$J$2:$J$2525,"P",'QUOTED PROJECTS-Current Year'!$T$2:$T$2525,"R")</f>
        <v>7920.8700000000008</v>
      </c>
      <c r="F4" s="172">
        <f>B4+D4</f>
        <v>104</v>
      </c>
      <c r="G4" s="172">
        <f>C4+E4</f>
        <v>17593.758569999998</v>
      </c>
    </row>
    <row r="5" spans="1:8">
      <c r="A5" s="172"/>
      <c r="B5" s="172"/>
      <c r="C5" s="172"/>
      <c r="D5" s="172"/>
      <c r="E5" s="172"/>
      <c r="F5" s="172"/>
      <c r="G5" s="172"/>
    </row>
    <row r="6" spans="1:8">
      <c r="A6" s="173" t="s">
        <v>27</v>
      </c>
      <c r="B6" s="172">
        <f>SUMIFS('QUOTED PROJECTS-Earlier Yr'!$L$2:$L$2598,'QUOTED PROJECTS-Earlier Yr'!$H$2:$H$2598,"PERKINS",'QUOTED PROJECTS-Earlier Yr'!$Q$2:$Q$2598,"PENDING",'QUOTED PROJECTS-Earlier Yr'!$J$2:$J$2598,"P",'QUOTED PROJECTS-Earlier Yr'!$T$2:$T$2598,"Y")+SUMIFS('UPCOMNG PROJETCS'!$G$2:$G$2761,'UPCOMNG PROJETCS'!$E$2:$E$2761,"PERKINS",'UPCOMNG PROJETCS'!$I$2:$I$2761,"P",'UPCOMNG PROJETCS'!$J$2:$J$2761,"y")+SUMIFS('QUOTED PROJECTS-Current Year'!$L$2:$L$2525,'QUOTED PROJECTS-Current Year'!$H$2:$H$2525,"PERKINS",'QUOTED PROJECTS-Current Year'!$Q$2:$Q$2525,"PENDING",'QUOTED PROJECTS-Current Year'!$J$2:$J$2525,"P",'QUOTED PROJECTS-Current Year'!$T$2:$T$2525,"y")</f>
        <v>89</v>
      </c>
      <c r="C6" s="172">
        <f>SUMIFS('QUOTED PROJECTS-Earlier Yr'!$O$2:$O$2598,'QUOTED PROJECTS-Earlier Yr'!$H$2:$H$2598,"PERKINS",'QUOTED PROJECTS-Earlier Yr'!$Q$2:$Q$2598,"PENDING",'QUOTED PROJECTS-Earlier Yr'!$J$2:$J$2598,"P",'QUOTED PROJECTS-Earlier Yr'!$T$2:$T$2598,"Y")+SUMIFS('UPCOMNG PROJETCS'!$H$2:$H$2761,'UPCOMNG PROJETCS'!$E$2:$E$2761,"PERKINS",'UPCOMNG PROJETCS'!$I$2:$I$2761,"P",'UPCOMNG PROJETCS'!$J$2:$J$2761,"y")+SUMIFS('QUOTED PROJECTS-Current Year'!$O$2:$O$2525,'QUOTED PROJECTS-Current Year'!$H$2:$H$2525,"PERKINS",'QUOTED PROJECTS-Current Year'!$Q$2:$Q$2525,"PENDING",'QUOTED PROJECTS-Current Year'!$J$2:$J$2525,"P",'QUOTED PROJECTS-Current Year'!$T$2:$T$2525,"y")</f>
        <v>10939.537689999999</v>
      </c>
      <c r="D6" s="172">
        <f>SUMIFS('QUOTED PROJECTS-Earlier Yr'!$L$2:$L$2598,'QUOTED PROJECTS-Earlier Yr'!$H$2:$H$2598,"MTU",'QUOTED PROJECTS-Earlier Yr'!$Q$2:$Q$2598,"PENDING",'QUOTED PROJECTS-Earlier Yr'!$J$2:$J$2598,"P",'QUOTED PROJECTS-Earlier Yr'!$T$2:$T$2598,"Y")+SUMIFS('UPCOMNG PROJETCS'!$G$2:$G$2761,'UPCOMNG PROJETCS'!$E$2:$E$2761,"MTU",'UPCOMNG PROJETCS'!$I$2:$I$2761,"P",'UPCOMNG PROJETCS'!$J$2:$J$2761,"y")+SUMIFS('QUOTED PROJECTS-Current Year'!$L$2:$L$2525,'QUOTED PROJECTS-Current Year'!$H$2:$H$2525,"MTU",'QUOTED PROJECTS-Current Year'!$Q$2:$Q$2525,"PENDING",'QUOTED PROJECTS-Current Year'!$J$2:$J$2525,"P",'QUOTED PROJECTS-Current Year'!$T$2:$T$2525,"y")</f>
        <v>0</v>
      </c>
      <c r="E6" s="172">
        <f>SUMIFS('QUOTED PROJECTS-Earlier Yr'!$O$2:$O$2598,'QUOTED PROJECTS-Earlier Yr'!$H$2:$H$2598,"MTU",'QUOTED PROJECTS-Earlier Yr'!$Q$2:$Q$2598,"PENDING",'QUOTED PROJECTS-Earlier Yr'!$J$2:$J$2598,"P",'QUOTED PROJECTS-Earlier Yr'!$T$2:$T$2598,"Y")+SUMIFS('UPCOMNG PROJETCS'!$H$2:$H$2761,'UPCOMNG PROJETCS'!$E$2:$E$2761,"MTU",'UPCOMNG PROJETCS'!$I$2:$I$2761,"P",'UPCOMNG PROJETCS'!$J$2:$J$2761,"y")+SUMIFS('QUOTED PROJECTS-Current Year'!$O$2:$O$2525,'QUOTED PROJECTS-Current Year'!$H$2:$H$2525,"MTU",'QUOTED PROJECTS-Current Year'!$Q$2:$Q$2525,"PENDING",'QUOTED PROJECTS-Current Year'!$J$2:$J$2525,"P",'QUOTED PROJECTS-Current Year'!$T$2:$T$2525,"y")</f>
        <v>0</v>
      </c>
      <c r="F6" s="172">
        <f>B6+D6</f>
        <v>89</v>
      </c>
      <c r="G6" s="172">
        <f>C6+E6</f>
        <v>10939.537689999999</v>
      </c>
    </row>
    <row r="7" spans="1:8">
      <c r="A7" s="172"/>
      <c r="B7" s="172"/>
      <c r="C7" s="172"/>
      <c r="D7" s="172"/>
      <c r="E7" s="172"/>
      <c r="F7" s="172"/>
      <c r="G7" s="172"/>
    </row>
    <row r="8" spans="1:8">
      <c r="A8" s="245" t="s">
        <v>28</v>
      </c>
      <c r="B8" s="172">
        <f>SUMIFS('QUOTED PROJECTS-Earlier Yr'!$L$2:$L$2598,'QUOTED PROJECTS-Earlier Yr'!$H$2:$H$2598,"PERKINS",'QUOTED PROJECTS-Earlier Yr'!$Q$2:$Q$2598,"PENDING",'QUOTED PROJECTS-Earlier Yr'!$J$2:$J$2598,"P",'QUOTED PROJECTS-Earlier Yr'!$T$2:$T$2598,"G")+SUMIFS('UPCOMNG PROJETCS'!$G$2:$G$2761,'UPCOMNG PROJETCS'!$E$2:$E$2761,"PERKINS",'UPCOMNG PROJETCS'!$I$2:$I$2761,"P",'UPCOMNG PROJETCS'!$J$2:$J$2761,"G")+SUMIFS('QUOTED PROJECTS-Current Year'!$L$2:$L$2525,'QUOTED PROJECTS-Current Year'!$H$2:$H$2525,"PERKINS",'QUOTED PROJECTS-Current Year'!$Q$2:$Q$2525,"PENDING",'QUOTED PROJECTS-Current Year'!$J$2:$J$2525,"P",'QUOTED PROJECTS-Current Year'!$T$2:$T$2525,"G")</f>
        <v>4</v>
      </c>
      <c r="C8" s="172">
        <f>SUMIFS('QUOTED PROJECTS-Earlier Yr'!$O$2:$O$2598,'QUOTED PROJECTS-Earlier Yr'!$H$2:$H$2598,"PERKINS",'QUOTED PROJECTS-Earlier Yr'!$Q$2:$Q$2598,"PENDING",'QUOTED PROJECTS-Earlier Yr'!$J$2:$J$2598,"P",'QUOTED PROJECTS-Earlier Yr'!$T$2:$T$2598,"G")+SUMIFS('UPCOMNG PROJETCS'!$H$2:$H$2761,'UPCOMNG PROJETCS'!$E$2:$E$2761,"PERKINS",'UPCOMNG PROJETCS'!$I$2:$I$2761,"P",'UPCOMNG PROJETCS'!$J$2:$J$2761,"G")+SUMIFS('QUOTED PROJECTS-Current Year'!$O$2:$O$2525,'QUOTED PROJECTS-Current Year'!$H$2:$H$2525,"PERKINS",'QUOTED PROJECTS-Current Year'!$Q$2:$Q$2525,"PENDING",'QUOTED PROJECTS-Current Year'!$J$2:$J$2525,"P",'QUOTED PROJECTS-Current Year'!$T$2:$T$2525,"G")</f>
        <v>700</v>
      </c>
      <c r="D8" s="172">
        <f>SUMIFS('QUOTED PROJECTS-Earlier Yr'!$L$2:$L$2598,'QUOTED PROJECTS-Earlier Yr'!$H$2:$H$2598,"MTU",'QUOTED PROJECTS-Earlier Yr'!$Q$2:$Q$2598,"PENDING",'QUOTED PROJECTS-Earlier Yr'!$J$2:$J$2598,"P",'QUOTED PROJECTS-Earlier Yr'!$T$2:$T$2598,"G")+SUMIFS('UPCOMNG PROJETCS'!$G$2:$G$2761,'UPCOMNG PROJETCS'!$E$2:$E$2761,"MTU",'UPCOMNG PROJETCS'!$I$2:$I$2761,"P",'UPCOMNG PROJETCS'!$J$2:$J$2761,"G")+SUMIFS('QUOTED PROJECTS-Current Year'!$L$2:$L$2525,'QUOTED PROJECTS-Current Year'!$H$2:$H$2525,"MTU",'QUOTED PROJECTS-Current Year'!$Q$2:$Q$2525,"PENDING",'QUOTED PROJECTS-Current Year'!$J$2:$J$2525,"P",'QUOTED PROJECTS-Current Year'!$T$2:$T$2525,"G")</f>
        <v>0</v>
      </c>
      <c r="E8" s="172">
        <f>SUMIFS('QUOTED PROJECTS-Earlier Yr'!$O$2:$O$2598,'QUOTED PROJECTS-Earlier Yr'!$H$2:$H$2598,"MTU",'QUOTED PROJECTS-Earlier Yr'!$Q$2:$Q$2598,"PENDING",'QUOTED PROJECTS-Earlier Yr'!$J$2:$J$2598,"P",'QUOTED PROJECTS-Earlier Yr'!$T$2:$T$2598,"G")+SUMIFS('UPCOMNG PROJETCS'!$H$2:$H$2761,'UPCOMNG PROJETCS'!$E$2:$E$2761,"MTU",'UPCOMNG PROJETCS'!$I$2:$I$2761,"P",'UPCOMNG PROJETCS'!$J$2:$J$2761,"G")+SUMIFS('QUOTED PROJECTS-Current Year'!$O$2:$O$2525,'QUOTED PROJECTS-Current Year'!$H$2:$H$2525,"MTU",'QUOTED PROJECTS-Current Year'!$Q$2:$Q$2525,"PENDING",'QUOTED PROJECTS-Current Year'!$J$2:$J$2525,"P",'QUOTED PROJECTS-Current Year'!$T$2:$T$2525,"G")</f>
        <v>0</v>
      </c>
      <c r="F8" s="172">
        <f>B8+D8</f>
        <v>4</v>
      </c>
      <c r="G8" s="172">
        <f>C8+E8</f>
        <v>700</v>
      </c>
    </row>
    <row r="9" spans="1:8">
      <c r="A9" s="172"/>
      <c r="B9" s="172"/>
      <c r="C9" s="172"/>
      <c r="D9" s="172"/>
      <c r="E9" s="172"/>
      <c r="F9" s="172"/>
      <c r="G9" s="172"/>
    </row>
    <row r="10" spans="1:8">
      <c r="A10" s="246" t="s">
        <v>29</v>
      </c>
      <c r="B10" s="246">
        <f t="shared" ref="B10:F10" si="0">SUM(B4:B8)</f>
        <v>181</v>
      </c>
      <c r="C10" s="246">
        <f t="shared" si="0"/>
        <v>21312.42626</v>
      </c>
      <c r="D10" s="246">
        <f t="shared" si="0"/>
        <v>16</v>
      </c>
      <c r="E10" s="246">
        <f t="shared" si="0"/>
        <v>7920.8700000000008</v>
      </c>
      <c r="F10" s="246">
        <f t="shared" si="0"/>
        <v>197</v>
      </c>
      <c r="G10" s="246">
        <f>SUM(G4:G8)</f>
        <v>29233.296259999996</v>
      </c>
      <c r="H10" s="270"/>
    </row>
  </sheetData>
  <mergeCells count="4">
    <mergeCell ref="A1:A2"/>
    <mergeCell ref="B1:C1"/>
    <mergeCell ref="D1:E1"/>
    <mergeCell ref="F1:G1"/>
  </mergeCells>
  <phoneticPr fontId="8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26"/>
  <dimension ref="A1:AD36"/>
  <sheetViews>
    <sheetView zoomScale="85" zoomScaleNormal="85" workbookViewId="0">
      <pane xSplit="1" ySplit="8" topLeftCell="B15" activePane="bottomRight" state="frozen"/>
      <selection activeCell="K25" sqref="K25"/>
      <selection pane="topRight" activeCell="K25" sqref="K25"/>
      <selection pane="bottomLeft" activeCell="K25" sqref="K25"/>
      <selection pane="bottomRight" activeCell="D29" sqref="D29"/>
    </sheetView>
  </sheetViews>
  <sheetFormatPr defaultRowHeight="12.75"/>
  <cols>
    <col min="1" max="1" width="9.140625" style="19" collapsed="1"/>
    <col min="2" max="2" width="9.140625" style="110" collapsed="1"/>
    <col min="3" max="3" width="9.140625" style="19" collapsed="1"/>
    <col min="4" max="4" width="9.140625" style="110" collapsed="1"/>
    <col min="5" max="5" width="9.140625" style="19" collapsed="1"/>
    <col min="6" max="6" width="9.140625" style="110" collapsed="1"/>
    <col min="7" max="7" width="9.140625" style="19" collapsed="1"/>
    <col min="8" max="8" width="9.140625" style="110" collapsed="1"/>
    <col min="9" max="9" width="9.140625" style="19" collapsed="1"/>
    <col min="10" max="10" width="9.140625" style="110" collapsed="1"/>
    <col min="11" max="11" width="9.140625" style="19" collapsed="1"/>
    <col min="12" max="12" width="9.140625" style="110" collapsed="1"/>
    <col min="13" max="13" width="9.140625" style="19" collapsed="1"/>
    <col min="14" max="14" width="9.140625" style="110" collapsed="1"/>
    <col min="15" max="15" width="9.140625" style="19" collapsed="1"/>
    <col min="16" max="16" width="9.140625" style="110" collapsed="1"/>
    <col min="17" max="17" width="9.140625" style="19" collapsed="1"/>
    <col min="18" max="18" width="9.140625" style="110" collapsed="1"/>
    <col min="19" max="19" width="9.140625" style="19" collapsed="1"/>
    <col min="20" max="20" width="9.140625" style="110" collapsed="1"/>
    <col min="21" max="21" width="9.140625" style="19" collapsed="1"/>
    <col min="22" max="22" width="9.140625" style="110" collapsed="1"/>
    <col min="23" max="23" width="9.140625" style="19" collapsed="1"/>
    <col min="24" max="24" width="9.140625" style="110" collapsed="1"/>
    <col min="25" max="25" width="9.140625" style="19" collapsed="1"/>
    <col min="26" max="26" width="9.140625" style="110" collapsed="1"/>
    <col min="27" max="16384" width="9.140625" style="19" collapsed="1"/>
  </cols>
  <sheetData>
    <row r="1" spans="1:30">
      <c r="A1" s="333" t="s">
        <v>91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  <c r="S1" s="333"/>
      <c r="T1" s="333"/>
      <c r="U1" s="333"/>
      <c r="V1" s="333"/>
      <c r="W1" s="333"/>
      <c r="X1" s="333"/>
      <c r="Y1" s="333"/>
      <c r="Z1" s="333"/>
      <c r="AA1" s="333"/>
    </row>
    <row r="2" spans="1:30" ht="13.5" thickBot="1">
      <c r="A2" s="1" t="s">
        <v>50</v>
      </c>
    </row>
    <row r="3" spans="1:30" ht="13.5" thickBot="1">
      <c r="B3" s="339" t="s">
        <v>51</v>
      </c>
      <c r="C3" s="344"/>
      <c r="D3" s="344"/>
      <c r="E3" s="344"/>
      <c r="F3" s="344"/>
      <c r="G3" s="340"/>
      <c r="H3" s="339" t="s">
        <v>52</v>
      </c>
      <c r="I3" s="344"/>
      <c r="J3" s="344"/>
      <c r="K3" s="344"/>
      <c r="L3" s="344"/>
      <c r="M3" s="340"/>
      <c r="N3" s="339" t="s">
        <v>53</v>
      </c>
      <c r="O3" s="344"/>
      <c r="P3" s="344"/>
      <c r="Q3" s="344"/>
      <c r="R3" s="344"/>
      <c r="S3" s="340"/>
      <c r="T3" s="339" t="s">
        <v>54</v>
      </c>
      <c r="U3" s="344"/>
      <c r="V3" s="344"/>
      <c r="W3" s="344"/>
      <c r="X3" s="344"/>
      <c r="Y3" s="340"/>
      <c r="Z3" s="339" t="s">
        <v>55</v>
      </c>
      <c r="AA3" s="340"/>
      <c r="AB3" s="106"/>
      <c r="AC3" s="106"/>
      <c r="AD3" s="185"/>
    </row>
    <row r="4" spans="1:30">
      <c r="B4" s="337" t="s">
        <v>7</v>
      </c>
      <c r="C4" s="338"/>
      <c r="D4" s="337" t="s">
        <v>8</v>
      </c>
      <c r="E4" s="338"/>
      <c r="F4" s="337" t="s">
        <v>11</v>
      </c>
      <c r="G4" s="338"/>
      <c r="H4" s="337" t="s">
        <v>56</v>
      </c>
      <c r="I4" s="338"/>
      <c r="J4" s="337" t="s">
        <v>12</v>
      </c>
      <c r="K4" s="338"/>
      <c r="L4" s="337" t="s">
        <v>14</v>
      </c>
      <c r="M4" s="338"/>
      <c r="N4" s="337" t="s">
        <v>13</v>
      </c>
      <c r="O4" s="338"/>
      <c r="P4" s="337" t="s">
        <v>57</v>
      </c>
      <c r="Q4" s="338"/>
      <c r="R4" s="337" t="s">
        <v>15</v>
      </c>
      <c r="S4" s="338"/>
      <c r="T4" s="337" t="s">
        <v>58</v>
      </c>
      <c r="U4" s="338"/>
      <c r="V4" s="337" t="s">
        <v>59</v>
      </c>
      <c r="W4" s="338"/>
      <c r="X4" s="337" t="s">
        <v>60</v>
      </c>
      <c r="Y4" s="338"/>
      <c r="Z4" s="131"/>
      <c r="AA4" s="132"/>
    </row>
    <row r="5" spans="1:30">
      <c r="B5" s="107" t="s">
        <v>61</v>
      </c>
      <c r="C5" s="133" t="s">
        <v>62</v>
      </c>
      <c r="D5" s="107" t="s">
        <v>61</v>
      </c>
      <c r="E5" s="133" t="s">
        <v>62</v>
      </c>
      <c r="F5" s="134" t="s">
        <v>61</v>
      </c>
      <c r="G5" s="133" t="s">
        <v>62</v>
      </c>
      <c r="H5" s="107" t="s">
        <v>61</v>
      </c>
      <c r="I5" s="133" t="s">
        <v>62</v>
      </c>
      <c r="J5" s="107" t="s">
        <v>61</v>
      </c>
      <c r="K5" s="133" t="s">
        <v>62</v>
      </c>
      <c r="L5" s="134" t="s">
        <v>61</v>
      </c>
      <c r="M5" s="133" t="s">
        <v>62</v>
      </c>
      <c r="N5" s="107" t="s">
        <v>61</v>
      </c>
      <c r="O5" s="135" t="s">
        <v>62</v>
      </c>
      <c r="P5" s="107" t="s">
        <v>61</v>
      </c>
      <c r="Q5" s="133" t="s">
        <v>62</v>
      </c>
      <c r="R5" s="134" t="s">
        <v>61</v>
      </c>
      <c r="S5" s="133" t="s">
        <v>62</v>
      </c>
      <c r="T5" s="107" t="s">
        <v>61</v>
      </c>
      <c r="U5" s="135" t="s">
        <v>62</v>
      </c>
      <c r="V5" s="107" t="s">
        <v>61</v>
      </c>
      <c r="W5" s="133" t="s">
        <v>62</v>
      </c>
      <c r="X5" s="134" t="s">
        <v>61</v>
      </c>
      <c r="Y5" s="133" t="s">
        <v>62</v>
      </c>
      <c r="Z5" s="107" t="s">
        <v>61</v>
      </c>
      <c r="AA5" s="136" t="s">
        <v>62</v>
      </c>
    </row>
    <row r="6" spans="1:30">
      <c r="B6" s="108"/>
      <c r="C6" s="137"/>
      <c r="D6" s="108"/>
      <c r="E6" s="137"/>
      <c r="F6" s="138"/>
      <c r="G6" s="137"/>
      <c r="H6" s="108"/>
      <c r="I6" s="137"/>
      <c r="J6" s="108"/>
      <c r="K6" s="137"/>
      <c r="L6" s="138"/>
      <c r="M6" s="137"/>
      <c r="N6" s="108"/>
      <c r="O6" s="139"/>
      <c r="P6" s="108"/>
      <c r="Q6" s="137"/>
      <c r="R6" s="138"/>
      <c r="S6" s="137"/>
      <c r="T6" s="108"/>
      <c r="U6" s="139"/>
      <c r="V6" s="108"/>
      <c r="W6" s="137"/>
      <c r="X6" s="138"/>
      <c r="Y6" s="137"/>
      <c r="Z6" s="107"/>
      <c r="AA6" s="140"/>
    </row>
    <row r="7" spans="1:30" s="1" customFormat="1" ht="13.5" thickBot="1">
      <c r="A7" s="1" t="s">
        <v>63</v>
      </c>
      <c r="B7" s="341">
        <f>C32+E32+G32</f>
        <v>4</v>
      </c>
      <c r="C7" s="342"/>
      <c r="D7" s="342"/>
      <c r="E7" s="342"/>
      <c r="F7" s="342"/>
      <c r="G7" s="343"/>
      <c r="H7" s="341">
        <f>I32+K32+M32</f>
        <v>9</v>
      </c>
      <c r="I7" s="342"/>
      <c r="J7" s="342"/>
      <c r="K7" s="342"/>
      <c r="L7" s="342"/>
      <c r="M7" s="343"/>
      <c r="N7" s="341">
        <f>O32+Q32+S32</f>
        <v>0</v>
      </c>
      <c r="O7" s="342"/>
      <c r="P7" s="342"/>
      <c r="Q7" s="342"/>
      <c r="R7" s="342"/>
      <c r="S7" s="343"/>
      <c r="T7" s="341">
        <f>U32+W32+Y32</f>
        <v>0</v>
      </c>
      <c r="U7" s="342"/>
      <c r="V7" s="342"/>
      <c r="W7" s="342"/>
      <c r="X7" s="342"/>
      <c r="Y7" s="343"/>
      <c r="Z7" s="56"/>
      <c r="AA7" s="2"/>
    </row>
    <row r="8" spans="1:30" s="1" customFormat="1" ht="13.5" thickBot="1">
      <c r="B8" s="334">
        <f>B7+H7+N7+T7</f>
        <v>13</v>
      </c>
      <c r="C8" s="335"/>
      <c r="D8" s="335"/>
      <c r="E8" s="335"/>
      <c r="F8" s="335"/>
      <c r="G8" s="335"/>
      <c r="H8" s="335"/>
      <c r="I8" s="335"/>
      <c r="J8" s="335"/>
      <c r="K8" s="335"/>
      <c r="L8" s="335"/>
      <c r="M8" s="335"/>
      <c r="N8" s="335"/>
      <c r="O8" s="335"/>
      <c r="P8" s="335"/>
      <c r="Q8" s="335"/>
      <c r="R8" s="335"/>
      <c r="S8" s="335"/>
      <c r="T8" s="335"/>
      <c r="U8" s="335"/>
      <c r="V8" s="335"/>
      <c r="W8" s="335"/>
      <c r="X8" s="335"/>
      <c r="Y8" s="335"/>
      <c r="Z8" s="335"/>
      <c r="AA8" s="336"/>
    </row>
    <row r="9" spans="1:30">
      <c r="A9" s="1" t="s">
        <v>6</v>
      </c>
      <c r="B9" s="186"/>
      <c r="C9" s="187"/>
      <c r="D9" s="189"/>
      <c r="E9" s="187"/>
      <c r="F9" s="189"/>
      <c r="G9" s="187"/>
      <c r="H9" s="186"/>
      <c r="I9" s="190"/>
      <c r="J9" s="186"/>
      <c r="K9" s="187"/>
      <c r="L9" s="189"/>
      <c r="M9" s="187"/>
      <c r="N9" s="186"/>
      <c r="O9" s="190"/>
      <c r="P9" s="186"/>
      <c r="Q9" s="187"/>
      <c r="R9" s="189"/>
      <c r="S9" s="187"/>
      <c r="T9" s="186"/>
      <c r="U9" s="190"/>
      <c r="V9" s="186"/>
      <c r="W9" s="187"/>
      <c r="X9" s="189"/>
      <c r="Y9" s="187"/>
      <c r="Z9" s="191"/>
      <c r="AA9" s="192"/>
    </row>
    <row r="10" spans="1:30">
      <c r="A10" s="19">
        <v>750</v>
      </c>
      <c r="B10" s="55"/>
      <c r="C10" s="141">
        <f>SUMIFS('QUOTED PROJECTS-Earlier Yr'!$L$2:$L$2598,'QUOTED PROJECTS-Earlier Yr'!$Q$2:$Q$2598,"WON",'QUOTED PROJECTS-Earlier Yr'!$K$2:$K$2598,"750",'QUOTED PROJECTS-Earlier Yr'!$H$2:$H$2598,"MTU",'QUOTED PROJECTS-Earlier Yr'!$R$2:$R$2598,"APR")+SUMIFS('QUOTED PROJECTS-Current Year'!$L$2:$L$2525,'QUOTED PROJECTS-Current Year'!$Q$2:$Q$2525,"WON",'QUOTED PROJECTS-Current Year'!$K$2:$K$2525,"750",'QUOTED PROJECTS-Current Year'!$H$2:$H$2525,"MTU",'QUOTED PROJECTS-Current Year'!$R$2:$R$2525,"APR")</f>
        <v>0</v>
      </c>
      <c r="D10" s="55"/>
      <c r="E10" s="141">
        <f>SUMIFS('QUOTED PROJECTS-Earlier Yr'!$L$2:$L$2598,'QUOTED PROJECTS-Earlier Yr'!$Q$2:$Q$2598,"WON",'QUOTED PROJECTS-Earlier Yr'!$K$2:$K$2598,"750",'QUOTED PROJECTS-Earlier Yr'!$H$2:$H$2598,"MTU",'QUOTED PROJECTS-Earlier Yr'!$R$2:$R$2598,"MAY")+SUMIFS('QUOTED PROJECTS-Current Year'!$L$2:$L$2525,'QUOTED PROJECTS-Current Year'!$Q$2:$Q$2525,"WON",'QUOTED PROJECTS-Current Year'!$K$2:$K$2525,"750",'QUOTED PROJECTS-Current Year'!$H$2:$H$2525,"MTU",'QUOTED PROJECTS-Current Year'!$R$2:$R$2525,"MAY")</f>
        <v>0</v>
      </c>
      <c r="F10" s="55"/>
      <c r="G10" s="141">
        <f>SUMIFS('QUOTED PROJECTS-Earlier Yr'!$L$2:$L$2598,'QUOTED PROJECTS-Earlier Yr'!$Q$2:$Q$2598,"WON",'QUOTED PROJECTS-Earlier Yr'!$K$2:$K$2598,"750",'QUOTED PROJECTS-Earlier Yr'!$H$2:$H$2598,"MTU",'QUOTED PROJECTS-Earlier Yr'!$R$2:$R$2598,"JUN")+SUMIFS('QUOTED PROJECTS-Current Year'!$L$2:$L$2525,'QUOTED PROJECTS-Current Year'!$Q$2:$Q$2525,"WON",'QUOTED PROJECTS-Current Year'!$K$2:$K$2525,"750",'QUOTED PROJECTS-Current Year'!$H$2:$H$2525,"MTU",'QUOTED PROJECTS-Current Year'!$R$2:$R$2525,"JUN")</f>
        <v>0</v>
      </c>
      <c r="H10" s="55"/>
      <c r="I10" s="141">
        <f>SUMIFS('QUOTED PROJECTS-Earlier Yr'!$L$2:$L$2598,'QUOTED PROJECTS-Earlier Yr'!$Q$2:$Q$2598,"WON",'QUOTED PROJECTS-Earlier Yr'!$K$2:$K$2598,"750",'QUOTED PROJECTS-Earlier Yr'!$H$2:$H$2598,"MTU",'QUOTED PROJECTS-Earlier Yr'!$R$2:$R$2598,"JUL")+SUMIFS('QUOTED PROJECTS-Current Year'!$L$2:$L$2525,'QUOTED PROJECTS-Current Year'!$Q$2:$Q$2525,"WON",'QUOTED PROJECTS-Current Year'!$K$2:$K$2525,"750",'QUOTED PROJECTS-Current Year'!$H$2:$H$2525,"MTU",'QUOTED PROJECTS-Current Year'!$R$2:$R$2525,"JUL")</f>
        <v>0</v>
      </c>
      <c r="J10" s="55"/>
      <c r="K10" s="141">
        <f>SUMIFS('QUOTED PROJECTS-Earlier Yr'!$L$2:$L$2598,'QUOTED PROJECTS-Earlier Yr'!$Q$2:$Q$2598,"WON",'QUOTED PROJECTS-Earlier Yr'!$K$2:$K$2598,"750",'QUOTED PROJECTS-Earlier Yr'!$H$2:$H$2598,"MTU",'QUOTED PROJECTS-Earlier Yr'!$R$2:$R$2598,"AUG")+SUMIFS('QUOTED PROJECTS-Current Year'!$L$2:$L$2525,'QUOTED PROJECTS-Current Year'!$Q$2:$Q$2525,"WON",'QUOTED PROJECTS-Current Year'!$K$2:$K$2525,"750",'QUOTED PROJECTS-Current Year'!$H$2:$H$2525,"MTU",'QUOTED PROJECTS-Current Year'!$R$2:$R$2525,"AUG")</f>
        <v>0</v>
      </c>
      <c r="L10" s="55"/>
      <c r="M10" s="141">
        <f>SUMIFS('QUOTED PROJECTS-Earlier Yr'!$L$2:$L$2598,'QUOTED PROJECTS-Earlier Yr'!$Q$2:$Q$2598,"WON",'QUOTED PROJECTS-Earlier Yr'!$K$2:$K$2598,"750",'QUOTED PROJECTS-Earlier Yr'!$H$2:$H$2598,"MTU",'QUOTED PROJECTS-Earlier Yr'!$R$2:$R$2598,"SEPT")+SUMIFS('QUOTED PROJECTS-Current Year'!$L$2:$L$2525,'QUOTED PROJECTS-Current Year'!$Q$2:$Q$2525,"WON",'QUOTED PROJECTS-Current Year'!$K$2:$K$2525,"750",'QUOTED PROJECTS-Current Year'!$H$2:$H$2525,"MTU",'QUOTED PROJECTS-Current Year'!$R$2:$R$2525,"SEPT")</f>
        <v>0</v>
      </c>
      <c r="N10" s="55"/>
      <c r="O10" s="141">
        <f>SUMIFS('QUOTED PROJECTS-Earlier Yr'!$L$2:$L$2598,'QUOTED PROJECTS-Earlier Yr'!$Q$2:$Q$2598,"WON",'QUOTED PROJECTS-Earlier Yr'!$K$2:$K$2598,"750",'QUOTED PROJECTS-Earlier Yr'!$H$2:$H$2598,"MTU",'QUOTED PROJECTS-Earlier Yr'!$R$2:$R$2598,"OCT")+SUMIFS('QUOTED PROJECTS-Current Year'!$L$2:$L$2525,'QUOTED PROJECTS-Current Year'!$Q$2:$Q$2525,"WON",'QUOTED PROJECTS-Current Year'!$K$2:$K$2525,"750",'QUOTED PROJECTS-Current Year'!$H$2:$H$2525,"MTU",'QUOTED PROJECTS-Current Year'!$R$2:$R$2525,"OCT")</f>
        <v>0</v>
      </c>
      <c r="P10" s="55"/>
      <c r="Q10" s="141">
        <f>SUMIFS('QUOTED PROJECTS-Earlier Yr'!$L$2:$L$2598,'QUOTED PROJECTS-Earlier Yr'!$Q$2:$Q$2598,"WON",'QUOTED PROJECTS-Earlier Yr'!$K$2:$K$2598,"750",'QUOTED PROJECTS-Earlier Yr'!$H$2:$H$2598,"MTU",'QUOTED PROJECTS-Earlier Yr'!$R$2:$R$2598,"NOV")+SUMIFS('QUOTED PROJECTS-Current Year'!$L$2:$L$2525,'QUOTED PROJECTS-Current Year'!$Q$2:$Q$2525,"WON",'QUOTED PROJECTS-Current Year'!$K$2:$K$2525,"750",'QUOTED PROJECTS-Current Year'!$H$2:$H$2525,"MTU",'QUOTED PROJECTS-Current Year'!$R$2:$R$2525,"NOV")</f>
        <v>0</v>
      </c>
      <c r="R10" s="55"/>
      <c r="S10" s="141">
        <f>SUMIFS('QUOTED PROJECTS-Earlier Yr'!$L$2:$L$2598,'QUOTED PROJECTS-Earlier Yr'!$Q$2:$Q$2598,"WON",'QUOTED PROJECTS-Earlier Yr'!$K$2:$K$2598,"750",'QUOTED PROJECTS-Earlier Yr'!$H$2:$H$2598,"MTU",'QUOTED PROJECTS-Earlier Yr'!$R$2:$R$2598,"DEC")+SUMIFS('QUOTED PROJECTS-Current Year'!$L$2:$L$2525,'QUOTED PROJECTS-Current Year'!$Q$2:$Q$2525,"WON",'QUOTED PROJECTS-Current Year'!$K$2:$K$2525,"750",'QUOTED PROJECTS-Current Year'!$H$2:$H$2525,"MTU",'QUOTED PROJECTS-Current Year'!$R$2:$R$2525,"DEC")</f>
        <v>0</v>
      </c>
      <c r="T10" s="55"/>
      <c r="U10" s="141">
        <f>SUMIFS('QUOTED PROJECTS-Earlier Yr'!$L$2:$L$2598,'QUOTED PROJECTS-Earlier Yr'!$Q$2:$Q$2598,"WON",'QUOTED PROJECTS-Earlier Yr'!$K$2:$K$2598,"750",'QUOTED PROJECTS-Earlier Yr'!$H$2:$H$2598,"MTU",'QUOTED PROJECTS-Earlier Yr'!$R$2:$R$2598,"JAN")+SUMIFS('QUOTED PROJECTS-Current Year'!$L$2:$L$2525,'QUOTED PROJECTS-Current Year'!$Q$2:$Q$2525,"WON",'QUOTED PROJECTS-Current Year'!$K$2:$K$2525,"750",'QUOTED PROJECTS-Current Year'!$H$2:$H$2525,"MTU",'QUOTED PROJECTS-Current Year'!$R$2:$R$2525,"JAN")</f>
        <v>0</v>
      </c>
      <c r="V10" s="55"/>
      <c r="W10" s="141">
        <f>SUMIFS('QUOTED PROJECTS-Earlier Yr'!$L$2:$L$2598,'QUOTED PROJECTS-Earlier Yr'!$Q$2:$Q$2598,"WON",'QUOTED PROJECTS-Earlier Yr'!$K$2:$K$2598,"750",'QUOTED PROJECTS-Earlier Yr'!$H$2:$H$2598,"MTU",'QUOTED PROJECTS-Earlier Yr'!$R$2:$R$2598,"FEB")+SUMIFS('QUOTED PROJECTS-Current Year'!$L$2:$L$2525,'QUOTED PROJECTS-Current Year'!$Q$2:$Q$2525,"WON",'QUOTED PROJECTS-Current Year'!$K$2:$K$2525,"750",'QUOTED PROJECTS-Current Year'!$H$2:$H$2525,"MTU",'QUOTED PROJECTS-Current Year'!$R$2:$R$2525,"FEB")</f>
        <v>0</v>
      </c>
      <c r="X10" s="55"/>
      <c r="Y10" s="141">
        <f>SUMIFS('QUOTED PROJECTS-Earlier Yr'!$L$2:$L$2598,'QUOTED PROJECTS-Earlier Yr'!$Q$2:$Q$2598,"WON",'QUOTED PROJECTS-Earlier Yr'!$K$2:$K$2598,"750",'QUOTED PROJECTS-Earlier Yr'!$H$2:$H$2598,"MTU",'QUOTED PROJECTS-Earlier Yr'!$R$2:$R$2598,"MAR")+SUMIFS('QUOTED PROJECTS-Current Year'!$L$2:$L$2525,'QUOTED PROJECTS-Current Year'!$Q$2:$Q$2525,"WON",'QUOTED PROJECTS-Current Year'!$K$2:$K$2525,"750",'QUOTED PROJECTS-Current Year'!$H$2:$H$2525,"MTU",'QUOTED PROJECTS-Current Year'!$R$2:$R$2525,"MAR")</f>
        <v>0</v>
      </c>
      <c r="Z10" s="57">
        <f t="shared" ref="Z10:AA20" si="0">B10+D10+F10+H10+J10+L10+N10+P10+R10+T10+V10+X10</f>
        <v>0</v>
      </c>
      <c r="AA10" s="37">
        <f>C10+E10+G10+I10+K10+M10+O10+Q10+S10+U10+W10+Y10</f>
        <v>0</v>
      </c>
    </row>
    <row r="11" spans="1:30">
      <c r="A11" s="19">
        <v>910</v>
      </c>
      <c r="B11" s="55"/>
      <c r="C11" s="141">
        <f>SUMIFS('QUOTED PROJECTS-Earlier Yr'!$L$2:$L$2598,'QUOTED PROJECTS-Earlier Yr'!$Q$2:$Q$2598,"WON",'QUOTED PROJECTS-Earlier Yr'!$K$2:$K$2598,"910",'QUOTED PROJECTS-Earlier Yr'!$H$2:$H$2598,"MTU",'QUOTED PROJECTS-Earlier Yr'!$R$2:$R$2598,"APR")+SUMIFS('QUOTED PROJECTS-Current Year'!$L$2:$L$2525,'QUOTED PROJECTS-Current Year'!$Q$2:$Q$2525,"WON",'QUOTED PROJECTS-Current Year'!$K$2:$K$2525,"910",'QUOTED PROJECTS-Current Year'!$H$2:$H$2525,"MTU",'QUOTED PROJECTS-Current Year'!$R$2:$R$2525,"APR")</f>
        <v>0</v>
      </c>
      <c r="D11" s="55"/>
      <c r="E11" s="141">
        <f>SUMIFS('QUOTED PROJECTS-Earlier Yr'!$L$2:$L$2598,'QUOTED PROJECTS-Earlier Yr'!$Q$2:$Q$2598,"WON",'QUOTED PROJECTS-Earlier Yr'!$K$2:$K$2598,"910",'QUOTED PROJECTS-Earlier Yr'!$H$2:$H$2598,"MTU",'QUOTED PROJECTS-Earlier Yr'!$R$2:$R$2598,"MAY")+SUMIFS('QUOTED PROJECTS-Current Year'!$L$2:$L$2525,'QUOTED PROJECTS-Current Year'!$Q$2:$Q$2525,"WON",'QUOTED PROJECTS-Current Year'!$K$2:$K$2525,"910",'QUOTED PROJECTS-Current Year'!$H$2:$H$2525,"MTU",'QUOTED PROJECTS-Current Year'!$R$2:$R$2525,"MAY")</f>
        <v>0</v>
      </c>
      <c r="F11" s="55"/>
      <c r="G11" s="141">
        <f>SUMIFS('QUOTED PROJECTS-Earlier Yr'!$L$2:$L$2598,'QUOTED PROJECTS-Earlier Yr'!$Q$2:$Q$2598,"WON",'QUOTED PROJECTS-Earlier Yr'!$K$2:$K$2598,"910",'QUOTED PROJECTS-Earlier Yr'!$H$2:$H$2598,"MTU",'QUOTED PROJECTS-Earlier Yr'!$R$2:$R$2598,"JUN")+SUMIFS('QUOTED PROJECTS-Current Year'!$L$2:$L$2525,'QUOTED PROJECTS-Current Year'!$Q$2:$Q$2525,"WON",'QUOTED PROJECTS-Current Year'!$K$2:$K$2525,"910",'QUOTED PROJECTS-Current Year'!$H$2:$H$2525,"MTU",'QUOTED PROJECTS-Current Year'!$R$2:$R$2525,"JUN")</f>
        <v>0</v>
      </c>
      <c r="H11" s="55"/>
      <c r="I11" s="141">
        <f>SUMIFS('QUOTED PROJECTS-Earlier Yr'!$L$2:$L$2598,'QUOTED PROJECTS-Earlier Yr'!$Q$2:$Q$2598,"WON",'QUOTED PROJECTS-Earlier Yr'!$K$2:$K$2598,"910",'QUOTED PROJECTS-Earlier Yr'!$H$2:$H$2598,"MTU",'QUOTED PROJECTS-Earlier Yr'!$R$2:$R$2598,"JUL")+SUMIFS('QUOTED PROJECTS-Current Year'!$L$2:$L$2525,'QUOTED PROJECTS-Current Year'!$Q$2:$Q$2525,"WON",'QUOTED PROJECTS-Current Year'!$K$2:$K$2525,"910",'QUOTED PROJECTS-Current Year'!$H$2:$H$2525,"MTU",'QUOTED PROJECTS-Current Year'!$R$2:$R$2525,"JUL")</f>
        <v>0</v>
      </c>
      <c r="J11" s="55"/>
      <c r="K11" s="141">
        <f>SUMIFS('QUOTED PROJECTS-Earlier Yr'!$L$2:$L$2598,'QUOTED PROJECTS-Earlier Yr'!$Q$2:$Q$2598,"WON",'QUOTED PROJECTS-Earlier Yr'!$K$2:$K$2598,"910",'QUOTED PROJECTS-Earlier Yr'!$H$2:$H$2598,"MTU",'QUOTED PROJECTS-Earlier Yr'!$R$2:$R$2598,"AUG")+SUMIFS('QUOTED PROJECTS-Current Year'!$L$2:$L$2525,'QUOTED PROJECTS-Current Year'!$Q$2:$Q$2525,"WON",'QUOTED PROJECTS-Current Year'!$K$2:$K$2525,"910",'QUOTED PROJECTS-Current Year'!$H$2:$H$2525,"MTU",'QUOTED PROJECTS-Current Year'!$R$2:$R$2525,"AUG")</f>
        <v>0</v>
      </c>
      <c r="L11" s="55"/>
      <c r="M11" s="141">
        <f>SUMIFS('QUOTED PROJECTS-Earlier Yr'!$L$2:$L$2598,'QUOTED PROJECTS-Earlier Yr'!$Q$2:$Q$2598,"WON",'QUOTED PROJECTS-Earlier Yr'!$K$2:$K$2598,"910",'QUOTED PROJECTS-Earlier Yr'!$H$2:$H$2598,"MTU",'QUOTED PROJECTS-Earlier Yr'!$R$2:$R$2598,"SEPT")+SUMIFS('QUOTED PROJECTS-Current Year'!$L$2:$L$2525,'QUOTED PROJECTS-Current Year'!$Q$2:$Q$2525,"WON",'QUOTED PROJECTS-Current Year'!$K$2:$K$2525,"910",'QUOTED PROJECTS-Current Year'!$H$2:$H$2525,"MTU",'QUOTED PROJECTS-Current Year'!$R$2:$R$2525,"SEPT")</f>
        <v>0</v>
      </c>
      <c r="N11" s="55"/>
      <c r="O11" s="141">
        <f>SUMIFS('QUOTED PROJECTS-Earlier Yr'!$L$2:$L$2598,'QUOTED PROJECTS-Earlier Yr'!$Q$2:$Q$2598,"WON",'QUOTED PROJECTS-Earlier Yr'!$K$2:$K$2598,"910",'QUOTED PROJECTS-Earlier Yr'!$H$2:$H$2598,"MTU",'QUOTED PROJECTS-Earlier Yr'!$R$2:$R$2598,"OCT")+SUMIFS('QUOTED PROJECTS-Current Year'!$L$2:$L$2525,'QUOTED PROJECTS-Current Year'!$Q$2:$Q$2525,"WON",'QUOTED PROJECTS-Current Year'!$K$2:$K$2525,"910",'QUOTED PROJECTS-Current Year'!$H$2:$H$2525,"MTU",'QUOTED PROJECTS-Current Year'!$R$2:$R$2525,"OCT")</f>
        <v>0</v>
      </c>
      <c r="P11" s="55"/>
      <c r="Q11" s="141">
        <f>SUMIFS('QUOTED PROJECTS-Earlier Yr'!$L$2:$L$2598,'QUOTED PROJECTS-Earlier Yr'!$Q$2:$Q$2598,"WON",'QUOTED PROJECTS-Earlier Yr'!$K$2:$K$2598,"910",'QUOTED PROJECTS-Earlier Yr'!$H$2:$H$2598,"MTU",'QUOTED PROJECTS-Earlier Yr'!$R$2:$R$2598,"NOV")+SUMIFS('QUOTED PROJECTS-Current Year'!$L$2:$L$2525,'QUOTED PROJECTS-Current Year'!$Q$2:$Q$2525,"WON",'QUOTED PROJECTS-Current Year'!$K$2:$K$2525,"910",'QUOTED PROJECTS-Current Year'!$H$2:$H$2525,"MTU",'QUOTED PROJECTS-Current Year'!$R$2:$R$2525,"NOV")</f>
        <v>0</v>
      </c>
      <c r="R11" s="55"/>
      <c r="S11" s="141">
        <f>SUMIFS('QUOTED PROJECTS-Earlier Yr'!$L$2:$L$2598,'QUOTED PROJECTS-Earlier Yr'!$Q$2:$Q$2598,"WON",'QUOTED PROJECTS-Earlier Yr'!$K$2:$K$2598,"910",'QUOTED PROJECTS-Earlier Yr'!$H$2:$H$2598,"MTU",'QUOTED PROJECTS-Earlier Yr'!$R$2:$R$2598,"DEC")+SUMIFS('QUOTED PROJECTS-Current Year'!$L$2:$L$2525,'QUOTED PROJECTS-Current Year'!$Q$2:$Q$2525,"WON",'QUOTED PROJECTS-Current Year'!$K$2:$K$2525,"910",'QUOTED PROJECTS-Current Year'!$H$2:$H$2525,"MTU",'QUOTED PROJECTS-Current Year'!$R$2:$R$2525,"DEC")</f>
        <v>0</v>
      </c>
      <c r="T11" s="55"/>
      <c r="U11" s="141">
        <f>SUMIFS('QUOTED PROJECTS-Earlier Yr'!$L$2:$L$2598,'QUOTED PROJECTS-Earlier Yr'!$Q$2:$Q$2598,"WON",'QUOTED PROJECTS-Earlier Yr'!$K$2:$K$2598,"910",'QUOTED PROJECTS-Earlier Yr'!$H$2:$H$2598,"MTU",'QUOTED PROJECTS-Earlier Yr'!$R$2:$R$2598,"JAN")+SUMIFS('QUOTED PROJECTS-Current Year'!$L$2:$L$2525,'QUOTED PROJECTS-Current Year'!$Q$2:$Q$2525,"WON",'QUOTED PROJECTS-Current Year'!$K$2:$K$2525,"910",'QUOTED PROJECTS-Current Year'!$H$2:$H$2525,"MTU",'QUOTED PROJECTS-Current Year'!$R$2:$R$2525,"JAN")</f>
        <v>0</v>
      </c>
      <c r="V11" s="55"/>
      <c r="W11" s="141">
        <f>SUMIFS('QUOTED PROJECTS-Earlier Yr'!$L$2:$L$2598,'QUOTED PROJECTS-Earlier Yr'!$Q$2:$Q$2598,"WON",'QUOTED PROJECTS-Earlier Yr'!$K$2:$K$2598,"910",'QUOTED PROJECTS-Earlier Yr'!$H$2:$H$2598,"MTU",'QUOTED PROJECTS-Earlier Yr'!$R$2:$R$2598,"FEB")+SUMIFS('QUOTED PROJECTS-Current Year'!$L$2:$L$2525,'QUOTED PROJECTS-Current Year'!$Q$2:$Q$2525,"WON",'QUOTED PROJECTS-Current Year'!$K$2:$K$2525,"910",'QUOTED PROJECTS-Current Year'!$H$2:$H$2525,"MTU",'QUOTED PROJECTS-Current Year'!$R$2:$R$2525,"FEB")</f>
        <v>0</v>
      </c>
      <c r="X11" s="55"/>
      <c r="Y11" s="141">
        <f>SUMIFS('QUOTED PROJECTS-Earlier Yr'!$L$2:$L$2598,'QUOTED PROJECTS-Earlier Yr'!$Q$2:$Q$2598,"WON",'QUOTED PROJECTS-Earlier Yr'!$K$2:$K$2598,"910",'QUOTED PROJECTS-Earlier Yr'!$H$2:$H$2598,"MTU",'QUOTED PROJECTS-Earlier Yr'!$R$2:$R$2598,"MAR")+SUMIFS('QUOTED PROJECTS-Current Year'!$L$2:$L$2525,'QUOTED PROJECTS-Current Year'!$Q$2:$Q$2525,"WON",'QUOTED PROJECTS-Current Year'!$K$2:$K$2525,"910",'QUOTED PROJECTS-Current Year'!$H$2:$H$2525,"MTU",'QUOTED PROJECTS-Current Year'!$R$2:$R$2525,"MAR")</f>
        <v>0</v>
      </c>
      <c r="Z11" s="57">
        <f t="shared" si="0"/>
        <v>0</v>
      </c>
      <c r="AA11" s="37">
        <f t="shared" si="0"/>
        <v>0</v>
      </c>
    </row>
    <row r="12" spans="1:30">
      <c r="A12" s="19">
        <v>1010</v>
      </c>
      <c r="B12" s="55"/>
      <c r="C12" s="141">
        <f>SUMIFS('QUOTED PROJECTS-Earlier Yr'!$L$2:$L$2598,'QUOTED PROJECTS-Earlier Yr'!$Q$2:$Q$2598,"WON",'QUOTED PROJECTS-Earlier Yr'!$K$2:$K$2598,"1010",'QUOTED PROJECTS-Earlier Yr'!$H$2:$H$2598,"MTU",'QUOTED PROJECTS-Earlier Yr'!$R$2:$R$2598,"APR")+SUMIFS('QUOTED PROJECTS-Current Year'!$L$2:$L$2525,'QUOTED PROJECTS-Current Year'!$Q$2:$Q$2525,"WON",'QUOTED PROJECTS-Current Year'!$K$2:$K$2525,"1010",'QUOTED PROJECTS-Current Year'!$H$2:$H$2525,"MTU",'QUOTED PROJECTS-Current Year'!$R$2:$R$2525,"APR")</f>
        <v>0</v>
      </c>
      <c r="D12" s="55"/>
      <c r="E12" s="141">
        <f>SUMIFS('QUOTED PROJECTS-Earlier Yr'!$L$2:$L$2598,'QUOTED PROJECTS-Earlier Yr'!$Q$2:$Q$2598,"WON",'QUOTED PROJECTS-Earlier Yr'!$K$2:$K$2598,"1010",'QUOTED PROJECTS-Earlier Yr'!$H$2:$H$2598,"MTU",'QUOTED PROJECTS-Earlier Yr'!$R$2:$R$2598,"MAY")+SUMIFS('QUOTED PROJECTS-Current Year'!$L$2:$L$2525,'QUOTED PROJECTS-Current Year'!$Q$2:$Q$2525,"WON",'QUOTED PROJECTS-Current Year'!$K$2:$K$2525,"1010",'QUOTED PROJECTS-Current Year'!$H$2:$H$2525,"MTU",'QUOTED PROJECTS-Current Year'!$R$2:$R$2525,"MAY")</f>
        <v>0</v>
      </c>
      <c r="F12" s="55"/>
      <c r="G12" s="141">
        <f>SUMIFS('QUOTED PROJECTS-Earlier Yr'!$L$2:$L$2598,'QUOTED PROJECTS-Earlier Yr'!$Q$2:$Q$2598,"WON",'QUOTED PROJECTS-Earlier Yr'!$K$2:$K$2598,"1010",'QUOTED PROJECTS-Earlier Yr'!$H$2:$H$2598,"MTU",'QUOTED PROJECTS-Earlier Yr'!$R$2:$R$2598,"JUN")+SUMIFS('QUOTED PROJECTS-Current Year'!$L$2:$L$2525,'QUOTED PROJECTS-Current Year'!$Q$2:$Q$2525,"WON",'QUOTED PROJECTS-Current Year'!$K$2:$K$2525,"1010",'QUOTED PROJECTS-Current Year'!$H$2:$H$2525,"MTU",'QUOTED PROJECTS-Current Year'!$R$2:$R$2525,"JUN")</f>
        <v>0</v>
      </c>
      <c r="H12" s="55"/>
      <c r="I12" s="141">
        <f>SUMIFS('QUOTED PROJECTS-Earlier Yr'!$L$2:$L$2598,'QUOTED PROJECTS-Earlier Yr'!$Q$2:$Q$2598,"WON",'QUOTED PROJECTS-Earlier Yr'!$K$2:$K$2598,"1010",'QUOTED PROJECTS-Earlier Yr'!$H$2:$H$2598,"MTU",'QUOTED PROJECTS-Earlier Yr'!$R$2:$R$2598,"JUL")+SUMIFS('QUOTED PROJECTS-Current Year'!$L$2:$L$2525,'QUOTED PROJECTS-Current Year'!$Q$2:$Q$2525,"WON",'QUOTED PROJECTS-Current Year'!$K$2:$K$2525,"1010",'QUOTED PROJECTS-Current Year'!$H$2:$H$2525,"MTU",'QUOTED PROJECTS-Current Year'!$R$2:$R$2525,"JUL")</f>
        <v>0</v>
      </c>
      <c r="J12" s="55"/>
      <c r="K12" s="141">
        <f>SUMIFS('QUOTED PROJECTS-Earlier Yr'!$L$2:$L$2598,'QUOTED PROJECTS-Earlier Yr'!$Q$2:$Q$2598,"WON",'QUOTED PROJECTS-Earlier Yr'!$K$2:$K$2598,"1010",'QUOTED PROJECTS-Earlier Yr'!$H$2:$H$2598,"MTU",'QUOTED PROJECTS-Earlier Yr'!$R$2:$R$2598,"AUG")+SUMIFS('QUOTED PROJECTS-Current Year'!$L$2:$L$2525,'QUOTED PROJECTS-Current Year'!$Q$2:$Q$2525,"WON",'QUOTED PROJECTS-Current Year'!$K$2:$K$2525,"1010",'QUOTED PROJECTS-Current Year'!$H$2:$H$2525,"MTU",'QUOTED PROJECTS-Current Year'!$R$2:$R$2525,"AUG")</f>
        <v>0</v>
      </c>
      <c r="L12" s="55"/>
      <c r="M12" s="141">
        <f>SUMIFS('QUOTED PROJECTS-Earlier Yr'!$L$2:$L$2598,'QUOTED PROJECTS-Earlier Yr'!$Q$2:$Q$2598,"WON",'QUOTED PROJECTS-Earlier Yr'!$K$2:$K$2598,"1010",'QUOTED PROJECTS-Earlier Yr'!$H$2:$H$2598,"MTU",'QUOTED PROJECTS-Earlier Yr'!$R$2:$R$2598,"SEPT")+SUMIFS('QUOTED PROJECTS-Current Year'!$L$2:$L$2525,'QUOTED PROJECTS-Current Year'!$Q$2:$Q$2525,"WON",'QUOTED PROJECTS-Current Year'!$K$2:$K$2525,"1010",'QUOTED PROJECTS-Current Year'!$H$2:$H$2525,"MTU",'QUOTED PROJECTS-Current Year'!$R$2:$R$2525,"SEPT")</f>
        <v>0</v>
      </c>
      <c r="N12" s="55"/>
      <c r="O12" s="141">
        <f>SUMIFS('QUOTED PROJECTS-Earlier Yr'!$L$2:$L$2598,'QUOTED PROJECTS-Earlier Yr'!$Q$2:$Q$2598,"WON",'QUOTED PROJECTS-Earlier Yr'!$K$2:$K$2598,"1010",'QUOTED PROJECTS-Earlier Yr'!$H$2:$H$2598,"MTU",'QUOTED PROJECTS-Earlier Yr'!$R$2:$R$2598,"OCT")+SUMIFS('QUOTED PROJECTS-Current Year'!$L$2:$L$2525,'QUOTED PROJECTS-Current Year'!$Q$2:$Q$2525,"WON",'QUOTED PROJECTS-Current Year'!$K$2:$K$2525,"1010",'QUOTED PROJECTS-Current Year'!$H$2:$H$2525,"MTU",'QUOTED PROJECTS-Current Year'!$R$2:$R$2525,"OCT")</f>
        <v>0</v>
      </c>
      <c r="P12" s="55"/>
      <c r="Q12" s="141">
        <f>SUMIFS('QUOTED PROJECTS-Earlier Yr'!$L$2:$L$2598,'QUOTED PROJECTS-Earlier Yr'!$Q$2:$Q$2598,"WON",'QUOTED PROJECTS-Earlier Yr'!$K$2:$K$2598,"1010",'QUOTED PROJECTS-Earlier Yr'!$H$2:$H$2598,"MTU",'QUOTED PROJECTS-Earlier Yr'!$R$2:$R$2598,"NOV")+SUMIFS('QUOTED PROJECTS-Current Year'!$L$2:$L$2525,'QUOTED PROJECTS-Current Year'!$Q$2:$Q$2525,"WON",'QUOTED PROJECTS-Current Year'!$K$2:$K$2525,"1010",'QUOTED PROJECTS-Current Year'!$H$2:$H$2525,"MTU",'QUOTED PROJECTS-Current Year'!$R$2:$R$2525,"NOV")</f>
        <v>0</v>
      </c>
      <c r="R12" s="55"/>
      <c r="S12" s="141">
        <f>SUMIFS('QUOTED PROJECTS-Earlier Yr'!$L$2:$L$2598,'QUOTED PROJECTS-Earlier Yr'!$Q$2:$Q$2598,"WON",'QUOTED PROJECTS-Earlier Yr'!$K$2:$K$2598,"1010",'QUOTED PROJECTS-Earlier Yr'!$H$2:$H$2598,"MTU",'QUOTED PROJECTS-Earlier Yr'!$R$2:$R$2598,"DEC")+SUMIFS('QUOTED PROJECTS-Current Year'!$L$2:$L$2525,'QUOTED PROJECTS-Current Year'!$Q$2:$Q$2525,"WON",'QUOTED PROJECTS-Current Year'!$K$2:$K$2525,"1010",'QUOTED PROJECTS-Current Year'!$H$2:$H$2525,"MTU",'QUOTED PROJECTS-Current Year'!$R$2:$R$2525,"DEC")</f>
        <v>0</v>
      </c>
      <c r="T12" s="55"/>
      <c r="U12" s="141">
        <f>SUMIFS('QUOTED PROJECTS-Earlier Yr'!$L$2:$L$2598,'QUOTED PROJECTS-Earlier Yr'!$Q$2:$Q$2598,"WON",'QUOTED PROJECTS-Earlier Yr'!$K$2:$K$2598,"1010",'QUOTED PROJECTS-Earlier Yr'!$H$2:$H$2598,"MTU",'QUOTED PROJECTS-Earlier Yr'!$R$2:$R$2598,"JAN")+SUMIFS('QUOTED PROJECTS-Current Year'!$L$2:$L$2525,'QUOTED PROJECTS-Current Year'!$Q$2:$Q$2525,"WON",'QUOTED PROJECTS-Current Year'!$K$2:$K$2525,"1010",'QUOTED PROJECTS-Current Year'!$H$2:$H$2525,"MTU",'QUOTED PROJECTS-Current Year'!$R$2:$R$2525,"JAN")</f>
        <v>0</v>
      </c>
      <c r="V12" s="55"/>
      <c r="W12" s="141">
        <f>SUMIFS('QUOTED PROJECTS-Earlier Yr'!$L$2:$L$2598,'QUOTED PROJECTS-Earlier Yr'!$Q$2:$Q$2598,"WON",'QUOTED PROJECTS-Earlier Yr'!$K$2:$K$2598,"1010",'QUOTED PROJECTS-Earlier Yr'!$H$2:$H$2598,"MTU",'QUOTED PROJECTS-Earlier Yr'!$R$2:$R$2598,"FEB")+SUMIFS('QUOTED PROJECTS-Current Year'!$L$2:$L$2525,'QUOTED PROJECTS-Current Year'!$Q$2:$Q$2525,"WON",'QUOTED PROJECTS-Current Year'!$K$2:$K$2525,"1010",'QUOTED PROJECTS-Current Year'!$H$2:$H$2525,"MTU",'QUOTED PROJECTS-Current Year'!$R$2:$R$2525,"FEB")</f>
        <v>0</v>
      </c>
      <c r="X12" s="55"/>
      <c r="Y12" s="141">
        <f>SUMIFS('QUOTED PROJECTS-Earlier Yr'!$L$2:$L$2598,'QUOTED PROJECTS-Earlier Yr'!$Q$2:$Q$2598,"WON",'QUOTED PROJECTS-Earlier Yr'!$K$2:$K$2598,"1010",'QUOTED PROJECTS-Earlier Yr'!$H$2:$H$2598,"MTU",'QUOTED PROJECTS-Earlier Yr'!$R$2:$R$2598,"MAR")+SUMIFS('QUOTED PROJECTS-Current Year'!$L$2:$L$2525,'QUOTED PROJECTS-Current Year'!$Q$2:$Q$2525,"WON",'QUOTED PROJECTS-Current Year'!$K$2:$K$2525,"1010",'QUOTED PROJECTS-Current Year'!$H$2:$H$2525,"MTU",'QUOTED PROJECTS-Current Year'!$R$2:$R$2525,"MAR")</f>
        <v>0</v>
      </c>
      <c r="Z12" s="57">
        <f>B12+D12+F12+H12+J12+L12+N12+P12+R12+T12+V12+X12</f>
        <v>0</v>
      </c>
      <c r="AA12" s="37">
        <f>C12+E12+G12+I12+K12+M12+O12+Q12+S12+U12+W12+Y12</f>
        <v>0</v>
      </c>
    </row>
    <row r="13" spans="1:30">
      <c r="A13" s="19">
        <v>1250</v>
      </c>
      <c r="B13" s="55"/>
      <c r="C13" s="141">
        <f>SUMIFS('QUOTED PROJECTS-Earlier Yr'!$L$2:$L$2598,'QUOTED PROJECTS-Earlier Yr'!$Q$2:$Q$2598,"WON",'QUOTED PROJECTS-Earlier Yr'!$K$2:$K$2598,"1250",'QUOTED PROJECTS-Earlier Yr'!$H$2:$H$2598,"MTU",'QUOTED PROJECTS-Earlier Yr'!$R$2:$R$2598,"APR")+SUMIFS('QUOTED PROJECTS-Current Year'!$L$2:$L$2525,'QUOTED PROJECTS-Current Year'!$Q$2:$Q$2525,"WON",'QUOTED PROJECTS-Current Year'!$K$2:$K$2525,"1250",'QUOTED PROJECTS-Current Year'!$H$2:$H$2525,"MTU",'QUOTED PROJECTS-Current Year'!$R$2:$R$2525,"APR")</f>
        <v>0</v>
      </c>
      <c r="D13" s="55"/>
      <c r="E13" s="141">
        <f>SUMIFS('QUOTED PROJECTS-Earlier Yr'!$L$2:$L$2598,'QUOTED PROJECTS-Earlier Yr'!$Q$2:$Q$2598,"WON",'QUOTED PROJECTS-Earlier Yr'!$K$2:$K$2598,"1250",'QUOTED PROJECTS-Earlier Yr'!$H$2:$H$2598,"MTU",'QUOTED PROJECTS-Earlier Yr'!$R$2:$R$2598,"MAY")+SUMIFS('QUOTED PROJECTS-Current Year'!$L$2:$L$2525,'QUOTED PROJECTS-Current Year'!$Q$2:$Q$2525,"WON",'QUOTED PROJECTS-Current Year'!$K$2:$K$2525,"1250",'QUOTED PROJECTS-Current Year'!$H$2:$H$2525,"MTU",'QUOTED PROJECTS-Current Year'!$R$2:$R$2525,"MAY")</f>
        <v>0</v>
      </c>
      <c r="F13" s="55"/>
      <c r="G13" s="141">
        <f>SUMIFS('QUOTED PROJECTS-Earlier Yr'!$L$2:$L$2598,'QUOTED PROJECTS-Earlier Yr'!$Q$2:$Q$2598,"WON",'QUOTED PROJECTS-Earlier Yr'!$K$2:$K$2598,"1250",'QUOTED PROJECTS-Earlier Yr'!$H$2:$H$2598,"MTU",'QUOTED PROJECTS-Earlier Yr'!$R$2:$R$2598,"JUN")+SUMIFS('QUOTED PROJECTS-Current Year'!$L$2:$L$2525,'QUOTED PROJECTS-Current Year'!$Q$2:$Q$2525,"WON",'QUOTED PROJECTS-Current Year'!$K$2:$K$2525,"1250",'QUOTED PROJECTS-Current Year'!$H$2:$H$2525,"MTU",'QUOTED PROJECTS-Current Year'!$R$2:$R$2525,"JUN")</f>
        <v>0</v>
      </c>
      <c r="H13" s="55"/>
      <c r="I13" s="141">
        <f>SUMIFS('QUOTED PROJECTS-Earlier Yr'!$L$2:$L$2598,'QUOTED PROJECTS-Earlier Yr'!$Q$2:$Q$2598,"WON",'QUOTED PROJECTS-Earlier Yr'!$K$2:$K$2598,"1250",'QUOTED PROJECTS-Earlier Yr'!$H$2:$H$2598,"MTU",'QUOTED PROJECTS-Earlier Yr'!$R$2:$R$2598,"JUL")+SUMIFS('QUOTED PROJECTS-Current Year'!$L$2:$L$2525,'QUOTED PROJECTS-Current Year'!$Q$2:$Q$2525,"WON",'QUOTED PROJECTS-Current Year'!$K$2:$K$2525,"1250",'QUOTED PROJECTS-Current Year'!$H$2:$H$2525,"MTU",'QUOTED PROJECTS-Current Year'!$R$2:$R$2525,"JUL")</f>
        <v>0</v>
      </c>
      <c r="J13" s="55"/>
      <c r="K13" s="141">
        <f>SUMIFS('QUOTED PROJECTS-Earlier Yr'!$L$2:$L$2598,'QUOTED PROJECTS-Earlier Yr'!$Q$2:$Q$2598,"WON",'QUOTED PROJECTS-Earlier Yr'!$K$2:$K$2598,"1250",'QUOTED PROJECTS-Earlier Yr'!$H$2:$H$2598,"MTU",'QUOTED PROJECTS-Earlier Yr'!$R$2:$R$2598,"AUG")+SUMIFS('QUOTED PROJECTS-Current Year'!$L$2:$L$2525,'QUOTED PROJECTS-Current Year'!$Q$2:$Q$2525,"WON",'QUOTED PROJECTS-Current Year'!$K$2:$K$2525,"1250",'QUOTED PROJECTS-Current Year'!$H$2:$H$2525,"MTU",'QUOTED PROJECTS-Current Year'!$R$2:$R$2525,"AUG")</f>
        <v>0</v>
      </c>
      <c r="L13" s="55"/>
      <c r="M13" s="141">
        <f>SUMIFS('QUOTED PROJECTS-Earlier Yr'!$L$2:$L$2598,'QUOTED PROJECTS-Earlier Yr'!$Q$2:$Q$2598,"WON",'QUOTED PROJECTS-Earlier Yr'!$K$2:$K$2598,"1250",'QUOTED PROJECTS-Earlier Yr'!$H$2:$H$2598,"MTU",'QUOTED PROJECTS-Earlier Yr'!$R$2:$R$2598,"SEPT")+SUMIFS('QUOTED PROJECTS-Current Year'!$L$2:$L$2525,'QUOTED PROJECTS-Current Year'!$Q$2:$Q$2525,"WON",'QUOTED PROJECTS-Current Year'!$K$2:$K$2525,"1250",'QUOTED PROJECTS-Current Year'!$H$2:$H$2525,"MTU",'QUOTED PROJECTS-Current Year'!$R$2:$R$2525,"SEPT")</f>
        <v>0</v>
      </c>
      <c r="N13" s="55"/>
      <c r="O13" s="141">
        <f>SUMIFS('QUOTED PROJECTS-Earlier Yr'!$L$2:$L$2598,'QUOTED PROJECTS-Earlier Yr'!$Q$2:$Q$2598,"WON",'QUOTED PROJECTS-Earlier Yr'!$K$2:$K$2598,"1250",'QUOTED PROJECTS-Earlier Yr'!$H$2:$H$2598,"MTU",'QUOTED PROJECTS-Earlier Yr'!$R$2:$R$2598,"OCT")+SUMIFS('QUOTED PROJECTS-Current Year'!$L$2:$L$2525,'QUOTED PROJECTS-Current Year'!$Q$2:$Q$2525,"WON",'QUOTED PROJECTS-Current Year'!$K$2:$K$2525,"1250",'QUOTED PROJECTS-Current Year'!$H$2:$H$2525,"MTU",'QUOTED PROJECTS-Current Year'!$R$2:$R$2525,"OCT")</f>
        <v>0</v>
      </c>
      <c r="P13" s="55"/>
      <c r="Q13" s="141">
        <f>SUMIFS('QUOTED PROJECTS-Earlier Yr'!$L$2:$L$2598,'QUOTED PROJECTS-Earlier Yr'!$Q$2:$Q$2598,"WON",'QUOTED PROJECTS-Earlier Yr'!$K$2:$K$2598,"1250",'QUOTED PROJECTS-Earlier Yr'!$H$2:$H$2598,"MTU",'QUOTED PROJECTS-Earlier Yr'!$R$2:$R$2598,"NOV")+SUMIFS('QUOTED PROJECTS-Current Year'!$L$2:$L$2525,'QUOTED PROJECTS-Current Year'!$Q$2:$Q$2525,"WON",'QUOTED PROJECTS-Current Year'!$K$2:$K$2525,"1250",'QUOTED PROJECTS-Current Year'!$H$2:$H$2525,"MTU",'QUOTED PROJECTS-Current Year'!$R$2:$R$2525,"NOV")</f>
        <v>0</v>
      </c>
      <c r="R13" s="55"/>
      <c r="S13" s="141">
        <f>SUMIFS('QUOTED PROJECTS-Earlier Yr'!$L$2:$L$2598,'QUOTED PROJECTS-Earlier Yr'!$Q$2:$Q$2598,"WON",'QUOTED PROJECTS-Earlier Yr'!$K$2:$K$2598,"1250",'QUOTED PROJECTS-Earlier Yr'!$H$2:$H$2598,"MTU",'QUOTED PROJECTS-Earlier Yr'!$R$2:$R$2598,"DEC")+SUMIFS('QUOTED PROJECTS-Current Year'!$L$2:$L$2525,'QUOTED PROJECTS-Current Year'!$Q$2:$Q$2525,"WON",'QUOTED PROJECTS-Current Year'!$K$2:$K$2525,"1250",'QUOTED PROJECTS-Current Year'!$H$2:$H$2525,"MTU",'QUOTED PROJECTS-Current Year'!$R$2:$R$2525,"DEC")</f>
        <v>0</v>
      </c>
      <c r="T13" s="55"/>
      <c r="U13" s="141">
        <f>SUMIFS('QUOTED PROJECTS-Earlier Yr'!$L$2:$L$2598,'QUOTED PROJECTS-Earlier Yr'!$Q$2:$Q$2598,"WON",'QUOTED PROJECTS-Earlier Yr'!$K$2:$K$2598,"1250",'QUOTED PROJECTS-Earlier Yr'!$H$2:$H$2598,"MTU",'QUOTED PROJECTS-Earlier Yr'!$R$2:$R$2598,"JAN")+SUMIFS('QUOTED PROJECTS-Current Year'!$L$2:$L$2525,'QUOTED PROJECTS-Current Year'!$Q$2:$Q$2525,"WON",'QUOTED PROJECTS-Current Year'!$K$2:$K$2525,"1250",'QUOTED PROJECTS-Current Year'!$H$2:$H$2525,"MTU",'QUOTED PROJECTS-Current Year'!$R$2:$R$2525,"JAN")</f>
        <v>0</v>
      </c>
      <c r="V13" s="55"/>
      <c r="W13" s="141">
        <f>SUMIFS('QUOTED PROJECTS-Earlier Yr'!$L$2:$L$2598,'QUOTED PROJECTS-Earlier Yr'!$Q$2:$Q$2598,"WON",'QUOTED PROJECTS-Earlier Yr'!$K$2:$K$2598,"1250",'QUOTED PROJECTS-Earlier Yr'!$H$2:$H$2598,"MTU",'QUOTED PROJECTS-Earlier Yr'!$R$2:$R$2598,"FEB")+SUMIFS('QUOTED PROJECTS-Current Year'!$L$2:$L$2525,'QUOTED PROJECTS-Current Year'!$Q$2:$Q$2525,"WON",'QUOTED PROJECTS-Current Year'!$K$2:$K$2525,"1250",'QUOTED PROJECTS-Current Year'!$H$2:$H$2525,"MTU",'QUOTED PROJECTS-Current Year'!$R$2:$R$2525,"FEB")</f>
        <v>0</v>
      </c>
      <c r="X13" s="55"/>
      <c r="Y13" s="141">
        <f>SUMIFS('QUOTED PROJECTS-Earlier Yr'!$L$2:$L$2598,'QUOTED PROJECTS-Earlier Yr'!$Q$2:$Q$2598,"WON",'QUOTED PROJECTS-Earlier Yr'!$K$2:$K$2598,"1250",'QUOTED PROJECTS-Earlier Yr'!$H$2:$H$2598,"MTU",'QUOTED PROJECTS-Earlier Yr'!$R$2:$R$2598,"MAR")+SUMIFS('QUOTED PROJECTS-Current Year'!$L$2:$L$2525,'QUOTED PROJECTS-Current Year'!$Q$2:$Q$2525,"WON",'QUOTED PROJECTS-Current Year'!$K$2:$K$2525,"1250",'QUOTED PROJECTS-Current Year'!$H$2:$H$2525,"MTU",'QUOTED PROJECTS-Current Year'!$R$2:$R$2525,"MAR")</f>
        <v>0</v>
      </c>
      <c r="Z13" s="57">
        <f t="shared" si="0"/>
        <v>0</v>
      </c>
      <c r="AA13" s="37">
        <f t="shared" si="0"/>
        <v>0</v>
      </c>
    </row>
    <row r="14" spans="1:30">
      <c r="A14" s="19">
        <v>1500</v>
      </c>
      <c r="B14" s="55"/>
      <c r="C14" s="141">
        <f>SUMIFS('QUOTED PROJECTS-Earlier Yr'!$L$2:$L$2598,'QUOTED PROJECTS-Earlier Yr'!$Q$2:$Q$2598,"WON",'QUOTED PROJECTS-Earlier Yr'!$K$2:$K$2598,"1500",'QUOTED PROJECTS-Earlier Yr'!$H$2:$H$2598,"MTU",'QUOTED PROJECTS-Earlier Yr'!$R$2:$R$2598,"APR")+SUMIFS('QUOTED PROJECTS-Current Year'!$L$2:$L$2525,'QUOTED PROJECTS-Current Year'!$Q$2:$Q$2525,"WON",'QUOTED PROJECTS-Current Year'!$K$2:$K$2525,"1500",'QUOTED PROJECTS-Current Year'!$H$2:$H$2525,"MTU",'QUOTED PROJECTS-Current Year'!$R$2:$R$2525,"APR")</f>
        <v>0</v>
      </c>
      <c r="D14" s="55"/>
      <c r="E14" s="141">
        <f>SUMIFS('QUOTED PROJECTS-Earlier Yr'!$L$2:$L$2598,'QUOTED PROJECTS-Earlier Yr'!$Q$2:$Q$2598,"WON",'QUOTED PROJECTS-Earlier Yr'!$K$2:$K$2598,"1500",'QUOTED PROJECTS-Earlier Yr'!$H$2:$H$2598,"MTU",'QUOTED PROJECTS-Earlier Yr'!$R$2:$R$2598,"MAY")+SUMIFS('QUOTED PROJECTS-Current Year'!$L$2:$L$2525,'QUOTED PROJECTS-Current Year'!$Q$2:$Q$2525,"WON",'QUOTED PROJECTS-Current Year'!$K$2:$K$2525,"1500",'QUOTED PROJECTS-Current Year'!$H$2:$H$2525,"MTU",'QUOTED PROJECTS-Current Year'!$R$2:$R$2525,"MAY")</f>
        <v>0</v>
      </c>
      <c r="F14" s="55"/>
      <c r="G14" s="141">
        <f>SUMIFS('QUOTED PROJECTS-Earlier Yr'!$L$2:$L$2598,'QUOTED PROJECTS-Earlier Yr'!$Q$2:$Q$2598,"WON",'QUOTED PROJECTS-Earlier Yr'!$K$2:$K$2598,"1500",'QUOTED PROJECTS-Earlier Yr'!$H$2:$H$2598,"MTU",'QUOTED PROJECTS-Earlier Yr'!$R$2:$R$2598,"JUN")+SUMIFS('QUOTED PROJECTS-Current Year'!$L$2:$L$2525,'QUOTED PROJECTS-Current Year'!$Q$2:$Q$2525,"WON",'QUOTED PROJECTS-Current Year'!$K$2:$K$2525,"1500",'QUOTED PROJECTS-Current Year'!$H$2:$H$2525,"MTU",'QUOTED PROJECTS-Current Year'!$R$2:$R$2525,"JUN")</f>
        <v>0</v>
      </c>
      <c r="H14" s="55"/>
      <c r="I14" s="141">
        <f>SUMIFS('QUOTED PROJECTS-Earlier Yr'!$L$2:$L$2598,'QUOTED PROJECTS-Earlier Yr'!$Q$2:$Q$2598,"WON",'QUOTED PROJECTS-Earlier Yr'!$K$2:$K$2598,"1500",'QUOTED PROJECTS-Earlier Yr'!$H$2:$H$2598,"MTU",'QUOTED PROJECTS-Earlier Yr'!$R$2:$R$2598,"JUL")+SUMIFS('QUOTED PROJECTS-Current Year'!$L$2:$L$2525,'QUOTED PROJECTS-Current Year'!$Q$2:$Q$2525,"WON",'QUOTED PROJECTS-Current Year'!$K$2:$K$2525,"1500",'QUOTED PROJECTS-Current Year'!$H$2:$H$2525,"MTU",'QUOTED PROJECTS-Current Year'!$R$2:$R$2525,"JUL")</f>
        <v>0</v>
      </c>
      <c r="J14" s="55"/>
      <c r="K14" s="141">
        <f>SUMIFS('QUOTED PROJECTS-Earlier Yr'!$L$2:$L$2598,'QUOTED PROJECTS-Earlier Yr'!$Q$2:$Q$2598,"WON",'QUOTED PROJECTS-Earlier Yr'!$K$2:$K$2598,"1500",'QUOTED PROJECTS-Earlier Yr'!$H$2:$H$2598,"MTU",'QUOTED PROJECTS-Earlier Yr'!$R$2:$R$2598,"AUG")+SUMIFS('QUOTED PROJECTS-Current Year'!$L$2:$L$2525,'QUOTED PROJECTS-Current Year'!$Q$2:$Q$2525,"WON",'QUOTED PROJECTS-Current Year'!$K$2:$K$2525,"1500",'QUOTED PROJECTS-Current Year'!$H$2:$H$2525,"MTU",'QUOTED PROJECTS-Current Year'!$R$2:$R$2525,"AUG")</f>
        <v>0</v>
      </c>
      <c r="L14" s="55"/>
      <c r="M14" s="141">
        <f>SUMIFS('QUOTED PROJECTS-Earlier Yr'!$L$2:$L$2598,'QUOTED PROJECTS-Earlier Yr'!$Q$2:$Q$2598,"WON",'QUOTED PROJECTS-Earlier Yr'!$K$2:$K$2598,"1500",'QUOTED PROJECTS-Earlier Yr'!$H$2:$H$2598,"MTU",'QUOTED PROJECTS-Earlier Yr'!$R$2:$R$2598,"SEPT")+SUMIFS('QUOTED PROJECTS-Current Year'!$L$2:$L$2525,'QUOTED PROJECTS-Current Year'!$Q$2:$Q$2525,"WON",'QUOTED PROJECTS-Current Year'!$K$2:$K$2525,"1500",'QUOTED PROJECTS-Current Year'!$H$2:$H$2525,"MTU",'QUOTED PROJECTS-Current Year'!$R$2:$R$2525,"SEPT")</f>
        <v>0</v>
      </c>
      <c r="N14" s="55"/>
      <c r="O14" s="141">
        <f>SUMIFS('QUOTED PROJECTS-Earlier Yr'!$L$2:$L$2598,'QUOTED PROJECTS-Earlier Yr'!$Q$2:$Q$2598,"WON",'QUOTED PROJECTS-Earlier Yr'!$K$2:$K$2598,"1500",'QUOTED PROJECTS-Earlier Yr'!$H$2:$H$2598,"MTU",'QUOTED PROJECTS-Earlier Yr'!$R$2:$R$2598,"OCT")+SUMIFS('QUOTED PROJECTS-Current Year'!$L$2:$L$2525,'QUOTED PROJECTS-Current Year'!$Q$2:$Q$2525,"WON",'QUOTED PROJECTS-Current Year'!$K$2:$K$2525,"1500",'QUOTED PROJECTS-Current Year'!$H$2:$H$2525,"MTU",'QUOTED PROJECTS-Current Year'!$R$2:$R$2525,"OCT")</f>
        <v>0</v>
      </c>
      <c r="P14" s="55"/>
      <c r="Q14" s="141">
        <f>SUMIFS('QUOTED PROJECTS-Earlier Yr'!$L$2:$L$2598,'QUOTED PROJECTS-Earlier Yr'!$Q$2:$Q$2598,"WON",'QUOTED PROJECTS-Earlier Yr'!$K$2:$K$2598,"1500",'QUOTED PROJECTS-Earlier Yr'!$H$2:$H$2598,"MTU",'QUOTED PROJECTS-Earlier Yr'!$R$2:$R$2598,"NOV")+SUMIFS('QUOTED PROJECTS-Current Year'!$L$2:$L$2525,'QUOTED PROJECTS-Current Year'!$Q$2:$Q$2525,"WON",'QUOTED PROJECTS-Current Year'!$K$2:$K$2525,"1500",'QUOTED PROJECTS-Current Year'!$H$2:$H$2525,"MTU",'QUOTED PROJECTS-Current Year'!$R$2:$R$2525,"NOV")</f>
        <v>0</v>
      </c>
      <c r="R14" s="55"/>
      <c r="S14" s="141">
        <f>SUMIFS('QUOTED PROJECTS-Earlier Yr'!$L$2:$L$2598,'QUOTED PROJECTS-Earlier Yr'!$Q$2:$Q$2598,"WON",'QUOTED PROJECTS-Earlier Yr'!$K$2:$K$2598,"1500",'QUOTED PROJECTS-Earlier Yr'!$H$2:$H$2598,"MTU",'QUOTED PROJECTS-Earlier Yr'!$R$2:$R$2598,"DEC")+SUMIFS('QUOTED PROJECTS-Current Year'!$L$2:$L$2525,'QUOTED PROJECTS-Current Year'!$Q$2:$Q$2525,"WON",'QUOTED PROJECTS-Current Year'!$K$2:$K$2525,"1500",'QUOTED PROJECTS-Current Year'!$H$2:$H$2525,"MTU",'QUOTED PROJECTS-Current Year'!$R$2:$R$2525,"DEC")</f>
        <v>0</v>
      </c>
      <c r="T14" s="55"/>
      <c r="U14" s="141">
        <f>SUMIFS('QUOTED PROJECTS-Earlier Yr'!$L$2:$L$2598,'QUOTED PROJECTS-Earlier Yr'!$Q$2:$Q$2598,"WON",'QUOTED PROJECTS-Earlier Yr'!$K$2:$K$2598,"1500",'QUOTED PROJECTS-Earlier Yr'!$H$2:$H$2598,"MTU",'QUOTED PROJECTS-Earlier Yr'!$R$2:$R$2598,"JAN")+SUMIFS('QUOTED PROJECTS-Current Year'!$L$2:$L$2525,'QUOTED PROJECTS-Current Year'!$Q$2:$Q$2525,"WON",'QUOTED PROJECTS-Current Year'!$K$2:$K$2525,"1500",'QUOTED PROJECTS-Current Year'!$H$2:$H$2525,"MTU",'QUOTED PROJECTS-Current Year'!$R$2:$R$2525,"JAN")</f>
        <v>0</v>
      </c>
      <c r="V14" s="55"/>
      <c r="W14" s="141">
        <f>SUMIFS('QUOTED PROJECTS-Earlier Yr'!$L$2:$L$2598,'QUOTED PROJECTS-Earlier Yr'!$Q$2:$Q$2598,"WON",'QUOTED PROJECTS-Earlier Yr'!$K$2:$K$2598,"1500",'QUOTED PROJECTS-Earlier Yr'!$H$2:$H$2598,"MTU",'QUOTED PROJECTS-Earlier Yr'!$R$2:$R$2598,"FEB")+SUMIFS('QUOTED PROJECTS-Current Year'!$L$2:$L$2525,'QUOTED PROJECTS-Current Year'!$Q$2:$Q$2525,"WON",'QUOTED PROJECTS-Current Year'!$K$2:$K$2525,"1500",'QUOTED PROJECTS-Current Year'!$H$2:$H$2525,"MTU",'QUOTED PROJECTS-Current Year'!$R$2:$R$2525,"FEB")</f>
        <v>0</v>
      </c>
      <c r="X14" s="55"/>
      <c r="Y14" s="141">
        <f>SUMIFS('QUOTED PROJECTS-Earlier Yr'!$L$2:$L$2598,'QUOTED PROJECTS-Earlier Yr'!$Q$2:$Q$2598,"WON",'QUOTED PROJECTS-Earlier Yr'!$K$2:$K$2598,"1500",'QUOTED PROJECTS-Earlier Yr'!$H$2:$H$2598,"MTU",'QUOTED PROJECTS-Earlier Yr'!$R$2:$R$2598,"MAR")+SUMIFS('QUOTED PROJECTS-Current Year'!$L$2:$L$2525,'QUOTED PROJECTS-Current Year'!$Q$2:$Q$2525,"WON",'QUOTED PROJECTS-Current Year'!$K$2:$K$2525,"1500",'QUOTED PROJECTS-Current Year'!$H$2:$H$2525,"MTU",'QUOTED PROJECTS-Current Year'!$R$2:$R$2525,"MAR")</f>
        <v>0</v>
      </c>
      <c r="Z14" s="57">
        <f t="shared" si="0"/>
        <v>0</v>
      </c>
      <c r="AA14" s="37">
        <f t="shared" si="0"/>
        <v>0</v>
      </c>
    </row>
    <row r="15" spans="1:30">
      <c r="A15" s="19">
        <v>1850</v>
      </c>
      <c r="B15" s="55"/>
      <c r="C15" s="141">
        <f>SUMIFS('QUOTED PROJECTS-Earlier Yr'!$L$2:$L$2598,'QUOTED PROJECTS-Earlier Yr'!$Q$2:$Q$2598,"WON",'QUOTED PROJECTS-Earlier Yr'!$K$2:$K$2598,"1850",'QUOTED PROJECTS-Earlier Yr'!$H$2:$H$2598,"MTU",'QUOTED PROJECTS-Earlier Yr'!$R$2:$R$2598,"APR")+SUMIFS('QUOTED PROJECTS-Current Year'!$L$2:$L$2525,'QUOTED PROJECTS-Current Year'!$Q$2:$Q$2525,"WON",'QUOTED PROJECTS-Current Year'!$K$2:$K$2525,"1850",'QUOTED PROJECTS-Current Year'!$H$2:$H$2525,"MTU",'QUOTED PROJECTS-Current Year'!$R$2:$R$2525,"APR")</f>
        <v>0</v>
      </c>
      <c r="D15" s="55"/>
      <c r="E15" s="141">
        <f>SUMIFS('QUOTED PROJECTS-Earlier Yr'!$L$2:$L$2598,'QUOTED PROJECTS-Earlier Yr'!$Q$2:$Q$2598,"WON",'QUOTED PROJECTS-Earlier Yr'!$K$2:$K$2598,"1850",'QUOTED PROJECTS-Earlier Yr'!$H$2:$H$2598,"MTU",'QUOTED PROJECTS-Earlier Yr'!$R$2:$R$2598,"MAY")+SUMIFS('QUOTED PROJECTS-Current Year'!$L$2:$L$2525,'QUOTED PROJECTS-Current Year'!$Q$2:$Q$2525,"WON",'QUOTED PROJECTS-Current Year'!$K$2:$K$2525,"1850",'QUOTED PROJECTS-Current Year'!$H$2:$H$2525,"MTU",'QUOTED PROJECTS-Current Year'!$R$2:$R$2525,"MAY")</f>
        <v>0</v>
      </c>
      <c r="F15" s="55"/>
      <c r="G15" s="141">
        <f>SUMIFS('QUOTED PROJECTS-Earlier Yr'!$L$2:$L$2598,'QUOTED PROJECTS-Earlier Yr'!$Q$2:$Q$2598,"WON",'QUOTED PROJECTS-Earlier Yr'!$K$2:$K$2598,"1850",'QUOTED PROJECTS-Earlier Yr'!$H$2:$H$2598,"MTU",'QUOTED PROJECTS-Earlier Yr'!$R$2:$R$2598,"JUN")+SUMIFS('QUOTED PROJECTS-Current Year'!$L$2:$L$2525,'QUOTED PROJECTS-Current Year'!$Q$2:$Q$2525,"WON",'QUOTED PROJECTS-Current Year'!$K$2:$K$2525,"1850",'QUOTED PROJECTS-Current Year'!$H$2:$H$2525,"MTU",'QUOTED PROJECTS-Current Year'!$R$2:$R$2525,"JUN")</f>
        <v>0</v>
      </c>
      <c r="H15" s="55"/>
      <c r="I15" s="141">
        <f>SUMIFS('QUOTED PROJECTS-Earlier Yr'!$L$2:$L$2598,'QUOTED PROJECTS-Earlier Yr'!$Q$2:$Q$2598,"WON",'QUOTED PROJECTS-Earlier Yr'!$K$2:$K$2598,"1850",'QUOTED PROJECTS-Earlier Yr'!$H$2:$H$2598,"MTU",'QUOTED PROJECTS-Earlier Yr'!$R$2:$R$2598,"JUL")+SUMIFS('QUOTED PROJECTS-Current Year'!$L$2:$L$2525,'QUOTED PROJECTS-Current Year'!$Q$2:$Q$2525,"WON",'QUOTED PROJECTS-Current Year'!$K$2:$K$2525,"1850",'QUOTED PROJECTS-Current Year'!$H$2:$H$2525,"MTU",'QUOTED PROJECTS-Current Year'!$R$2:$R$2525,"JUL")</f>
        <v>0</v>
      </c>
      <c r="J15" s="55"/>
      <c r="K15" s="141">
        <f>SUMIFS('QUOTED PROJECTS-Earlier Yr'!$L$2:$L$2598,'QUOTED PROJECTS-Earlier Yr'!$Q$2:$Q$2598,"WON",'QUOTED PROJECTS-Earlier Yr'!$K$2:$K$2598,"1850",'QUOTED PROJECTS-Earlier Yr'!$H$2:$H$2598,"MTU",'QUOTED PROJECTS-Earlier Yr'!$R$2:$R$2598,"AUG")+SUMIFS('QUOTED PROJECTS-Current Year'!$L$2:$L$2525,'QUOTED PROJECTS-Current Year'!$Q$2:$Q$2525,"WON",'QUOTED PROJECTS-Current Year'!$K$2:$K$2525,"1850",'QUOTED PROJECTS-Current Year'!$H$2:$H$2525,"MTU",'QUOTED PROJECTS-Current Year'!$R$2:$R$2525,"AUG")</f>
        <v>0</v>
      </c>
      <c r="L15" s="55"/>
      <c r="M15" s="141">
        <f>SUMIFS('QUOTED PROJECTS-Earlier Yr'!$L$2:$L$2598,'QUOTED PROJECTS-Earlier Yr'!$Q$2:$Q$2598,"WON",'QUOTED PROJECTS-Earlier Yr'!$K$2:$K$2598,"1850",'QUOTED PROJECTS-Earlier Yr'!$H$2:$H$2598,"MTU",'QUOTED PROJECTS-Earlier Yr'!$R$2:$R$2598,"SEPT")+SUMIFS('QUOTED PROJECTS-Current Year'!$L$2:$L$2525,'QUOTED PROJECTS-Current Year'!$Q$2:$Q$2525,"WON",'QUOTED PROJECTS-Current Year'!$K$2:$K$2525,"1850",'QUOTED PROJECTS-Current Year'!$H$2:$H$2525,"MTU",'QUOTED PROJECTS-Current Year'!$R$2:$R$2525,"SEPT")</f>
        <v>0</v>
      </c>
      <c r="N15" s="55"/>
      <c r="O15" s="141">
        <f>SUMIFS('QUOTED PROJECTS-Earlier Yr'!$L$2:$L$2598,'QUOTED PROJECTS-Earlier Yr'!$Q$2:$Q$2598,"WON",'QUOTED PROJECTS-Earlier Yr'!$K$2:$K$2598,"1850",'QUOTED PROJECTS-Earlier Yr'!$H$2:$H$2598,"MTU",'QUOTED PROJECTS-Earlier Yr'!$R$2:$R$2598,"OCT")+SUMIFS('QUOTED PROJECTS-Current Year'!$L$2:$L$2525,'QUOTED PROJECTS-Current Year'!$Q$2:$Q$2525,"WON",'QUOTED PROJECTS-Current Year'!$K$2:$K$2525,"1850",'QUOTED PROJECTS-Current Year'!$H$2:$H$2525,"MTU",'QUOTED PROJECTS-Current Year'!$R$2:$R$2525,"OCT")</f>
        <v>0</v>
      </c>
      <c r="P15" s="55"/>
      <c r="Q15" s="141">
        <f>SUMIFS('QUOTED PROJECTS-Earlier Yr'!$L$2:$L$2598,'QUOTED PROJECTS-Earlier Yr'!$Q$2:$Q$2598,"WON",'QUOTED PROJECTS-Earlier Yr'!$K$2:$K$2598,"1850",'QUOTED PROJECTS-Earlier Yr'!$H$2:$H$2598,"MTU",'QUOTED PROJECTS-Earlier Yr'!$R$2:$R$2598,"NOV")+SUMIFS('QUOTED PROJECTS-Current Year'!$L$2:$L$2525,'QUOTED PROJECTS-Current Year'!$Q$2:$Q$2525,"WON",'QUOTED PROJECTS-Current Year'!$K$2:$K$2525,"1850",'QUOTED PROJECTS-Current Year'!$H$2:$H$2525,"MTU",'QUOTED PROJECTS-Current Year'!$R$2:$R$2525,"NOV")</f>
        <v>0</v>
      </c>
      <c r="R15" s="55"/>
      <c r="S15" s="141">
        <f>SUMIFS('QUOTED PROJECTS-Earlier Yr'!$L$2:$L$2598,'QUOTED PROJECTS-Earlier Yr'!$Q$2:$Q$2598,"WON",'QUOTED PROJECTS-Earlier Yr'!$K$2:$K$2598,"1850",'QUOTED PROJECTS-Earlier Yr'!$H$2:$H$2598,"MTU",'QUOTED PROJECTS-Earlier Yr'!$R$2:$R$2598,"DEC")+SUMIFS('QUOTED PROJECTS-Current Year'!$L$2:$L$2525,'QUOTED PROJECTS-Current Year'!$Q$2:$Q$2525,"WON",'QUOTED PROJECTS-Current Year'!$K$2:$K$2525,"1850",'QUOTED PROJECTS-Current Year'!$H$2:$H$2525,"MTU",'QUOTED PROJECTS-Current Year'!$R$2:$R$2525,"DEC")</f>
        <v>0</v>
      </c>
      <c r="T15" s="55"/>
      <c r="U15" s="141">
        <f>SUMIFS('QUOTED PROJECTS-Earlier Yr'!$L$2:$L$2598,'QUOTED PROJECTS-Earlier Yr'!$Q$2:$Q$2598,"WON",'QUOTED PROJECTS-Earlier Yr'!$K$2:$K$2598,"1850",'QUOTED PROJECTS-Earlier Yr'!$H$2:$H$2598,"MTU",'QUOTED PROJECTS-Earlier Yr'!$R$2:$R$2598,"JAN")+SUMIFS('QUOTED PROJECTS-Current Year'!$L$2:$L$2525,'QUOTED PROJECTS-Current Year'!$Q$2:$Q$2525,"WON",'QUOTED PROJECTS-Current Year'!$K$2:$K$2525,"1850",'QUOTED PROJECTS-Current Year'!$H$2:$H$2525,"MTU",'QUOTED PROJECTS-Current Year'!$R$2:$R$2525,"JAN")</f>
        <v>0</v>
      </c>
      <c r="V15" s="55"/>
      <c r="W15" s="141">
        <f>SUMIFS('QUOTED PROJECTS-Earlier Yr'!$L$2:$L$2598,'QUOTED PROJECTS-Earlier Yr'!$Q$2:$Q$2598,"WON",'QUOTED PROJECTS-Earlier Yr'!$K$2:$K$2598,"1850",'QUOTED PROJECTS-Earlier Yr'!$H$2:$H$2598,"MTU",'QUOTED PROJECTS-Earlier Yr'!$R$2:$R$2598,"FEB")+SUMIFS('QUOTED PROJECTS-Current Year'!$L$2:$L$2525,'QUOTED PROJECTS-Current Year'!$Q$2:$Q$2525,"WON",'QUOTED PROJECTS-Current Year'!$K$2:$K$2525,"1850",'QUOTED PROJECTS-Current Year'!$H$2:$H$2525,"MTU",'QUOTED PROJECTS-Current Year'!$R$2:$R$2525,"FEB")</f>
        <v>0</v>
      </c>
      <c r="X15" s="55"/>
      <c r="Y15" s="141">
        <f>SUMIFS('QUOTED PROJECTS-Earlier Yr'!$L$2:$L$2598,'QUOTED PROJECTS-Earlier Yr'!$Q$2:$Q$2598,"WON",'QUOTED PROJECTS-Earlier Yr'!$K$2:$K$2598,"1850",'QUOTED PROJECTS-Earlier Yr'!$H$2:$H$2598,"MTU",'QUOTED PROJECTS-Earlier Yr'!$R$2:$R$2598,"MAR")+SUMIFS('QUOTED PROJECTS-Current Year'!$L$2:$L$2525,'QUOTED PROJECTS-Current Year'!$Q$2:$Q$2525,"WON",'QUOTED PROJECTS-Current Year'!$K$2:$K$2525,"1850",'QUOTED PROJECTS-Current Year'!$H$2:$H$2525,"MTU",'QUOTED PROJECTS-Current Year'!$R$2:$R$2525,"MAR")</f>
        <v>0</v>
      </c>
      <c r="Z15" s="57">
        <f>B15+D15+F15+H15+J15+L15+N15+P15+R15+T15+V15+X15</f>
        <v>0</v>
      </c>
      <c r="AA15" s="37">
        <f>C15+E15+G15+I15+K15+M15+O15+Q15+S15+U15+W15+Y15</f>
        <v>0</v>
      </c>
    </row>
    <row r="16" spans="1:30">
      <c r="A16" s="19">
        <v>2000</v>
      </c>
      <c r="B16" s="55"/>
      <c r="C16" s="141">
        <f>SUMIFS('QUOTED PROJECTS-Earlier Yr'!$L$2:$L$2598,'QUOTED PROJECTS-Earlier Yr'!$Q$2:$Q$2598,"WON",'QUOTED PROJECTS-Earlier Yr'!$K$2:$K$2598,"2000",'QUOTED PROJECTS-Earlier Yr'!$H$2:$H$2598,"MTU",'QUOTED PROJECTS-Earlier Yr'!$R$2:$R$2598,"APR")+SUMIFS('QUOTED PROJECTS-Current Year'!$L$2:$L$2525,'QUOTED PROJECTS-Current Year'!$Q$2:$Q$2525,"WON",'QUOTED PROJECTS-Current Year'!$K$2:$K$2525,"2000",'QUOTED PROJECTS-Current Year'!$H$2:$H$2525,"MTU",'QUOTED PROJECTS-Current Year'!$R$2:$R$2525,"APR")</f>
        <v>0</v>
      </c>
      <c r="D16" s="55"/>
      <c r="E16" s="141">
        <f>SUMIFS('QUOTED PROJECTS-Earlier Yr'!$L$2:$L$2598,'QUOTED PROJECTS-Earlier Yr'!$Q$2:$Q$2598,"WON",'QUOTED PROJECTS-Earlier Yr'!$K$2:$K$2598,"2000",'QUOTED PROJECTS-Earlier Yr'!$H$2:$H$2598,"MTU",'QUOTED PROJECTS-Earlier Yr'!$R$2:$R$2598,"MAY")+SUMIFS('QUOTED PROJECTS-Current Year'!$L$2:$L$2525,'QUOTED PROJECTS-Current Year'!$Q$2:$Q$2525,"WON",'QUOTED PROJECTS-Current Year'!$K$2:$K$2525,"2000",'QUOTED PROJECTS-Current Year'!$H$2:$H$2525,"MTU",'QUOTED PROJECTS-Current Year'!$R$2:$R$2525,"MAY")</f>
        <v>0</v>
      </c>
      <c r="F16" s="55"/>
      <c r="G16" s="141">
        <f>SUMIFS('QUOTED PROJECTS-Earlier Yr'!$L$2:$L$2598,'QUOTED PROJECTS-Earlier Yr'!$Q$2:$Q$2598,"WON",'QUOTED PROJECTS-Earlier Yr'!$K$2:$K$2598,"2000",'QUOTED PROJECTS-Earlier Yr'!$H$2:$H$2598,"MTU",'QUOTED PROJECTS-Earlier Yr'!$R$2:$R$2598,"JUN")+SUMIFS('QUOTED PROJECTS-Current Year'!$L$2:$L$2525,'QUOTED PROJECTS-Current Year'!$Q$2:$Q$2525,"WON",'QUOTED PROJECTS-Current Year'!$K$2:$K$2525,"2000",'QUOTED PROJECTS-Current Year'!$H$2:$H$2525,"MTU",'QUOTED PROJECTS-Current Year'!$R$2:$R$2525,"JUN")</f>
        <v>0</v>
      </c>
      <c r="H16" s="55"/>
      <c r="I16" s="141">
        <f>SUMIFS('QUOTED PROJECTS-Earlier Yr'!$L$2:$L$2598,'QUOTED PROJECTS-Earlier Yr'!$Q$2:$Q$2598,"WON",'QUOTED PROJECTS-Earlier Yr'!$K$2:$K$2598,"2000",'QUOTED PROJECTS-Earlier Yr'!$H$2:$H$2598,"MTU",'QUOTED PROJECTS-Earlier Yr'!$R$2:$R$2598,"JUL")+SUMIFS('QUOTED PROJECTS-Current Year'!$L$2:$L$2525,'QUOTED PROJECTS-Current Year'!$Q$2:$Q$2525,"WON",'QUOTED PROJECTS-Current Year'!$K$2:$K$2525,"2000",'QUOTED PROJECTS-Current Year'!$H$2:$H$2525,"MTU",'QUOTED PROJECTS-Current Year'!$R$2:$R$2525,"JUL")</f>
        <v>0</v>
      </c>
      <c r="J16" s="55"/>
      <c r="K16" s="141">
        <f>SUMIFS('QUOTED PROJECTS-Earlier Yr'!$L$2:$L$2598,'QUOTED PROJECTS-Earlier Yr'!$Q$2:$Q$2598,"WON",'QUOTED PROJECTS-Earlier Yr'!$K$2:$K$2598,"2000",'QUOTED PROJECTS-Earlier Yr'!$H$2:$H$2598,"MTU",'QUOTED PROJECTS-Earlier Yr'!$R$2:$R$2598,"AUG")+SUMIFS('QUOTED PROJECTS-Current Year'!$L$2:$L$2525,'QUOTED PROJECTS-Current Year'!$Q$2:$Q$2525,"WON",'QUOTED PROJECTS-Current Year'!$K$2:$K$2525,"2000",'QUOTED PROJECTS-Current Year'!$H$2:$H$2525,"MTU",'QUOTED PROJECTS-Current Year'!$R$2:$R$2525,"AUG")</f>
        <v>0</v>
      </c>
      <c r="L16" s="55"/>
      <c r="M16" s="141">
        <f>SUMIFS('QUOTED PROJECTS-Earlier Yr'!$L$2:$L$2598,'QUOTED PROJECTS-Earlier Yr'!$Q$2:$Q$2598,"WON",'QUOTED PROJECTS-Earlier Yr'!$K$2:$K$2598,"2000",'QUOTED PROJECTS-Earlier Yr'!$H$2:$H$2598,"MTU",'QUOTED PROJECTS-Earlier Yr'!$R$2:$R$2598,"SEPT")+SUMIFS('QUOTED PROJECTS-Current Year'!$L$2:$L$2525,'QUOTED PROJECTS-Current Year'!$Q$2:$Q$2525,"WON",'QUOTED PROJECTS-Current Year'!$K$2:$K$2525,"2000",'QUOTED PROJECTS-Current Year'!$H$2:$H$2525,"MTU",'QUOTED PROJECTS-Current Year'!$R$2:$R$2525,"SEPT")</f>
        <v>0</v>
      </c>
      <c r="N16" s="55"/>
      <c r="O16" s="141">
        <f>SUMIFS('QUOTED PROJECTS-Earlier Yr'!$L$2:$L$2598,'QUOTED PROJECTS-Earlier Yr'!$Q$2:$Q$2598,"WON",'QUOTED PROJECTS-Earlier Yr'!$K$2:$K$2598,"2000",'QUOTED PROJECTS-Earlier Yr'!$H$2:$H$2598,"MTU",'QUOTED PROJECTS-Earlier Yr'!$R$2:$R$2598,"OCT")+SUMIFS('QUOTED PROJECTS-Current Year'!$L$2:$L$2525,'QUOTED PROJECTS-Current Year'!$Q$2:$Q$2525,"WON",'QUOTED PROJECTS-Current Year'!$K$2:$K$2525,"2000",'QUOTED PROJECTS-Current Year'!$H$2:$H$2525,"MTU",'QUOTED PROJECTS-Current Year'!$R$2:$R$2525,"OCT")</f>
        <v>0</v>
      </c>
      <c r="P16" s="55"/>
      <c r="Q16" s="141">
        <f>SUMIFS('QUOTED PROJECTS-Earlier Yr'!$L$2:$L$2598,'QUOTED PROJECTS-Earlier Yr'!$Q$2:$Q$2598,"WON",'QUOTED PROJECTS-Earlier Yr'!$K$2:$K$2598,"2000",'QUOTED PROJECTS-Earlier Yr'!$H$2:$H$2598,"MTU",'QUOTED PROJECTS-Earlier Yr'!$R$2:$R$2598,"NOV")+SUMIFS('QUOTED PROJECTS-Current Year'!$L$2:$L$2525,'QUOTED PROJECTS-Current Year'!$Q$2:$Q$2525,"WON",'QUOTED PROJECTS-Current Year'!$K$2:$K$2525,"2000",'QUOTED PROJECTS-Current Year'!$H$2:$H$2525,"MTU",'QUOTED PROJECTS-Current Year'!$R$2:$R$2525,"NOV")</f>
        <v>0</v>
      </c>
      <c r="R16" s="55"/>
      <c r="S16" s="141">
        <f>SUMIFS('QUOTED PROJECTS-Earlier Yr'!$L$2:$L$2598,'QUOTED PROJECTS-Earlier Yr'!$Q$2:$Q$2598,"WON",'QUOTED PROJECTS-Earlier Yr'!$K$2:$K$2598,"2000",'QUOTED PROJECTS-Earlier Yr'!$H$2:$H$2598,"MTU",'QUOTED PROJECTS-Earlier Yr'!$R$2:$R$2598,"DEC")+SUMIFS('QUOTED PROJECTS-Current Year'!$L$2:$L$2525,'QUOTED PROJECTS-Current Year'!$Q$2:$Q$2525,"WON",'QUOTED PROJECTS-Current Year'!$K$2:$K$2525,"2000",'QUOTED PROJECTS-Current Year'!$H$2:$H$2525,"MTU",'QUOTED PROJECTS-Current Year'!$R$2:$R$2525,"DEC")</f>
        <v>0</v>
      </c>
      <c r="T16" s="55"/>
      <c r="U16" s="141">
        <f>SUMIFS('QUOTED PROJECTS-Earlier Yr'!$L$2:$L$2598,'QUOTED PROJECTS-Earlier Yr'!$Q$2:$Q$2598,"WON",'QUOTED PROJECTS-Earlier Yr'!$K$2:$K$2598,"2000",'QUOTED PROJECTS-Earlier Yr'!$H$2:$H$2598,"MTU",'QUOTED PROJECTS-Earlier Yr'!$R$2:$R$2598,"JAN")+SUMIFS('QUOTED PROJECTS-Current Year'!$L$2:$L$2525,'QUOTED PROJECTS-Current Year'!$Q$2:$Q$2525,"WON",'QUOTED PROJECTS-Current Year'!$K$2:$K$2525,"2000",'QUOTED PROJECTS-Current Year'!$H$2:$H$2525,"MTU",'QUOTED PROJECTS-Current Year'!$R$2:$R$2525,"JAN")</f>
        <v>0</v>
      </c>
      <c r="V16" s="55"/>
      <c r="W16" s="141">
        <f>SUMIFS('QUOTED PROJECTS-Earlier Yr'!$L$2:$L$2598,'QUOTED PROJECTS-Earlier Yr'!$Q$2:$Q$2598,"WON",'QUOTED PROJECTS-Earlier Yr'!$K$2:$K$2598,"2000",'QUOTED PROJECTS-Earlier Yr'!$H$2:$H$2598,"MTU",'QUOTED PROJECTS-Earlier Yr'!$R$2:$R$2598,"FEB")+SUMIFS('QUOTED PROJECTS-Current Year'!$L$2:$L$2525,'QUOTED PROJECTS-Current Year'!$Q$2:$Q$2525,"WON",'QUOTED PROJECTS-Current Year'!$K$2:$K$2525,"2000",'QUOTED PROJECTS-Current Year'!$H$2:$H$2525,"MTU",'QUOTED PROJECTS-Current Year'!$R$2:$R$2525,"FEB")</f>
        <v>0</v>
      </c>
      <c r="X16" s="55"/>
      <c r="Y16" s="141">
        <f>SUMIFS('QUOTED PROJECTS-Earlier Yr'!$L$2:$L$2598,'QUOTED PROJECTS-Earlier Yr'!$Q$2:$Q$2598,"WON",'QUOTED PROJECTS-Earlier Yr'!$K$2:$K$2598,"2000",'QUOTED PROJECTS-Earlier Yr'!$H$2:$H$2598,"MTU",'QUOTED PROJECTS-Earlier Yr'!$R$2:$R$2598,"MAR")+SUMIFS('QUOTED PROJECTS-Current Year'!$L$2:$L$2525,'QUOTED PROJECTS-Current Year'!$Q$2:$Q$2525,"WON",'QUOTED PROJECTS-Current Year'!$K$2:$K$2525,"2000",'QUOTED PROJECTS-Current Year'!$H$2:$H$2525,"MTU",'QUOTED PROJECTS-Current Year'!$R$2:$R$2525,"MAR")</f>
        <v>0</v>
      </c>
      <c r="Z16" s="57">
        <f t="shared" si="0"/>
        <v>0</v>
      </c>
      <c r="AA16" s="37">
        <f t="shared" si="0"/>
        <v>0</v>
      </c>
    </row>
    <row r="17" spans="1:27">
      <c r="A17" s="19">
        <v>2250</v>
      </c>
      <c r="B17" s="55"/>
      <c r="C17" s="141">
        <f>SUMIFS('QUOTED PROJECTS-Earlier Yr'!$L$2:$L$2598,'QUOTED PROJECTS-Earlier Yr'!$Q$2:$Q$2598,"WON",'QUOTED PROJECTS-Earlier Yr'!$K$2:$K$2598,"2250",'QUOTED PROJECTS-Earlier Yr'!$H$2:$H$2598,"MTU",'QUOTED PROJECTS-Earlier Yr'!$R$2:$R$2598,"APR")+SUMIFS('QUOTED PROJECTS-Current Year'!$L$2:$L$2525,'QUOTED PROJECTS-Current Year'!$Q$2:$Q$2525,"WON",'QUOTED PROJECTS-Current Year'!$K$2:$K$2525,"2250",'QUOTED PROJECTS-Current Year'!$H$2:$H$2525,"MTU",'QUOTED PROJECTS-Current Year'!$R$2:$R$2525,"APR")</f>
        <v>0</v>
      </c>
      <c r="D17" s="55"/>
      <c r="E17" s="141">
        <f>SUMIFS('QUOTED PROJECTS-Earlier Yr'!$L$2:$L$2598,'QUOTED PROJECTS-Earlier Yr'!$Q$2:$Q$2598,"WON",'QUOTED PROJECTS-Earlier Yr'!$K$2:$K$2598,"2250",'QUOTED PROJECTS-Earlier Yr'!$H$2:$H$2598,"MTU",'QUOTED PROJECTS-Earlier Yr'!$R$2:$R$2598,"MAY")+SUMIFS('QUOTED PROJECTS-Current Year'!$L$2:$L$2525,'QUOTED PROJECTS-Current Year'!$Q$2:$Q$2525,"WON",'QUOTED PROJECTS-Current Year'!$K$2:$K$2525,"2250",'QUOTED PROJECTS-Current Year'!$H$2:$H$2525,"MTU",'QUOTED PROJECTS-Current Year'!$R$2:$R$2525,"MAY")</f>
        <v>0</v>
      </c>
      <c r="F17" s="55"/>
      <c r="G17" s="141">
        <f>SUMIFS('QUOTED PROJECTS-Earlier Yr'!$L$2:$L$2598,'QUOTED PROJECTS-Earlier Yr'!$Q$2:$Q$2598,"WON",'QUOTED PROJECTS-Earlier Yr'!$K$2:$K$2598,"2250",'QUOTED PROJECTS-Earlier Yr'!$H$2:$H$2598,"MTU",'QUOTED PROJECTS-Earlier Yr'!$R$2:$R$2598,"JUN")+SUMIFS('QUOTED PROJECTS-Current Year'!$L$2:$L$2525,'QUOTED PROJECTS-Current Year'!$Q$2:$Q$2525,"WON",'QUOTED PROJECTS-Current Year'!$K$2:$K$2525,"2250",'QUOTED PROJECTS-Current Year'!$H$2:$H$2525,"MTU",'QUOTED PROJECTS-Current Year'!$R$2:$R$2525,"JUN")</f>
        <v>0</v>
      </c>
      <c r="H17" s="55"/>
      <c r="I17" s="141">
        <f>SUMIFS('QUOTED PROJECTS-Earlier Yr'!$L$2:$L$2598,'QUOTED PROJECTS-Earlier Yr'!$Q$2:$Q$2598,"WON",'QUOTED PROJECTS-Earlier Yr'!$K$2:$K$2598,"2250",'QUOTED PROJECTS-Earlier Yr'!$H$2:$H$2598,"MTU",'QUOTED PROJECTS-Earlier Yr'!$R$2:$R$2598,"JUL")+SUMIFS('QUOTED PROJECTS-Current Year'!$L$2:$L$2525,'QUOTED PROJECTS-Current Year'!$Q$2:$Q$2525,"WON",'QUOTED PROJECTS-Current Year'!$K$2:$K$2525,"2250",'QUOTED PROJECTS-Current Year'!$H$2:$H$2525,"MTU",'QUOTED PROJECTS-Current Year'!$R$2:$R$2525,"JUL")</f>
        <v>0</v>
      </c>
      <c r="J17" s="55"/>
      <c r="K17" s="141">
        <f>SUMIFS('QUOTED PROJECTS-Earlier Yr'!$L$2:$L$2598,'QUOTED PROJECTS-Earlier Yr'!$Q$2:$Q$2598,"WON",'QUOTED PROJECTS-Earlier Yr'!$K$2:$K$2598,"2250",'QUOTED PROJECTS-Earlier Yr'!$H$2:$H$2598,"MTU",'QUOTED PROJECTS-Earlier Yr'!$R$2:$R$2598,"AUG")+SUMIFS('QUOTED PROJECTS-Current Year'!$L$2:$L$2525,'QUOTED PROJECTS-Current Year'!$Q$2:$Q$2525,"WON",'QUOTED PROJECTS-Current Year'!$K$2:$K$2525,"2250",'QUOTED PROJECTS-Current Year'!$H$2:$H$2525,"MTU",'QUOTED PROJECTS-Current Year'!$R$2:$R$2525,"AUG")</f>
        <v>0</v>
      </c>
      <c r="L17" s="55"/>
      <c r="M17" s="141">
        <f>SUMIFS('QUOTED PROJECTS-Earlier Yr'!$L$2:$L$2598,'QUOTED PROJECTS-Earlier Yr'!$Q$2:$Q$2598,"WON",'QUOTED PROJECTS-Earlier Yr'!$K$2:$K$2598,"2250",'QUOTED PROJECTS-Earlier Yr'!$H$2:$H$2598,"MTU",'QUOTED PROJECTS-Earlier Yr'!$R$2:$R$2598,"SEPT")+SUMIFS('QUOTED PROJECTS-Current Year'!$L$2:$L$2525,'QUOTED PROJECTS-Current Year'!$Q$2:$Q$2525,"WON",'QUOTED PROJECTS-Current Year'!$K$2:$K$2525,"2250",'QUOTED PROJECTS-Current Year'!$H$2:$H$2525,"MTU",'QUOTED PROJECTS-Current Year'!$R$2:$R$2525,"SEPT")</f>
        <v>0</v>
      </c>
      <c r="N17" s="55"/>
      <c r="O17" s="141">
        <f>SUMIFS('QUOTED PROJECTS-Earlier Yr'!$L$2:$L$2598,'QUOTED PROJECTS-Earlier Yr'!$Q$2:$Q$2598,"WON",'QUOTED PROJECTS-Earlier Yr'!$K$2:$K$2598,"2250",'QUOTED PROJECTS-Earlier Yr'!$H$2:$H$2598,"MTU",'QUOTED PROJECTS-Earlier Yr'!$R$2:$R$2598,"OCT")+SUMIFS('QUOTED PROJECTS-Current Year'!$L$2:$L$2525,'QUOTED PROJECTS-Current Year'!$Q$2:$Q$2525,"WON",'QUOTED PROJECTS-Current Year'!$K$2:$K$2525,"2250",'QUOTED PROJECTS-Current Year'!$H$2:$H$2525,"MTU",'QUOTED PROJECTS-Current Year'!$R$2:$R$2525,"OCT")</f>
        <v>0</v>
      </c>
      <c r="P17" s="55"/>
      <c r="Q17" s="141">
        <f>SUMIFS('QUOTED PROJECTS-Earlier Yr'!$L$2:$L$2598,'QUOTED PROJECTS-Earlier Yr'!$Q$2:$Q$2598,"WON",'QUOTED PROJECTS-Earlier Yr'!$K$2:$K$2598,"2250",'QUOTED PROJECTS-Earlier Yr'!$H$2:$H$2598,"MTU",'QUOTED PROJECTS-Earlier Yr'!$R$2:$R$2598,"NOV")+SUMIFS('QUOTED PROJECTS-Current Year'!$L$2:$L$2525,'QUOTED PROJECTS-Current Year'!$Q$2:$Q$2525,"WON",'QUOTED PROJECTS-Current Year'!$K$2:$K$2525,"2250",'QUOTED PROJECTS-Current Year'!$H$2:$H$2525,"MTU",'QUOTED PROJECTS-Current Year'!$R$2:$R$2525,"NOV")</f>
        <v>0</v>
      </c>
      <c r="R17" s="55"/>
      <c r="S17" s="141">
        <f>SUMIFS('QUOTED PROJECTS-Earlier Yr'!$L$2:$L$2598,'QUOTED PROJECTS-Earlier Yr'!$Q$2:$Q$2598,"WON",'QUOTED PROJECTS-Earlier Yr'!$K$2:$K$2598,"2250",'QUOTED PROJECTS-Earlier Yr'!$H$2:$H$2598,"MTU",'QUOTED PROJECTS-Earlier Yr'!$R$2:$R$2598,"DEC")+SUMIFS('QUOTED PROJECTS-Current Year'!$L$2:$L$2525,'QUOTED PROJECTS-Current Year'!$Q$2:$Q$2525,"WON",'QUOTED PROJECTS-Current Year'!$K$2:$K$2525,"2250",'QUOTED PROJECTS-Current Year'!$H$2:$H$2525,"MTU",'QUOTED PROJECTS-Current Year'!$R$2:$R$2525,"DEC")</f>
        <v>0</v>
      </c>
      <c r="T17" s="55"/>
      <c r="U17" s="141">
        <f>SUMIFS('QUOTED PROJECTS-Earlier Yr'!$L$2:$L$2598,'QUOTED PROJECTS-Earlier Yr'!$Q$2:$Q$2598,"WON",'QUOTED PROJECTS-Earlier Yr'!$K$2:$K$2598,"2250",'QUOTED PROJECTS-Earlier Yr'!$H$2:$H$2598,"MTU",'QUOTED PROJECTS-Earlier Yr'!$R$2:$R$2598,"JAN")+SUMIFS('QUOTED PROJECTS-Current Year'!$L$2:$L$2525,'QUOTED PROJECTS-Current Year'!$Q$2:$Q$2525,"WON",'QUOTED PROJECTS-Current Year'!$K$2:$K$2525,"2250",'QUOTED PROJECTS-Current Year'!$H$2:$H$2525,"MTU",'QUOTED PROJECTS-Current Year'!$R$2:$R$2525,"JAN")</f>
        <v>0</v>
      </c>
      <c r="V17" s="55"/>
      <c r="W17" s="141">
        <f>SUMIFS('QUOTED PROJECTS-Earlier Yr'!$L$2:$L$2598,'QUOTED PROJECTS-Earlier Yr'!$Q$2:$Q$2598,"WON",'QUOTED PROJECTS-Earlier Yr'!$K$2:$K$2598,"2250",'QUOTED PROJECTS-Earlier Yr'!$H$2:$H$2598,"MTU",'QUOTED PROJECTS-Earlier Yr'!$R$2:$R$2598,"FEB")+SUMIFS('QUOTED PROJECTS-Current Year'!$L$2:$L$2525,'QUOTED PROJECTS-Current Year'!$Q$2:$Q$2525,"WON",'QUOTED PROJECTS-Current Year'!$K$2:$K$2525,"2250",'QUOTED PROJECTS-Current Year'!$H$2:$H$2525,"MTU",'QUOTED PROJECTS-Current Year'!$R$2:$R$2525,"FEB")</f>
        <v>0</v>
      </c>
      <c r="X17" s="55"/>
      <c r="Y17" s="141">
        <f>SUMIFS('QUOTED PROJECTS-Earlier Yr'!$L$2:$L$2598,'QUOTED PROJECTS-Earlier Yr'!$Q$2:$Q$2598,"WON",'QUOTED PROJECTS-Earlier Yr'!$K$2:$K$2598,"2250",'QUOTED PROJECTS-Earlier Yr'!$H$2:$H$2598,"MTU",'QUOTED PROJECTS-Earlier Yr'!$R$2:$R$2598,"MAR")+SUMIFS('QUOTED PROJECTS-Current Year'!$L$2:$L$2525,'QUOTED PROJECTS-Current Year'!$Q$2:$Q$2525,"WON",'QUOTED PROJECTS-Current Year'!$K$2:$K$2525,"2250",'QUOTED PROJECTS-Current Year'!$H$2:$H$2525,"MTU",'QUOTED PROJECTS-Current Year'!$R$2:$R$2525,"MAR")</f>
        <v>0</v>
      </c>
      <c r="Z17" s="57">
        <f t="shared" si="0"/>
        <v>0</v>
      </c>
      <c r="AA17" s="37"/>
    </row>
    <row r="18" spans="1:27">
      <c r="A18" s="19">
        <v>2500</v>
      </c>
      <c r="B18" s="55"/>
      <c r="C18" s="141">
        <f>SUMIFS('QUOTED PROJECTS-Earlier Yr'!$L$2:$L$2598,'QUOTED PROJECTS-Earlier Yr'!$Q$2:$Q$2598,"WON",'QUOTED PROJECTS-Earlier Yr'!$K$2:$K$2598,"2500",'QUOTED PROJECTS-Earlier Yr'!$H$2:$H$2598,"MTU",'QUOTED PROJECTS-Earlier Yr'!$R$2:$R$2598,"APR")+SUMIFS('QUOTED PROJECTS-Current Year'!$L$2:$L$2525,'QUOTED PROJECTS-Current Year'!$Q$2:$Q$2525,"WON",'QUOTED PROJECTS-Current Year'!$K$2:$K$2525,"2500",'QUOTED PROJECTS-Current Year'!$H$2:$H$2525,"MTU",'QUOTED PROJECTS-Current Year'!$R$2:$R$2525,"APR")</f>
        <v>0</v>
      </c>
      <c r="D18" s="55"/>
      <c r="E18" s="141">
        <f>SUMIFS('QUOTED PROJECTS-Earlier Yr'!$L$2:$L$2598,'QUOTED PROJECTS-Earlier Yr'!$Q$2:$Q$2598,"WON",'QUOTED PROJECTS-Earlier Yr'!$K$2:$K$2598,"2500",'QUOTED PROJECTS-Earlier Yr'!$H$2:$H$2598,"MTU",'QUOTED PROJECTS-Earlier Yr'!$R$2:$R$2598,"MAY")+SUMIFS('QUOTED PROJECTS-Current Year'!$L$2:$L$2525,'QUOTED PROJECTS-Current Year'!$Q$2:$Q$2525,"WON",'QUOTED PROJECTS-Current Year'!$K$2:$K$2525,"2500",'QUOTED PROJECTS-Current Year'!$H$2:$H$2525,"MTU",'QUOTED PROJECTS-Current Year'!$R$2:$R$2525,"MAY")</f>
        <v>0</v>
      </c>
      <c r="F18" s="55"/>
      <c r="G18" s="141">
        <f>SUMIFS('QUOTED PROJECTS-Earlier Yr'!$L$2:$L$2598,'QUOTED PROJECTS-Earlier Yr'!$Q$2:$Q$2598,"WON",'QUOTED PROJECTS-Earlier Yr'!$K$2:$K$2598,"2500",'QUOTED PROJECTS-Earlier Yr'!$H$2:$H$2598,"MTU",'QUOTED PROJECTS-Earlier Yr'!$R$2:$R$2598,"JUN")+SUMIFS('QUOTED PROJECTS-Current Year'!$L$2:$L$2525,'QUOTED PROJECTS-Current Year'!$Q$2:$Q$2525,"WON",'QUOTED PROJECTS-Current Year'!$K$2:$K$2525,"2500",'QUOTED PROJECTS-Current Year'!$H$2:$H$2525,"MTU",'QUOTED PROJECTS-Current Year'!$R$2:$R$2525,"JUN")</f>
        <v>0</v>
      </c>
      <c r="H18" s="55"/>
      <c r="I18" s="141">
        <f>SUMIFS('QUOTED PROJECTS-Earlier Yr'!$L$2:$L$2598,'QUOTED PROJECTS-Earlier Yr'!$Q$2:$Q$2598,"WON",'QUOTED PROJECTS-Earlier Yr'!$K$2:$K$2598,"2500",'QUOTED PROJECTS-Earlier Yr'!$H$2:$H$2598,"MTU",'QUOTED PROJECTS-Earlier Yr'!$R$2:$R$2598,"JUL")+SUMIFS('QUOTED PROJECTS-Current Year'!$L$2:$L$2525,'QUOTED PROJECTS-Current Year'!$Q$2:$Q$2525,"WON",'QUOTED PROJECTS-Current Year'!$K$2:$K$2525,"2500",'QUOTED PROJECTS-Current Year'!$H$2:$H$2525,"MTU",'QUOTED PROJECTS-Current Year'!$R$2:$R$2525,"JUL")</f>
        <v>0</v>
      </c>
      <c r="J18" s="55"/>
      <c r="K18" s="141">
        <f>SUMIFS('QUOTED PROJECTS-Earlier Yr'!$L$2:$L$2598,'QUOTED PROJECTS-Earlier Yr'!$Q$2:$Q$2598,"WON",'QUOTED PROJECTS-Earlier Yr'!$K$2:$K$2598,"2500",'QUOTED PROJECTS-Earlier Yr'!$H$2:$H$2598,"MTU",'QUOTED PROJECTS-Earlier Yr'!$R$2:$R$2598,"AUG")+SUMIFS('QUOTED PROJECTS-Current Year'!$L$2:$L$2525,'QUOTED PROJECTS-Current Year'!$Q$2:$Q$2525,"WON",'QUOTED PROJECTS-Current Year'!$K$2:$K$2525,"2500",'QUOTED PROJECTS-Current Year'!$H$2:$H$2525,"MTU",'QUOTED PROJECTS-Current Year'!$R$2:$R$2525,"AUG")</f>
        <v>0</v>
      </c>
      <c r="L18" s="55"/>
      <c r="M18" s="141">
        <f>SUMIFS('QUOTED PROJECTS-Earlier Yr'!$L$2:$L$2598,'QUOTED PROJECTS-Earlier Yr'!$Q$2:$Q$2598,"WON",'QUOTED PROJECTS-Earlier Yr'!$K$2:$K$2598,"2500",'QUOTED PROJECTS-Earlier Yr'!$H$2:$H$2598,"MTU",'QUOTED PROJECTS-Earlier Yr'!$R$2:$R$2598,"SEPT")+SUMIFS('QUOTED PROJECTS-Current Year'!$L$2:$L$2525,'QUOTED PROJECTS-Current Year'!$Q$2:$Q$2525,"WON",'QUOTED PROJECTS-Current Year'!$K$2:$K$2525,"2500",'QUOTED PROJECTS-Current Year'!$H$2:$H$2525,"MTU",'QUOTED PROJECTS-Current Year'!$R$2:$R$2525,"SEPT")</f>
        <v>0</v>
      </c>
      <c r="N18" s="55"/>
      <c r="O18" s="141">
        <f>SUMIFS('QUOTED PROJECTS-Earlier Yr'!$L$2:$L$2598,'QUOTED PROJECTS-Earlier Yr'!$Q$2:$Q$2598,"WON",'QUOTED PROJECTS-Earlier Yr'!$K$2:$K$2598,"2500",'QUOTED PROJECTS-Earlier Yr'!$H$2:$H$2598,"MTU",'QUOTED PROJECTS-Earlier Yr'!$R$2:$R$2598,"OCT")+SUMIFS('QUOTED PROJECTS-Current Year'!$L$2:$L$2525,'QUOTED PROJECTS-Current Year'!$Q$2:$Q$2525,"WON",'QUOTED PROJECTS-Current Year'!$K$2:$K$2525,"2500",'QUOTED PROJECTS-Current Year'!$H$2:$H$2525,"MTU",'QUOTED PROJECTS-Current Year'!$R$2:$R$2525,"OCT")</f>
        <v>0</v>
      </c>
      <c r="P18" s="55"/>
      <c r="Q18" s="141">
        <f>SUMIFS('QUOTED PROJECTS-Earlier Yr'!$L$2:$L$2598,'QUOTED PROJECTS-Earlier Yr'!$Q$2:$Q$2598,"WON",'QUOTED PROJECTS-Earlier Yr'!$K$2:$K$2598,"2500",'QUOTED PROJECTS-Earlier Yr'!$H$2:$H$2598,"MTU",'QUOTED PROJECTS-Earlier Yr'!$R$2:$R$2598,"NOV")+SUMIFS('QUOTED PROJECTS-Current Year'!$L$2:$L$2525,'QUOTED PROJECTS-Current Year'!$Q$2:$Q$2525,"WON",'QUOTED PROJECTS-Current Year'!$K$2:$K$2525,"2500",'QUOTED PROJECTS-Current Year'!$H$2:$H$2525,"MTU",'QUOTED PROJECTS-Current Year'!$R$2:$R$2525,"NOV")</f>
        <v>0</v>
      </c>
      <c r="R18" s="55"/>
      <c r="S18" s="141">
        <f>SUMIFS('QUOTED PROJECTS-Earlier Yr'!$L$2:$L$2598,'QUOTED PROJECTS-Earlier Yr'!$Q$2:$Q$2598,"WON",'QUOTED PROJECTS-Earlier Yr'!$K$2:$K$2598,"2500",'QUOTED PROJECTS-Earlier Yr'!$H$2:$H$2598,"MTU",'QUOTED PROJECTS-Earlier Yr'!$R$2:$R$2598,"DEC")+SUMIFS('QUOTED PROJECTS-Current Year'!$L$2:$L$2525,'QUOTED PROJECTS-Current Year'!$Q$2:$Q$2525,"WON",'QUOTED PROJECTS-Current Year'!$K$2:$K$2525,"2500",'QUOTED PROJECTS-Current Year'!$H$2:$H$2525,"MTU",'QUOTED PROJECTS-Current Year'!$R$2:$R$2525,"DEC")</f>
        <v>0</v>
      </c>
      <c r="T18" s="55"/>
      <c r="U18" s="141">
        <f>SUMIFS('QUOTED PROJECTS-Earlier Yr'!$L$2:$L$2598,'QUOTED PROJECTS-Earlier Yr'!$Q$2:$Q$2598,"WON",'QUOTED PROJECTS-Earlier Yr'!$K$2:$K$2598,"2500",'QUOTED PROJECTS-Earlier Yr'!$H$2:$H$2598,"MTU",'QUOTED PROJECTS-Earlier Yr'!$R$2:$R$2598,"JAN")+SUMIFS('QUOTED PROJECTS-Current Year'!$L$2:$L$2525,'QUOTED PROJECTS-Current Year'!$Q$2:$Q$2525,"WON",'QUOTED PROJECTS-Current Year'!$K$2:$K$2525,"2500",'QUOTED PROJECTS-Current Year'!$H$2:$H$2525,"MTU",'QUOTED PROJECTS-Current Year'!$R$2:$R$2525,"JAN")</f>
        <v>0</v>
      </c>
      <c r="V18" s="55"/>
      <c r="W18" s="141">
        <f>SUMIFS('QUOTED PROJECTS-Earlier Yr'!$L$2:$L$2598,'QUOTED PROJECTS-Earlier Yr'!$Q$2:$Q$2598,"WON",'QUOTED PROJECTS-Earlier Yr'!$K$2:$K$2598,"2500",'QUOTED PROJECTS-Earlier Yr'!$H$2:$H$2598,"MTU",'QUOTED PROJECTS-Earlier Yr'!$R$2:$R$2598,"FEB")+SUMIFS('QUOTED PROJECTS-Current Year'!$L$2:$L$2525,'QUOTED PROJECTS-Current Year'!$Q$2:$Q$2525,"WON",'QUOTED PROJECTS-Current Year'!$K$2:$K$2525,"2500",'QUOTED PROJECTS-Current Year'!$H$2:$H$2525,"MTU",'QUOTED PROJECTS-Current Year'!$R$2:$R$2525,"FEB")</f>
        <v>0</v>
      </c>
      <c r="X18" s="55"/>
      <c r="Y18" s="141">
        <f>SUMIFS('QUOTED PROJECTS-Earlier Yr'!$L$2:$L$2598,'QUOTED PROJECTS-Earlier Yr'!$Q$2:$Q$2598,"WON",'QUOTED PROJECTS-Earlier Yr'!$K$2:$K$2598,"2500",'QUOTED PROJECTS-Earlier Yr'!$H$2:$H$2598,"MTU",'QUOTED PROJECTS-Earlier Yr'!$R$2:$R$2598,"MAR")+SUMIFS('QUOTED PROJECTS-Current Year'!$L$2:$L$2525,'QUOTED PROJECTS-Current Year'!$Q$2:$Q$2525,"WON",'QUOTED PROJECTS-Current Year'!$K$2:$K$2525,"2500",'QUOTED PROJECTS-Current Year'!$H$2:$H$2525,"MTU",'QUOTED PROJECTS-Current Year'!$R$2:$R$2525,"MAR")</f>
        <v>0</v>
      </c>
      <c r="Z18" s="57">
        <f t="shared" si="0"/>
        <v>0</v>
      </c>
      <c r="AA18" s="37">
        <f t="shared" si="0"/>
        <v>0</v>
      </c>
    </row>
    <row r="19" spans="1:27">
      <c r="A19" s="19">
        <v>2750</v>
      </c>
      <c r="B19" s="55"/>
      <c r="C19" s="141">
        <f>SUMIFS('QUOTED PROJECTS-Earlier Yr'!$L$2:$L$2598,'QUOTED PROJECTS-Earlier Yr'!$Q$2:$Q$2598,"WON",'QUOTED PROJECTS-Earlier Yr'!$K$2:$K$2598,"2750",'QUOTED PROJECTS-Earlier Yr'!$H$2:$H$2598,"MTU",'QUOTED PROJECTS-Earlier Yr'!$R$2:$R$2598,"APR")+SUMIFS('QUOTED PROJECTS-Current Year'!$L$2:$L$2525,'QUOTED PROJECTS-Current Year'!$Q$2:$Q$2525,"WON",'QUOTED PROJECTS-Current Year'!$K$2:$K$2525,"2750",'QUOTED PROJECTS-Current Year'!$H$2:$H$2525,"MTU",'QUOTED PROJECTS-Current Year'!$R$2:$R$2525,"APR")</f>
        <v>0</v>
      </c>
      <c r="D19" s="55"/>
      <c r="E19" s="141">
        <f>SUMIFS('QUOTED PROJECTS-Earlier Yr'!$L$2:$L$2598,'QUOTED PROJECTS-Earlier Yr'!$Q$2:$Q$2598,"WON",'QUOTED PROJECTS-Earlier Yr'!$K$2:$K$2598,"2750",'QUOTED PROJECTS-Earlier Yr'!$H$2:$H$2598,"MTU",'QUOTED PROJECTS-Earlier Yr'!$R$2:$R$2598,"MAY")+SUMIFS('QUOTED PROJECTS-Current Year'!$L$2:$L$2525,'QUOTED PROJECTS-Current Year'!$Q$2:$Q$2525,"WON",'QUOTED PROJECTS-Current Year'!$K$2:$K$2525,"2750",'QUOTED PROJECTS-Current Year'!$H$2:$H$2525,"MTU",'QUOTED PROJECTS-Current Year'!$R$2:$R$2525,"MAY")</f>
        <v>0</v>
      </c>
      <c r="F19" s="55"/>
      <c r="G19" s="141">
        <f>SUMIFS('QUOTED PROJECTS-Earlier Yr'!$L$2:$L$2598,'QUOTED PROJECTS-Earlier Yr'!$Q$2:$Q$2598,"WON",'QUOTED PROJECTS-Earlier Yr'!$K$2:$K$2598,"2750",'QUOTED PROJECTS-Earlier Yr'!$H$2:$H$2598,"MTU",'QUOTED PROJECTS-Earlier Yr'!$R$2:$R$2598,"JUN")+SUMIFS('QUOTED PROJECTS-Current Year'!$L$2:$L$2525,'QUOTED PROJECTS-Current Year'!$Q$2:$Q$2525,"WON",'QUOTED PROJECTS-Current Year'!$K$2:$K$2525,"2750",'QUOTED PROJECTS-Current Year'!$H$2:$H$2525,"MTU",'QUOTED PROJECTS-Current Year'!$R$2:$R$2525,"JUN")</f>
        <v>0</v>
      </c>
      <c r="H19" s="55"/>
      <c r="I19" s="141">
        <f>SUMIFS('QUOTED PROJECTS-Earlier Yr'!$L$2:$L$2598,'QUOTED PROJECTS-Earlier Yr'!$Q$2:$Q$2598,"WON",'QUOTED PROJECTS-Earlier Yr'!$K$2:$K$2598,"2750",'QUOTED PROJECTS-Earlier Yr'!$H$2:$H$2598,"MTU",'QUOTED PROJECTS-Earlier Yr'!$R$2:$R$2598,"JUL")+SUMIFS('QUOTED PROJECTS-Current Year'!$L$2:$L$2525,'QUOTED PROJECTS-Current Year'!$Q$2:$Q$2525,"WON",'QUOTED PROJECTS-Current Year'!$K$2:$K$2525,"2750",'QUOTED PROJECTS-Current Year'!$H$2:$H$2525,"MTU",'QUOTED PROJECTS-Current Year'!$R$2:$R$2525,"JUL")</f>
        <v>0</v>
      </c>
      <c r="J19" s="55"/>
      <c r="K19" s="141">
        <f>SUMIFS('QUOTED PROJECTS-Earlier Yr'!$L$2:$L$2598,'QUOTED PROJECTS-Earlier Yr'!$Q$2:$Q$2598,"WON",'QUOTED PROJECTS-Earlier Yr'!$K$2:$K$2598,"2750",'QUOTED PROJECTS-Earlier Yr'!$H$2:$H$2598,"MTU",'QUOTED PROJECTS-Earlier Yr'!$R$2:$R$2598,"AUG")+SUMIFS('QUOTED PROJECTS-Current Year'!$L$2:$L$2525,'QUOTED PROJECTS-Current Year'!$Q$2:$Q$2525,"WON",'QUOTED PROJECTS-Current Year'!$K$2:$K$2525,"2750",'QUOTED PROJECTS-Current Year'!$H$2:$H$2525,"MTU",'QUOTED PROJECTS-Current Year'!$R$2:$R$2525,"AUG")</f>
        <v>0</v>
      </c>
      <c r="L19" s="55"/>
      <c r="M19" s="141">
        <f>SUMIFS('QUOTED PROJECTS-Earlier Yr'!$L$2:$L$2598,'QUOTED PROJECTS-Earlier Yr'!$Q$2:$Q$2598,"WON",'QUOTED PROJECTS-Earlier Yr'!$K$2:$K$2598,"2750",'QUOTED PROJECTS-Earlier Yr'!$H$2:$H$2598,"MTU",'QUOTED PROJECTS-Earlier Yr'!$R$2:$R$2598,"SEPT")+SUMIFS('QUOTED PROJECTS-Current Year'!$L$2:$L$2525,'QUOTED PROJECTS-Current Year'!$Q$2:$Q$2525,"WON",'QUOTED PROJECTS-Current Year'!$K$2:$K$2525,"2750",'QUOTED PROJECTS-Current Year'!$H$2:$H$2525,"MTU",'QUOTED PROJECTS-Current Year'!$R$2:$R$2525,"SEPT")</f>
        <v>0</v>
      </c>
      <c r="N19" s="55"/>
      <c r="O19" s="141">
        <f>SUMIFS('QUOTED PROJECTS-Earlier Yr'!$L$2:$L$2598,'QUOTED PROJECTS-Earlier Yr'!$Q$2:$Q$2598,"WON",'QUOTED PROJECTS-Earlier Yr'!$K$2:$K$2598,"2750",'QUOTED PROJECTS-Earlier Yr'!$H$2:$H$2598,"MTU",'QUOTED PROJECTS-Earlier Yr'!$R$2:$R$2598,"OCT")+SUMIFS('QUOTED PROJECTS-Current Year'!$L$2:$L$2525,'QUOTED PROJECTS-Current Year'!$Q$2:$Q$2525,"WON",'QUOTED PROJECTS-Current Year'!$K$2:$K$2525,"2750",'QUOTED PROJECTS-Current Year'!$H$2:$H$2525,"MTU",'QUOTED PROJECTS-Current Year'!$R$2:$R$2525,"OCT")</f>
        <v>0</v>
      </c>
      <c r="P19" s="55"/>
      <c r="Q19" s="141">
        <f>SUMIFS('QUOTED PROJECTS-Earlier Yr'!$L$2:$L$2598,'QUOTED PROJECTS-Earlier Yr'!$Q$2:$Q$2598,"WON",'QUOTED PROJECTS-Earlier Yr'!$K$2:$K$2598,"2750",'QUOTED PROJECTS-Earlier Yr'!$H$2:$H$2598,"MTU",'QUOTED PROJECTS-Earlier Yr'!$R$2:$R$2598,"NOV")+SUMIFS('QUOTED PROJECTS-Current Year'!$L$2:$L$2525,'QUOTED PROJECTS-Current Year'!$Q$2:$Q$2525,"WON",'QUOTED PROJECTS-Current Year'!$K$2:$K$2525,"2750",'QUOTED PROJECTS-Current Year'!$H$2:$H$2525,"MTU",'QUOTED PROJECTS-Current Year'!$R$2:$R$2525,"NOV")</f>
        <v>0</v>
      </c>
      <c r="R19" s="55"/>
      <c r="S19" s="141">
        <f>SUMIFS('QUOTED PROJECTS-Earlier Yr'!$L$2:$L$2598,'QUOTED PROJECTS-Earlier Yr'!$Q$2:$Q$2598,"WON",'QUOTED PROJECTS-Earlier Yr'!$K$2:$K$2598,"2750",'QUOTED PROJECTS-Earlier Yr'!$H$2:$H$2598,"MTU",'QUOTED PROJECTS-Earlier Yr'!$R$2:$R$2598,"DEC")+SUMIFS('QUOTED PROJECTS-Current Year'!$L$2:$L$2525,'QUOTED PROJECTS-Current Year'!$Q$2:$Q$2525,"WON",'QUOTED PROJECTS-Current Year'!$K$2:$K$2525,"2750",'QUOTED PROJECTS-Current Year'!$H$2:$H$2525,"MTU",'QUOTED PROJECTS-Current Year'!$R$2:$R$2525,"DEC")</f>
        <v>0</v>
      </c>
      <c r="T19" s="55"/>
      <c r="U19" s="141">
        <f>SUMIFS('QUOTED PROJECTS-Earlier Yr'!$L$2:$L$2598,'QUOTED PROJECTS-Earlier Yr'!$Q$2:$Q$2598,"WON",'QUOTED PROJECTS-Earlier Yr'!$K$2:$K$2598,"2750",'QUOTED PROJECTS-Earlier Yr'!$H$2:$H$2598,"MTU",'QUOTED PROJECTS-Earlier Yr'!$R$2:$R$2598,"JAN")+SUMIFS('QUOTED PROJECTS-Current Year'!$L$2:$L$2525,'QUOTED PROJECTS-Current Year'!$Q$2:$Q$2525,"WON",'QUOTED PROJECTS-Current Year'!$K$2:$K$2525,"2750",'QUOTED PROJECTS-Current Year'!$H$2:$H$2525,"MTU",'QUOTED PROJECTS-Current Year'!$R$2:$R$2525,"JAN")</f>
        <v>0</v>
      </c>
      <c r="V19" s="55"/>
      <c r="W19" s="141">
        <f>SUMIFS('QUOTED PROJECTS-Earlier Yr'!$L$2:$L$2598,'QUOTED PROJECTS-Earlier Yr'!$Q$2:$Q$2598,"WON",'QUOTED PROJECTS-Earlier Yr'!$K$2:$K$2598,"2750",'QUOTED PROJECTS-Earlier Yr'!$H$2:$H$2598,"MTU",'QUOTED PROJECTS-Earlier Yr'!$R$2:$R$2598,"FEB")+SUMIFS('QUOTED PROJECTS-Current Year'!$L$2:$L$2525,'QUOTED PROJECTS-Current Year'!$Q$2:$Q$2525,"WON",'QUOTED PROJECTS-Current Year'!$K$2:$K$2525,"2750",'QUOTED PROJECTS-Current Year'!$H$2:$H$2525,"MTU",'QUOTED PROJECTS-Current Year'!$R$2:$R$2525,"FEB")</f>
        <v>0</v>
      </c>
      <c r="X19" s="55"/>
      <c r="Y19" s="141">
        <f>SUMIFS('QUOTED PROJECTS-Earlier Yr'!$L$2:$L$2598,'QUOTED PROJECTS-Earlier Yr'!$Q$2:$Q$2598,"WON",'QUOTED PROJECTS-Earlier Yr'!$K$2:$K$2598,"2750",'QUOTED PROJECTS-Earlier Yr'!$H$2:$H$2598,"MTU",'QUOTED PROJECTS-Earlier Yr'!$R$2:$R$2598,"MAR")+SUMIFS('QUOTED PROJECTS-Current Year'!$L$2:$L$2525,'QUOTED PROJECTS-Current Year'!$Q$2:$Q$2525,"WON",'QUOTED PROJECTS-Current Year'!$K$2:$K$2525,"2750",'QUOTED PROJECTS-Current Year'!$H$2:$H$2525,"MTU",'QUOTED PROJECTS-Current Year'!$R$2:$R$2525,"MAR")</f>
        <v>0</v>
      </c>
      <c r="Z19" s="57">
        <f t="shared" si="0"/>
        <v>0</v>
      </c>
      <c r="AA19" s="37"/>
    </row>
    <row r="20" spans="1:27" ht="13.5" thickBot="1">
      <c r="A20" s="19">
        <v>3000</v>
      </c>
      <c r="B20" s="55"/>
      <c r="C20" s="141">
        <f>SUMIFS('QUOTED PROJECTS-Earlier Yr'!$L$2:$L$2598,'QUOTED PROJECTS-Earlier Yr'!$Q$2:$Q$2598,"WON",'QUOTED PROJECTS-Earlier Yr'!$K$2:$K$2598,"3000",'QUOTED PROJECTS-Earlier Yr'!$H$2:$H$2598,"MTU",'QUOTED PROJECTS-Earlier Yr'!$R$2:$R$2598,"APR")+SUMIFS('QUOTED PROJECTS-Current Year'!$L$2:$L$2525,'QUOTED PROJECTS-Current Year'!$Q$2:$Q$2525,"WON",'QUOTED PROJECTS-Current Year'!$K$2:$K$2525,"3000",'QUOTED PROJECTS-Current Year'!$H$2:$H$2525,"MTU",'QUOTED PROJECTS-Current Year'!$R$2:$R$2525,"APR")</f>
        <v>0</v>
      </c>
      <c r="D20" s="55"/>
      <c r="E20" s="141">
        <f>SUMIFS('QUOTED PROJECTS-Earlier Yr'!$L$2:$L$2598,'QUOTED PROJECTS-Earlier Yr'!$Q$2:$Q$2598,"WON",'QUOTED PROJECTS-Earlier Yr'!$K$2:$K$2598,"3000",'QUOTED PROJECTS-Earlier Yr'!$H$2:$H$2598,"MTU",'QUOTED PROJECTS-Earlier Yr'!$R$2:$R$2598,"MAY")+SUMIFS('QUOTED PROJECTS-Current Year'!$L$2:$L$2525,'QUOTED PROJECTS-Current Year'!$Q$2:$Q$2525,"WON",'QUOTED PROJECTS-Current Year'!$K$2:$K$2525,"3000",'QUOTED PROJECTS-Current Year'!$H$2:$H$2525,"MTU",'QUOTED PROJECTS-Current Year'!$R$2:$R$2525,"MAY")</f>
        <v>0</v>
      </c>
      <c r="F20" s="55"/>
      <c r="G20" s="141">
        <f>SUMIFS('QUOTED PROJECTS-Earlier Yr'!$L$2:$L$2598,'QUOTED PROJECTS-Earlier Yr'!$Q$2:$Q$2598,"WON",'QUOTED PROJECTS-Earlier Yr'!$K$2:$K$2598,"3000",'QUOTED PROJECTS-Earlier Yr'!$H$2:$H$2598,"MTU",'QUOTED PROJECTS-Earlier Yr'!$R$2:$R$2598,"JUN")+SUMIFS('QUOTED PROJECTS-Current Year'!$L$2:$L$2525,'QUOTED PROJECTS-Current Year'!$Q$2:$Q$2525,"WON",'QUOTED PROJECTS-Current Year'!$K$2:$K$2525,"3000",'QUOTED PROJECTS-Current Year'!$H$2:$H$2525,"MTU",'QUOTED PROJECTS-Current Year'!$R$2:$R$2525,"JUN")</f>
        <v>0</v>
      </c>
      <c r="H20" s="55"/>
      <c r="I20" s="141">
        <f>SUMIFS('QUOTED PROJECTS-Earlier Yr'!$L$2:$L$2598,'QUOTED PROJECTS-Earlier Yr'!$Q$2:$Q$2598,"WON",'QUOTED PROJECTS-Earlier Yr'!$K$2:$K$2598,"3000",'QUOTED PROJECTS-Earlier Yr'!$H$2:$H$2598,"MTU",'QUOTED PROJECTS-Earlier Yr'!$R$2:$R$2598,"JUL")+SUMIFS('QUOTED PROJECTS-Current Year'!$L$2:$L$2525,'QUOTED PROJECTS-Current Year'!$Q$2:$Q$2525,"WON",'QUOTED PROJECTS-Current Year'!$K$2:$K$2525,"3000",'QUOTED PROJECTS-Current Year'!$H$2:$H$2525,"MTU",'QUOTED PROJECTS-Current Year'!$R$2:$R$2525,"JUL")</f>
        <v>0</v>
      </c>
      <c r="J20" s="55"/>
      <c r="K20" s="141">
        <f>SUMIFS('QUOTED PROJECTS-Earlier Yr'!$L$2:$L$2598,'QUOTED PROJECTS-Earlier Yr'!$Q$2:$Q$2598,"WON",'QUOTED PROJECTS-Earlier Yr'!$K$2:$K$2598,"3000",'QUOTED PROJECTS-Earlier Yr'!$H$2:$H$2598,"MTU",'QUOTED PROJECTS-Earlier Yr'!$R$2:$R$2598,"AUG")+SUMIFS('QUOTED PROJECTS-Current Year'!$L$2:$L$2525,'QUOTED PROJECTS-Current Year'!$Q$2:$Q$2525,"WON",'QUOTED PROJECTS-Current Year'!$K$2:$K$2525,"3000",'QUOTED PROJECTS-Current Year'!$H$2:$H$2525,"MTU",'QUOTED PROJECTS-Current Year'!$R$2:$R$2525,"AUG")</f>
        <v>0</v>
      </c>
      <c r="L20" s="55"/>
      <c r="M20" s="141">
        <f>SUMIFS('QUOTED PROJECTS-Earlier Yr'!$L$2:$L$2598,'QUOTED PROJECTS-Earlier Yr'!$Q$2:$Q$2598,"WON",'QUOTED PROJECTS-Earlier Yr'!$K$2:$K$2598,"3000",'QUOTED PROJECTS-Earlier Yr'!$H$2:$H$2598,"MTU",'QUOTED PROJECTS-Earlier Yr'!$R$2:$R$2598,"SEPT")+SUMIFS('QUOTED PROJECTS-Current Year'!$L$2:$L$2525,'QUOTED PROJECTS-Current Year'!$Q$2:$Q$2525,"WON",'QUOTED PROJECTS-Current Year'!$K$2:$K$2525,"3000",'QUOTED PROJECTS-Current Year'!$H$2:$H$2525,"MTU",'QUOTED PROJECTS-Current Year'!$R$2:$R$2525,"SEPT")</f>
        <v>0</v>
      </c>
      <c r="N20" s="55"/>
      <c r="O20" s="141">
        <f>SUMIFS('QUOTED PROJECTS-Earlier Yr'!$L$2:$L$2598,'QUOTED PROJECTS-Earlier Yr'!$Q$2:$Q$2598,"WON",'QUOTED PROJECTS-Earlier Yr'!$K$2:$K$2598,"3000",'QUOTED PROJECTS-Earlier Yr'!$H$2:$H$2598,"MTU",'QUOTED PROJECTS-Earlier Yr'!$R$2:$R$2598,"OCT")+SUMIFS('QUOTED PROJECTS-Current Year'!$L$2:$L$2525,'QUOTED PROJECTS-Current Year'!$Q$2:$Q$2525,"WON",'QUOTED PROJECTS-Current Year'!$K$2:$K$2525,"3000",'QUOTED PROJECTS-Current Year'!$H$2:$H$2525,"MTU",'QUOTED PROJECTS-Current Year'!$R$2:$R$2525,"OCT")</f>
        <v>0</v>
      </c>
      <c r="P20" s="55"/>
      <c r="Q20" s="141">
        <f>SUMIFS('QUOTED PROJECTS-Earlier Yr'!$L$2:$L$2598,'QUOTED PROJECTS-Earlier Yr'!$Q$2:$Q$2598,"WON",'QUOTED PROJECTS-Earlier Yr'!$K$2:$K$2598,"3000",'QUOTED PROJECTS-Earlier Yr'!$H$2:$H$2598,"MTU",'QUOTED PROJECTS-Earlier Yr'!$R$2:$R$2598,"NOV")+SUMIFS('QUOTED PROJECTS-Current Year'!$L$2:$L$2525,'QUOTED PROJECTS-Current Year'!$Q$2:$Q$2525,"WON",'QUOTED PROJECTS-Current Year'!$K$2:$K$2525,"3000",'QUOTED PROJECTS-Current Year'!$H$2:$H$2525,"MTU",'QUOTED PROJECTS-Current Year'!$R$2:$R$2525,"NOV")</f>
        <v>0</v>
      </c>
      <c r="R20" s="55"/>
      <c r="S20" s="141">
        <f>SUMIFS('QUOTED PROJECTS-Earlier Yr'!$L$2:$L$2598,'QUOTED PROJECTS-Earlier Yr'!$Q$2:$Q$2598,"WON",'QUOTED PROJECTS-Earlier Yr'!$K$2:$K$2598,"3000",'QUOTED PROJECTS-Earlier Yr'!$H$2:$H$2598,"MTU",'QUOTED PROJECTS-Earlier Yr'!$R$2:$R$2598,"DEC")+SUMIFS('QUOTED PROJECTS-Current Year'!$L$2:$L$2525,'QUOTED PROJECTS-Current Year'!$Q$2:$Q$2525,"WON",'QUOTED PROJECTS-Current Year'!$K$2:$K$2525,"3000",'QUOTED PROJECTS-Current Year'!$H$2:$H$2525,"MTU",'QUOTED PROJECTS-Current Year'!$R$2:$R$2525,"DEC")</f>
        <v>0</v>
      </c>
      <c r="T20" s="55"/>
      <c r="U20" s="141">
        <f>SUMIFS('QUOTED PROJECTS-Earlier Yr'!$L$2:$L$2598,'QUOTED PROJECTS-Earlier Yr'!$Q$2:$Q$2598,"WON",'QUOTED PROJECTS-Earlier Yr'!$K$2:$K$2598,"3000",'QUOTED PROJECTS-Earlier Yr'!$H$2:$H$2598,"MTU",'QUOTED PROJECTS-Earlier Yr'!$R$2:$R$2598,"JAN")+SUMIFS('QUOTED PROJECTS-Current Year'!$L$2:$L$2525,'QUOTED PROJECTS-Current Year'!$Q$2:$Q$2525,"WON",'QUOTED PROJECTS-Current Year'!$K$2:$K$2525,"3000",'QUOTED PROJECTS-Current Year'!$H$2:$H$2525,"MTU",'QUOTED PROJECTS-Current Year'!$R$2:$R$2525,"JAN")</f>
        <v>0</v>
      </c>
      <c r="V20" s="55"/>
      <c r="W20" s="141">
        <f>SUMIFS('QUOTED PROJECTS-Earlier Yr'!$L$2:$L$2598,'QUOTED PROJECTS-Earlier Yr'!$Q$2:$Q$2598,"WON",'QUOTED PROJECTS-Earlier Yr'!$K$2:$K$2598,"3000",'QUOTED PROJECTS-Earlier Yr'!$H$2:$H$2598,"MTU",'QUOTED PROJECTS-Earlier Yr'!$R$2:$R$2598,"FEB")+SUMIFS('QUOTED PROJECTS-Current Year'!$L$2:$L$2525,'QUOTED PROJECTS-Current Year'!$Q$2:$Q$2525,"WON",'QUOTED PROJECTS-Current Year'!$K$2:$K$2525,"3000",'QUOTED PROJECTS-Current Year'!$H$2:$H$2525,"MTU",'QUOTED PROJECTS-Current Year'!$R$2:$R$2525,"FEB")</f>
        <v>0</v>
      </c>
      <c r="X20" s="55"/>
      <c r="Y20" s="141">
        <f>SUMIFS('QUOTED PROJECTS-Earlier Yr'!$L$2:$L$2598,'QUOTED PROJECTS-Earlier Yr'!$Q$2:$Q$2598,"WON",'QUOTED PROJECTS-Earlier Yr'!$K$2:$K$2598,"3000",'QUOTED PROJECTS-Earlier Yr'!$H$2:$H$2598,"MTU",'QUOTED PROJECTS-Earlier Yr'!$R$2:$R$2598,"MAR")+SUMIFS('QUOTED PROJECTS-Current Year'!$L$2:$L$2525,'QUOTED PROJECTS-Current Year'!$Q$2:$Q$2525,"WON",'QUOTED PROJECTS-Current Year'!$K$2:$K$2525,"3000",'QUOTED PROJECTS-Current Year'!$H$2:$H$2525,"MTU",'QUOTED PROJECTS-Current Year'!$R$2:$R$2525,"MAR")</f>
        <v>0</v>
      </c>
      <c r="Z20" s="57">
        <f t="shared" si="0"/>
        <v>0</v>
      </c>
      <c r="AA20" s="37">
        <f t="shared" si="0"/>
        <v>0</v>
      </c>
    </row>
    <row r="21" spans="1:27" s="1" customFormat="1" ht="14.25" thickTop="1" thickBot="1">
      <c r="A21" s="1" t="s">
        <v>64</v>
      </c>
      <c r="B21" s="51">
        <f t="shared" ref="B21:G21" si="1">SUM(B10:B20)</f>
        <v>0</v>
      </c>
      <c r="C21" s="38">
        <f t="shared" si="1"/>
        <v>0</v>
      </c>
      <c r="D21" s="51">
        <f t="shared" si="1"/>
        <v>0</v>
      </c>
      <c r="E21" s="38">
        <f t="shared" si="1"/>
        <v>0</v>
      </c>
      <c r="F21" s="51">
        <f t="shared" si="1"/>
        <v>0</v>
      </c>
      <c r="G21" s="38">
        <f t="shared" si="1"/>
        <v>0</v>
      </c>
      <c r="H21" s="51">
        <f t="shared" ref="H21:AA21" si="2">SUM(H10:H20)</f>
        <v>0</v>
      </c>
      <c r="I21" s="38">
        <f t="shared" si="2"/>
        <v>0</v>
      </c>
      <c r="J21" s="51">
        <f t="shared" si="2"/>
        <v>0</v>
      </c>
      <c r="K21" s="38">
        <f t="shared" si="2"/>
        <v>0</v>
      </c>
      <c r="L21" s="51">
        <f t="shared" si="2"/>
        <v>0</v>
      </c>
      <c r="M21" s="38">
        <f t="shared" si="2"/>
        <v>0</v>
      </c>
      <c r="N21" s="51">
        <f t="shared" si="2"/>
        <v>0</v>
      </c>
      <c r="O21" s="38">
        <f t="shared" si="2"/>
        <v>0</v>
      </c>
      <c r="P21" s="51">
        <f t="shared" si="2"/>
        <v>0</v>
      </c>
      <c r="Q21" s="38">
        <f t="shared" si="2"/>
        <v>0</v>
      </c>
      <c r="R21" s="51">
        <f t="shared" si="2"/>
        <v>0</v>
      </c>
      <c r="S21" s="38">
        <f t="shared" si="2"/>
        <v>0</v>
      </c>
      <c r="T21" s="51">
        <f t="shared" si="2"/>
        <v>0</v>
      </c>
      <c r="U21" s="38">
        <f t="shared" si="2"/>
        <v>0</v>
      </c>
      <c r="V21" s="51">
        <f t="shared" si="2"/>
        <v>0</v>
      </c>
      <c r="W21" s="38">
        <f t="shared" si="2"/>
        <v>0</v>
      </c>
      <c r="X21" s="51">
        <f t="shared" si="2"/>
        <v>0</v>
      </c>
      <c r="Y21" s="38">
        <f t="shared" si="2"/>
        <v>0</v>
      </c>
      <c r="Z21" s="51">
        <f t="shared" si="2"/>
        <v>0</v>
      </c>
      <c r="AA21" s="38">
        <f t="shared" si="2"/>
        <v>0</v>
      </c>
    </row>
    <row r="22" spans="1:27" ht="13.5" thickTop="1">
      <c r="A22" s="1" t="s">
        <v>5</v>
      </c>
      <c r="B22" s="195"/>
      <c r="C22" s="196"/>
      <c r="D22" s="197"/>
      <c r="E22" s="196"/>
      <c r="F22" s="197"/>
      <c r="G22" s="196"/>
      <c r="H22" s="195"/>
      <c r="I22" s="198"/>
      <c r="J22" s="195"/>
      <c r="K22" s="196"/>
      <c r="L22" s="197"/>
      <c r="M22" s="196"/>
      <c r="N22" s="195"/>
      <c r="O22" s="198"/>
      <c r="P22" s="195"/>
      <c r="Q22" s="196"/>
      <c r="R22" s="197"/>
      <c r="S22" s="196"/>
      <c r="T22" s="195"/>
      <c r="U22" s="198"/>
      <c r="V22" s="195"/>
      <c r="W22" s="196"/>
      <c r="X22" s="197"/>
      <c r="Y22" s="196"/>
      <c r="Z22" s="199"/>
      <c r="AA22" s="200"/>
    </row>
    <row r="23" spans="1:27">
      <c r="A23" s="19">
        <v>750</v>
      </c>
      <c r="B23" s="55"/>
      <c r="C23" s="141">
        <f>SUMIFS('QUOTED PROJECTS-Earlier Yr'!$L$2:$L$2598,'QUOTED PROJECTS-Earlier Yr'!$Q$2:$Q$2598,"WON",'QUOTED PROJECTS-Earlier Yr'!$K$2:$K$2598,"750",'QUOTED PROJECTS-Earlier Yr'!$H$2:$H$2598,"PERKINS",'QUOTED PROJECTS-Earlier Yr'!$R$2:$R$2598,"APR")+SUMIFS('QUOTED PROJECTS-Current Year'!$L$2:$L$2525,'QUOTED PROJECTS-Current Year'!$Q$2:$Q$2525,"WON",'QUOTED PROJECTS-Current Year'!$K$2:$K$2525,"750",'QUOTED PROJECTS-Current Year'!$H$2:$H$2525,"PERKINS",'QUOTED PROJECTS-Current Year'!$R$2:$R$2525,"APR")</f>
        <v>0</v>
      </c>
      <c r="D23" s="55"/>
      <c r="E23" s="141">
        <f>SUMIFS('QUOTED PROJECTS-Earlier Yr'!$L$2:$L$2598,'QUOTED PROJECTS-Earlier Yr'!$Q$2:$Q$2598,"WON",'QUOTED PROJECTS-Earlier Yr'!$K$2:$K$2598,"750",'QUOTED PROJECTS-Earlier Yr'!$H$2:$H$2598,"PERKINS",'QUOTED PROJECTS-Earlier Yr'!$R$2:$R$2598,"MAY")+SUMIFS('QUOTED PROJECTS-Current Year'!$L$2:$L$2525,'QUOTED PROJECTS-Current Year'!$Q$2:$Q$2525,"WON",'QUOTED PROJECTS-Current Year'!$K$2:$K$2525,"750",'QUOTED PROJECTS-Current Year'!$H$2:$H$2525,"PERKINS",'QUOTED PROJECTS-Current Year'!$R$2:$R$2525,"MAY")</f>
        <v>0</v>
      </c>
      <c r="F23" s="55"/>
      <c r="G23" s="141">
        <f>SUMIFS('QUOTED PROJECTS-Earlier Yr'!$L$2:$L$2598,'QUOTED PROJECTS-Earlier Yr'!$Q$2:$Q$2598,"WON",'QUOTED PROJECTS-Earlier Yr'!$K$2:$K$2598,"750",'QUOTED PROJECTS-Earlier Yr'!$H$2:$H$2598,"PERKINS",'QUOTED PROJECTS-Earlier Yr'!$R$2:$R$2598,"JUN")+SUMIFS('QUOTED PROJECTS-Current Year'!$L$2:$L$2525,'QUOTED PROJECTS-Current Year'!$Q$2:$Q$2525,"WON",'QUOTED PROJECTS-Current Year'!$K$2:$K$2525,"750",'QUOTED PROJECTS-Current Year'!$H$2:$H$2525,"PERKINS",'QUOTED PROJECTS-Current Year'!$R$2:$R$2525,"JUN")</f>
        <v>2</v>
      </c>
      <c r="H23" s="55"/>
      <c r="I23" s="141">
        <f>SUMIFS('QUOTED PROJECTS-Earlier Yr'!$L$2:$L$2598,'QUOTED PROJECTS-Earlier Yr'!$Q$2:$Q$2598,"WON",'QUOTED PROJECTS-Earlier Yr'!$K$2:$K$2598,"750",'QUOTED PROJECTS-Earlier Yr'!$H$2:$H$2598,"PERKINS",'QUOTED PROJECTS-Earlier Yr'!$R$2:$R$2598,"JUL")+SUMIFS('QUOTED PROJECTS-Current Year'!$L$2:$L$2525,'QUOTED PROJECTS-Current Year'!$Q$2:$Q$2525,"WON",'QUOTED PROJECTS-Current Year'!$K$2:$K$2525,"750",'QUOTED PROJECTS-Current Year'!$H$2:$H$2525,"PERKINS",'QUOTED PROJECTS-Current Year'!$R$2:$R$2525,"JUL")</f>
        <v>0</v>
      </c>
      <c r="J23" s="55"/>
      <c r="K23" s="141">
        <f>SUMIFS('QUOTED PROJECTS-Earlier Yr'!$L$2:$L$2598,'QUOTED PROJECTS-Earlier Yr'!$Q$2:$Q$2598,"WON",'QUOTED PROJECTS-Earlier Yr'!$K$2:$K$2598,"750",'QUOTED PROJECTS-Earlier Yr'!$H$2:$H$2598,"PERKINS",'QUOTED PROJECTS-Earlier Yr'!$R$2:$R$2598,"AUG")+SUMIFS('QUOTED PROJECTS-Current Year'!$L$2:$L$2525,'QUOTED PROJECTS-Current Year'!$Q$2:$Q$2525,"WON",'QUOTED PROJECTS-Current Year'!$K$2:$K$2525,"750",'QUOTED PROJECTS-Current Year'!$H$2:$H$2525,"PERKINS",'QUOTED PROJECTS-Current Year'!$R$2:$R$2525,"AUG")</f>
        <v>0</v>
      </c>
      <c r="L23" s="55"/>
      <c r="M23" s="141">
        <f>SUMIFS('QUOTED PROJECTS-Earlier Yr'!$L$2:$L$2598,'QUOTED PROJECTS-Earlier Yr'!$Q$2:$Q$2598,"WON",'QUOTED PROJECTS-Earlier Yr'!$K$2:$K$2598,"750",'QUOTED PROJECTS-Earlier Yr'!$H$2:$H$2598,"PERKINS",'QUOTED PROJECTS-Earlier Yr'!$R$2:$R$2598,"SEPT")+SUMIFS('QUOTED PROJECTS-Current Year'!$L$2:$L$2525,'QUOTED PROJECTS-Current Year'!$Q$2:$Q$2525,"WON",'QUOTED PROJECTS-Current Year'!$K$2:$K$2525,"750",'QUOTED PROJECTS-Current Year'!$H$2:$H$2525,"PERKINS",'QUOTED PROJECTS-Current Year'!$R$2:$R$2525,"SEPT")</f>
        <v>0</v>
      </c>
      <c r="N23" s="55"/>
      <c r="O23" s="141">
        <f>SUMIFS('QUOTED PROJECTS-Earlier Yr'!$L$2:$L$2598,'QUOTED PROJECTS-Earlier Yr'!$Q$2:$Q$2598,"WON",'QUOTED PROJECTS-Earlier Yr'!$K$2:$K$2598,"750",'QUOTED PROJECTS-Earlier Yr'!$H$2:$H$2598,"PERKINS",'QUOTED PROJECTS-Earlier Yr'!$R$2:$R$2598,"OCT")+SUMIFS('QUOTED PROJECTS-Current Year'!$L$2:$L$2525,'QUOTED PROJECTS-Current Year'!$Q$2:$Q$2525,"WON",'QUOTED PROJECTS-Current Year'!$K$2:$K$2525,"750",'QUOTED PROJECTS-Current Year'!$H$2:$H$2525,"PERKINS",'QUOTED PROJECTS-Current Year'!$R$2:$R$2525,"OCT")</f>
        <v>0</v>
      </c>
      <c r="P23" s="55"/>
      <c r="Q23" s="141">
        <f>SUMIFS('QUOTED PROJECTS-Earlier Yr'!$L$2:$L$2598,'QUOTED PROJECTS-Earlier Yr'!$Q$2:$Q$2598,"WON",'QUOTED PROJECTS-Earlier Yr'!$K$2:$K$2598,"750",'QUOTED PROJECTS-Earlier Yr'!$H$2:$H$2598,"PERKINS",'QUOTED PROJECTS-Earlier Yr'!$R$2:$R$2598,"NOV")+SUMIFS('QUOTED PROJECTS-Current Year'!$L$2:$L$2525,'QUOTED PROJECTS-Current Year'!$Q$2:$Q$2525,"WON",'QUOTED PROJECTS-Current Year'!$K$2:$K$2525,"750",'QUOTED PROJECTS-Current Year'!$H$2:$H$2525,"PERKINS",'QUOTED PROJECTS-Current Year'!$R$2:$R$2525,"NOV")</f>
        <v>0</v>
      </c>
      <c r="R23" s="55">
        <v>2</v>
      </c>
      <c r="S23" s="141">
        <f>SUMIFS('QUOTED PROJECTS-Earlier Yr'!$L$2:$L$2598,'QUOTED PROJECTS-Earlier Yr'!$Q$2:$Q$2598,"WON",'QUOTED PROJECTS-Earlier Yr'!$K$2:$K$2598,"750",'QUOTED PROJECTS-Earlier Yr'!$H$2:$H$2598,"PERKINS",'QUOTED PROJECTS-Earlier Yr'!$R$2:$R$2598,"DEC")+SUMIFS('QUOTED PROJECTS-Current Year'!$L$2:$L$2525,'QUOTED PROJECTS-Current Year'!$Q$2:$Q$2525,"WON",'QUOTED PROJECTS-Current Year'!$K$2:$K$2525,"750",'QUOTED PROJECTS-Current Year'!$H$2:$H$2525,"PERKINS",'QUOTED PROJECTS-Current Year'!$R$2:$R$2525,"DEC")</f>
        <v>0</v>
      </c>
      <c r="T23" s="55"/>
      <c r="U23" s="141">
        <f>SUMIFS('QUOTED PROJECTS-Earlier Yr'!$L$2:$L$2598,'QUOTED PROJECTS-Earlier Yr'!$Q$2:$Q$2598,"WON",'QUOTED PROJECTS-Earlier Yr'!$K$2:$K$2598,"750",'QUOTED PROJECTS-Earlier Yr'!$H$2:$H$2598,"PERKINS",'QUOTED PROJECTS-Earlier Yr'!$R$2:$R$2598,"JAN")+SUMIFS('QUOTED PROJECTS-Current Year'!$L$2:$L$2525,'QUOTED PROJECTS-Current Year'!$Q$2:$Q$2525,"WON",'QUOTED PROJECTS-Current Year'!$K$2:$K$2525,"750",'QUOTED PROJECTS-Current Year'!$H$2:$H$2525,"PERKINS",'QUOTED PROJECTS-Current Year'!$R$2:$R$2525,"JAN")</f>
        <v>0</v>
      </c>
      <c r="V23" s="55"/>
      <c r="W23" s="141">
        <f>SUMIFS('QUOTED PROJECTS-Earlier Yr'!$L$2:$L$2598,'QUOTED PROJECTS-Earlier Yr'!$Q$2:$Q$2598,"WON",'QUOTED PROJECTS-Earlier Yr'!$K$2:$K$2598,"750",'QUOTED PROJECTS-Earlier Yr'!$H$2:$H$2598,"PERKINS",'QUOTED PROJECTS-Earlier Yr'!$R$2:$R$2598,"FEB")+SUMIFS('QUOTED PROJECTS-Current Year'!$L$2:$L$2525,'QUOTED PROJECTS-Current Year'!$Q$2:$Q$2525,"WON",'QUOTED PROJECTS-Current Year'!$K$2:$K$2525,"750",'QUOTED PROJECTS-Current Year'!$H$2:$H$2525,"PERKINS",'QUOTED PROJECTS-Current Year'!$R$2:$R$2525,"FEB")</f>
        <v>0</v>
      </c>
      <c r="X23" s="55">
        <v>3</v>
      </c>
      <c r="Y23" s="141">
        <f>SUMIFS('QUOTED PROJECTS-Earlier Yr'!$L$2:$L$2598,'QUOTED PROJECTS-Earlier Yr'!$Q$2:$Q$2598,"WON",'QUOTED PROJECTS-Earlier Yr'!$K$2:$K$2598,"750",'QUOTED PROJECTS-Earlier Yr'!$H$2:$H$2598,"PERKINS",'QUOTED PROJECTS-Earlier Yr'!$R$2:$R$2598,"MAR")+SUMIFS('QUOTED PROJECTS-Current Year'!$L$2:$L$2525,'QUOTED PROJECTS-Current Year'!$Q$2:$Q$2525,"WON",'QUOTED PROJECTS-Current Year'!$K$2:$K$2525,"750",'QUOTED PROJECTS-Current Year'!$H$2:$H$2525,"PERKINS",'QUOTED PROJECTS-Current Year'!$R$2:$R$2525,"MAR")</f>
        <v>0</v>
      </c>
      <c r="Z23" s="57">
        <f>B23+D23+F23+H23+J23+L23+N23+P23+R23+T23+V23+X23</f>
        <v>5</v>
      </c>
      <c r="AA23" s="37">
        <f>C23+E23+G23+I23+K23+M23+O23+Q23+S23+U23+W23+Y23</f>
        <v>2</v>
      </c>
    </row>
    <row r="24" spans="1:27">
      <c r="A24" s="19">
        <v>1010</v>
      </c>
      <c r="B24" s="55"/>
      <c r="C24" s="141">
        <f>SUMIFS('QUOTED PROJECTS-Earlier Yr'!$L$2:$L$2598,'QUOTED PROJECTS-Earlier Yr'!$Q$2:$Q$2598,"WON",'QUOTED PROJECTS-Earlier Yr'!$K$2:$K$2598,"1010",'QUOTED PROJECTS-Earlier Yr'!$H$2:$H$2598,"PERKINS",'QUOTED PROJECTS-Earlier Yr'!$R$2:$R$2598,"APR")+SUMIFS('QUOTED PROJECTS-Current Year'!$L$2:$L$2525,'QUOTED PROJECTS-Current Year'!$Q$2:$Q$2525,"WON",'QUOTED PROJECTS-Current Year'!$K$2:$K$2525,"1010",'QUOTED PROJECTS-Current Year'!$H$2:$H$2525,"PERKINS",'QUOTED PROJECTS-Current Year'!$R$2:$R$2525,"APR")</f>
        <v>0</v>
      </c>
      <c r="D24" s="55"/>
      <c r="E24" s="141">
        <f>SUMIFS('QUOTED PROJECTS-Earlier Yr'!$L$2:$L$2598,'QUOTED PROJECTS-Earlier Yr'!$Q$2:$Q$2598,"WON",'QUOTED PROJECTS-Earlier Yr'!$K$2:$K$2598,"1010",'QUOTED PROJECTS-Earlier Yr'!$H$2:$H$2598,"PERKINS",'QUOTED PROJECTS-Earlier Yr'!$R$2:$R$2598,"MAY")+SUMIFS('QUOTED PROJECTS-Current Year'!$L$2:$L$2525,'QUOTED PROJECTS-Current Year'!$Q$2:$Q$2525,"WON",'QUOTED PROJECTS-Current Year'!$K$2:$K$2525,"1010",'QUOTED PROJECTS-Current Year'!$H$2:$H$2525,"PERKINS",'QUOTED PROJECTS-Current Year'!$R$2:$R$2525,"MAY")</f>
        <v>0</v>
      </c>
      <c r="F24" s="55"/>
      <c r="G24" s="141">
        <f>SUMIFS('QUOTED PROJECTS-Earlier Yr'!$L$2:$L$2598,'QUOTED PROJECTS-Earlier Yr'!$Q$2:$Q$2598,"WON",'QUOTED PROJECTS-Earlier Yr'!$K$2:$K$2598,"1010",'QUOTED PROJECTS-Earlier Yr'!$H$2:$H$2598,"PERKINS",'QUOTED PROJECTS-Earlier Yr'!$R$2:$R$2598,"JUN")+SUMIFS('QUOTED PROJECTS-Current Year'!$L$2:$L$2525,'QUOTED PROJECTS-Current Year'!$Q$2:$Q$2525,"WON",'QUOTED PROJECTS-Current Year'!$K$2:$K$2525,"1010",'QUOTED PROJECTS-Current Year'!$H$2:$H$2525,"PERKINS",'QUOTED PROJECTS-Current Year'!$R$2:$R$2525,"JUN")</f>
        <v>1</v>
      </c>
      <c r="H24" s="55"/>
      <c r="I24" s="141">
        <f>SUMIFS('QUOTED PROJECTS-Earlier Yr'!$L$2:$L$2598,'QUOTED PROJECTS-Earlier Yr'!$Q$2:$Q$2598,"WON",'QUOTED PROJECTS-Earlier Yr'!$K$2:$K$2598,"1010",'QUOTED PROJECTS-Earlier Yr'!$H$2:$H$2598,"PERKINS",'QUOTED PROJECTS-Earlier Yr'!$R$2:$R$2598,"JUL")+SUMIFS('QUOTED PROJECTS-Current Year'!$L$2:$L$2525,'QUOTED PROJECTS-Current Year'!$Q$2:$Q$2525,"WON",'QUOTED PROJECTS-Current Year'!$K$2:$K$2525,"1010",'QUOTED PROJECTS-Current Year'!$H$2:$H$2525,"PERKINS",'QUOTED PROJECTS-Current Year'!$R$2:$R$2525,"JUL")</f>
        <v>2</v>
      </c>
      <c r="J24" s="55"/>
      <c r="K24" s="141">
        <f>SUMIFS('QUOTED PROJECTS-Earlier Yr'!$L$2:$L$2598,'QUOTED PROJECTS-Earlier Yr'!$Q$2:$Q$2598,"WON",'QUOTED PROJECTS-Earlier Yr'!$K$2:$K$2598,"1010",'QUOTED PROJECTS-Earlier Yr'!$H$2:$H$2598,"PERKINS",'QUOTED PROJECTS-Earlier Yr'!$R$2:$R$2598,"AUG")+SUMIFS('QUOTED PROJECTS-Current Year'!$L$2:$L$2525,'QUOTED PROJECTS-Current Year'!$Q$2:$Q$2525,"WON",'QUOTED PROJECTS-Current Year'!$K$2:$K$2525,"1010",'QUOTED PROJECTS-Current Year'!$H$2:$H$2525,"PERKINS",'QUOTED PROJECTS-Current Year'!$R$2:$R$2525,"AUG")</f>
        <v>0</v>
      </c>
      <c r="L24" s="55">
        <v>1</v>
      </c>
      <c r="M24" s="141">
        <f>SUMIFS('QUOTED PROJECTS-Earlier Yr'!$L$2:$L$2598,'QUOTED PROJECTS-Earlier Yr'!$Q$2:$Q$2598,"WON",'QUOTED PROJECTS-Earlier Yr'!$K$2:$K$2598,"1010",'QUOTED PROJECTS-Earlier Yr'!$H$2:$H$2598,"PERKINS",'QUOTED PROJECTS-Earlier Yr'!$R$2:$R$2598,"SEPT")+SUMIFS('QUOTED PROJECTS-Current Year'!$L$2:$L$2525,'QUOTED PROJECTS-Current Year'!$Q$2:$Q$2525,"WON",'QUOTED PROJECTS-Current Year'!$K$2:$K$2525,"1010",'QUOTED PROJECTS-Current Year'!$H$2:$H$2525,"PERKINS",'QUOTED PROJECTS-Current Year'!$R$2:$R$2525,"SEPT")</f>
        <v>0</v>
      </c>
      <c r="N24" s="55"/>
      <c r="O24" s="141">
        <f>SUMIFS('QUOTED PROJECTS-Earlier Yr'!$L$2:$L$2598,'QUOTED PROJECTS-Earlier Yr'!$Q$2:$Q$2598,"WON",'QUOTED PROJECTS-Earlier Yr'!$K$2:$K$2598,"1010",'QUOTED PROJECTS-Earlier Yr'!$H$2:$H$2598,"PERKINS",'QUOTED PROJECTS-Earlier Yr'!$R$2:$R$2598,"OCT")+SUMIFS('QUOTED PROJECTS-Current Year'!$L$2:$L$2525,'QUOTED PROJECTS-Current Year'!$Q$2:$Q$2525,"WON",'QUOTED PROJECTS-Current Year'!$K$2:$K$2525,"1010",'QUOTED PROJECTS-Current Year'!$H$2:$H$2525,"PERKINS",'QUOTED PROJECTS-Current Year'!$R$2:$R$2525,"OCT")</f>
        <v>0</v>
      </c>
      <c r="P24" s="55"/>
      <c r="Q24" s="141">
        <f>SUMIFS('QUOTED PROJECTS-Earlier Yr'!$L$2:$L$2598,'QUOTED PROJECTS-Earlier Yr'!$Q$2:$Q$2598,"WON",'QUOTED PROJECTS-Earlier Yr'!$K$2:$K$2598,"1010",'QUOTED PROJECTS-Earlier Yr'!$H$2:$H$2598,"PERKINS",'QUOTED PROJECTS-Earlier Yr'!$R$2:$R$2598,"NOV")+SUMIFS('QUOTED PROJECTS-Current Year'!$L$2:$L$2525,'QUOTED PROJECTS-Current Year'!$Q$2:$Q$2525,"WON",'QUOTED PROJECTS-Current Year'!$K$2:$K$2525,"1010",'QUOTED PROJECTS-Current Year'!$H$2:$H$2525,"PERKINS",'QUOTED PROJECTS-Current Year'!$R$2:$R$2525,"NOV")</f>
        <v>0</v>
      </c>
      <c r="R24" s="55"/>
      <c r="S24" s="141">
        <f>SUMIFS('QUOTED PROJECTS-Earlier Yr'!$L$2:$L$2598,'QUOTED PROJECTS-Earlier Yr'!$Q$2:$Q$2598,"WON",'QUOTED PROJECTS-Earlier Yr'!$K$2:$K$2598,"1010",'QUOTED PROJECTS-Earlier Yr'!$H$2:$H$2598,"PERKINS",'QUOTED PROJECTS-Earlier Yr'!$R$2:$R$2598,"DEC")+SUMIFS('QUOTED PROJECTS-Current Year'!$L$2:$L$2525,'QUOTED PROJECTS-Current Year'!$Q$2:$Q$2525,"WON",'QUOTED PROJECTS-Current Year'!$K$2:$K$2525,"1010",'QUOTED PROJECTS-Current Year'!$H$2:$H$2525,"PERKINS",'QUOTED PROJECTS-Current Year'!$R$2:$R$2525,"DEC")</f>
        <v>0</v>
      </c>
      <c r="T24" s="55"/>
      <c r="U24" s="141">
        <f>SUMIFS('QUOTED PROJECTS-Earlier Yr'!$L$2:$L$2598,'QUOTED PROJECTS-Earlier Yr'!$Q$2:$Q$2598,"WON",'QUOTED PROJECTS-Earlier Yr'!$K$2:$K$2598,"1010",'QUOTED PROJECTS-Earlier Yr'!$H$2:$H$2598,"PERKINS",'QUOTED PROJECTS-Earlier Yr'!$R$2:$R$2598,"JAN")+SUMIFS('QUOTED PROJECTS-Current Year'!$L$2:$L$2525,'QUOTED PROJECTS-Current Year'!$Q$2:$Q$2525,"WON",'QUOTED PROJECTS-Current Year'!$K$2:$K$2525,"1010",'QUOTED PROJECTS-Current Year'!$H$2:$H$2525,"PERKINS",'QUOTED PROJECTS-Current Year'!$R$2:$R$2525,"JAN")</f>
        <v>0</v>
      </c>
      <c r="V24" s="55">
        <v>2</v>
      </c>
      <c r="W24" s="141">
        <f>SUMIFS('QUOTED PROJECTS-Earlier Yr'!$L$2:$L$2598,'QUOTED PROJECTS-Earlier Yr'!$Q$2:$Q$2598,"WON",'QUOTED PROJECTS-Earlier Yr'!$K$2:$K$2598,"1010",'QUOTED PROJECTS-Earlier Yr'!$H$2:$H$2598,"PERKINS",'QUOTED PROJECTS-Earlier Yr'!$R$2:$R$2598,"FEB")+SUMIFS('QUOTED PROJECTS-Current Year'!$L$2:$L$2525,'QUOTED PROJECTS-Current Year'!$Q$2:$Q$2525,"WON",'QUOTED PROJECTS-Current Year'!$K$2:$K$2525,"1010",'QUOTED PROJECTS-Current Year'!$H$2:$H$2525,"PERKINS",'QUOTED PROJECTS-Current Year'!$R$2:$R$2525,"FEB")</f>
        <v>0</v>
      </c>
      <c r="X24" s="55"/>
      <c r="Y24" s="141">
        <f>SUMIFS('QUOTED PROJECTS-Earlier Yr'!$L$2:$L$2598,'QUOTED PROJECTS-Earlier Yr'!$Q$2:$Q$2598,"WON",'QUOTED PROJECTS-Earlier Yr'!$K$2:$K$2598,"1010",'QUOTED PROJECTS-Earlier Yr'!$H$2:$H$2598,"PERKINS",'QUOTED PROJECTS-Earlier Yr'!$R$2:$R$2598,"MAR")+SUMIFS('QUOTED PROJECTS-Current Year'!$L$2:$L$2525,'QUOTED PROJECTS-Current Year'!$Q$2:$Q$2525,"WON",'QUOTED PROJECTS-Current Year'!$K$2:$K$2525,"1010",'QUOTED PROJECTS-Current Year'!$H$2:$H$2525,"PERKINS",'QUOTED PROJECTS-Current Year'!$R$2:$R$2525,"MAR")</f>
        <v>0</v>
      </c>
      <c r="Z24" s="57">
        <f t="shared" ref="Z24:Z29" si="3">B24+D24+F24+H24+J24+L24+N24+P24+R24+T24+V24+X24</f>
        <v>3</v>
      </c>
      <c r="AA24" s="37">
        <f t="shared" ref="Z24:AA30" si="4">C24+E24+G24+I24+K24+M24+O24+Q24+S24+U24+W24+Y24</f>
        <v>3</v>
      </c>
    </row>
    <row r="25" spans="1:27">
      <c r="A25" s="19">
        <v>1250</v>
      </c>
      <c r="B25" s="55"/>
      <c r="C25" s="141">
        <f>SUMIFS('QUOTED PROJECTS-Earlier Yr'!$L$2:$L$2598,'QUOTED PROJECTS-Earlier Yr'!$Q$2:$Q$2598,"WON",'QUOTED PROJECTS-Earlier Yr'!$K$2:$K$2598,"1250",'QUOTED PROJECTS-Earlier Yr'!$H$2:$H$2598,"PERKINS",'QUOTED PROJECTS-Earlier Yr'!$R$2:$R$2598,"APR")+SUMIFS('QUOTED PROJECTS-Current Year'!$L$2:$L$2525,'QUOTED PROJECTS-Current Year'!$Q$2:$Q$2525,"WON",'QUOTED PROJECTS-Current Year'!$K$2:$K$2525,"1250",'QUOTED PROJECTS-Current Year'!$H$2:$H$2525,"PERKINS",'QUOTED PROJECTS-Current Year'!$R$2:$R$2525,"APR")</f>
        <v>0</v>
      </c>
      <c r="D25" s="55"/>
      <c r="E25" s="141">
        <f>SUMIFS('QUOTED PROJECTS-Earlier Yr'!$L$2:$L$2598,'QUOTED PROJECTS-Earlier Yr'!$Q$2:$Q$2598,"WON",'QUOTED PROJECTS-Earlier Yr'!$K$2:$K$2598,"1250",'QUOTED PROJECTS-Earlier Yr'!$H$2:$H$2598,"PERKINS",'QUOTED PROJECTS-Earlier Yr'!$R$2:$R$2598,"MAY")+SUMIFS('QUOTED PROJECTS-Current Year'!$L$2:$L$2525,'QUOTED PROJECTS-Current Year'!$Q$2:$Q$2525,"WON",'QUOTED PROJECTS-Current Year'!$K$2:$K$2525,"1250",'QUOTED PROJECTS-Current Year'!$H$2:$H$2525,"PERKINS",'QUOTED PROJECTS-Current Year'!$R$2:$R$2525,"MAY")</f>
        <v>0</v>
      </c>
      <c r="F25" s="55">
        <v>3</v>
      </c>
      <c r="G25" s="141">
        <f>SUMIFS('QUOTED PROJECTS-Earlier Yr'!$L$2:$L$2598,'QUOTED PROJECTS-Earlier Yr'!$Q$2:$Q$2598,"WON",'QUOTED PROJECTS-Earlier Yr'!$K$2:$K$2598,"1250",'QUOTED PROJECTS-Earlier Yr'!$H$2:$H$2598,"PERKINS",'QUOTED PROJECTS-Earlier Yr'!$R$2:$R$2598,"JUN")+SUMIFS('QUOTED PROJECTS-Current Year'!$L$2:$L$2525,'QUOTED PROJECTS-Current Year'!$Q$2:$Q$2525,"WON",'QUOTED PROJECTS-Current Year'!$K$2:$K$2525,"1250",'QUOTED PROJECTS-Current Year'!$H$2:$H$2525,"PERKINS",'QUOTED PROJECTS-Current Year'!$R$2:$R$2525,"JUN")</f>
        <v>1</v>
      </c>
      <c r="H25" s="55"/>
      <c r="I25" s="141">
        <f>SUMIFS('QUOTED PROJECTS-Earlier Yr'!$L$2:$L$2598,'QUOTED PROJECTS-Earlier Yr'!$Q$2:$Q$2598,"WON",'QUOTED PROJECTS-Earlier Yr'!$K$2:$K$2598,"1250",'QUOTED PROJECTS-Earlier Yr'!$H$2:$H$2598,"PERKINS",'QUOTED PROJECTS-Earlier Yr'!$R$2:$R$2598,"JUL")+SUMIFS('QUOTED PROJECTS-Current Year'!$L$2:$L$2525,'QUOTED PROJECTS-Current Year'!$Q$2:$Q$2525,"WON",'QUOTED PROJECTS-Current Year'!$K$2:$K$2525,"1250",'QUOTED PROJECTS-Current Year'!$H$2:$H$2525,"PERKINS",'QUOTED PROJECTS-Current Year'!$R$2:$R$2525,"JUL")</f>
        <v>0</v>
      </c>
      <c r="J25" s="55">
        <v>1</v>
      </c>
      <c r="K25" s="141">
        <f>SUMIFS('QUOTED PROJECTS-Earlier Yr'!$L$2:$L$2598,'QUOTED PROJECTS-Earlier Yr'!$Q$2:$Q$2598,"WON",'QUOTED PROJECTS-Earlier Yr'!$K$2:$K$2598,"1250",'QUOTED PROJECTS-Earlier Yr'!$H$2:$H$2598,"PERKINS",'QUOTED PROJECTS-Earlier Yr'!$R$2:$R$2598,"AUG")+SUMIFS('QUOTED PROJECTS-Current Year'!$L$2:$L$2525,'QUOTED PROJECTS-Current Year'!$Q$2:$Q$2525,"WON",'QUOTED PROJECTS-Current Year'!$K$2:$K$2525,"1250",'QUOTED PROJECTS-Current Year'!$H$2:$H$2525,"PERKINS",'QUOTED PROJECTS-Current Year'!$R$2:$R$2525,"AUG")</f>
        <v>0</v>
      </c>
      <c r="L25" s="55"/>
      <c r="M25" s="141">
        <f>SUMIFS('QUOTED PROJECTS-Earlier Yr'!$L$2:$L$2598,'QUOTED PROJECTS-Earlier Yr'!$Q$2:$Q$2598,"WON",'QUOTED PROJECTS-Earlier Yr'!$K$2:$K$2598,"1250",'QUOTED PROJECTS-Earlier Yr'!$H$2:$H$2598,"PERKINS",'QUOTED PROJECTS-Earlier Yr'!$R$2:$R$2598,"SEPT")+SUMIFS('QUOTED PROJECTS-Current Year'!$L$2:$L$2525,'QUOTED PROJECTS-Current Year'!$Q$2:$Q$2525,"WON",'QUOTED PROJECTS-Current Year'!$K$2:$K$2525,"1250",'QUOTED PROJECTS-Current Year'!$H$2:$H$2525,"PERKINS",'QUOTED PROJECTS-Current Year'!$R$2:$R$2525,"SEPT")</f>
        <v>0</v>
      </c>
      <c r="N25" s="55">
        <v>4</v>
      </c>
      <c r="O25" s="141">
        <f>SUMIFS('QUOTED PROJECTS-Earlier Yr'!$L$2:$L$2598,'QUOTED PROJECTS-Earlier Yr'!$Q$2:$Q$2598,"WON",'QUOTED PROJECTS-Earlier Yr'!$K$2:$K$2598,"1250",'QUOTED PROJECTS-Earlier Yr'!$H$2:$H$2598,"PERKINS",'QUOTED PROJECTS-Earlier Yr'!$R$2:$R$2598,"OCT")+SUMIFS('QUOTED PROJECTS-Current Year'!$L$2:$L$2525,'QUOTED PROJECTS-Current Year'!$Q$2:$Q$2525,"WON",'QUOTED PROJECTS-Current Year'!$K$2:$K$2525,"1250",'QUOTED PROJECTS-Current Year'!$H$2:$H$2525,"PERKINS",'QUOTED PROJECTS-Current Year'!$R$2:$R$2525,"OCT")</f>
        <v>0</v>
      </c>
      <c r="P25" s="55"/>
      <c r="Q25" s="141">
        <f>SUMIFS('QUOTED PROJECTS-Earlier Yr'!$L$2:$L$2598,'QUOTED PROJECTS-Earlier Yr'!$Q$2:$Q$2598,"WON",'QUOTED PROJECTS-Earlier Yr'!$K$2:$K$2598,"1250",'QUOTED PROJECTS-Earlier Yr'!$H$2:$H$2598,"PERKINS",'QUOTED PROJECTS-Earlier Yr'!$R$2:$R$2598,"NOV")+SUMIFS('QUOTED PROJECTS-Current Year'!$L$2:$L$2525,'QUOTED PROJECTS-Current Year'!$Q$2:$Q$2525,"WON",'QUOTED PROJECTS-Current Year'!$K$2:$K$2525,"1250",'QUOTED PROJECTS-Current Year'!$H$2:$H$2525,"PERKINS",'QUOTED PROJECTS-Current Year'!$R$2:$R$2525,"NOV")</f>
        <v>0</v>
      </c>
      <c r="R25" s="55"/>
      <c r="S25" s="141">
        <f>SUMIFS('QUOTED PROJECTS-Earlier Yr'!$L$2:$L$2598,'QUOTED PROJECTS-Earlier Yr'!$Q$2:$Q$2598,"WON",'QUOTED PROJECTS-Earlier Yr'!$K$2:$K$2598,"1250",'QUOTED PROJECTS-Earlier Yr'!$H$2:$H$2598,"PERKINS",'QUOTED PROJECTS-Earlier Yr'!$R$2:$R$2598,"DEC")+SUMIFS('QUOTED PROJECTS-Current Year'!$L$2:$L$2525,'QUOTED PROJECTS-Current Year'!$Q$2:$Q$2525,"WON",'QUOTED PROJECTS-Current Year'!$K$2:$K$2525,"1250",'QUOTED PROJECTS-Current Year'!$H$2:$H$2525,"PERKINS",'QUOTED PROJECTS-Current Year'!$R$2:$R$2525,"DEC")</f>
        <v>0</v>
      </c>
      <c r="T25" s="55"/>
      <c r="U25" s="141">
        <f>SUMIFS('QUOTED PROJECTS-Earlier Yr'!$L$2:$L$2598,'QUOTED PROJECTS-Earlier Yr'!$Q$2:$Q$2598,"WON",'QUOTED PROJECTS-Earlier Yr'!$K$2:$K$2598,"1250",'QUOTED PROJECTS-Earlier Yr'!$H$2:$H$2598,"PERKINS",'QUOTED PROJECTS-Earlier Yr'!$R$2:$R$2598,"JAN")+SUMIFS('QUOTED PROJECTS-Current Year'!$L$2:$L$2525,'QUOTED PROJECTS-Current Year'!$Q$2:$Q$2525,"WON",'QUOTED PROJECTS-Current Year'!$K$2:$K$2525,"1250",'QUOTED PROJECTS-Current Year'!$H$2:$H$2525,"PERKINS",'QUOTED PROJECTS-Current Year'!$R$2:$R$2525,"JAN")</f>
        <v>0</v>
      </c>
      <c r="V25" s="55"/>
      <c r="W25" s="141">
        <f>SUMIFS('QUOTED PROJECTS-Earlier Yr'!$L$2:$L$2598,'QUOTED PROJECTS-Earlier Yr'!$Q$2:$Q$2598,"WON",'QUOTED PROJECTS-Earlier Yr'!$K$2:$K$2598,"1250",'QUOTED PROJECTS-Earlier Yr'!$H$2:$H$2598,"PERKINS",'QUOTED PROJECTS-Earlier Yr'!$R$2:$R$2598,"FEB")+SUMIFS('QUOTED PROJECTS-Current Year'!$L$2:$L$2525,'QUOTED PROJECTS-Current Year'!$Q$2:$Q$2525,"WON",'QUOTED PROJECTS-Current Year'!$K$2:$K$2525,"1250",'QUOTED PROJECTS-Current Year'!$H$2:$H$2525,"PERKINS",'QUOTED PROJECTS-Current Year'!$R$2:$R$2525,"FEB")</f>
        <v>0</v>
      </c>
      <c r="X25" s="55"/>
      <c r="Y25" s="141">
        <f>SUMIFS('QUOTED PROJECTS-Earlier Yr'!$L$2:$L$2598,'QUOTED PROJECTS-Earlier Yr'!$Q$2:$Q$2598,"WON",'QUOTED PROJECTS-Earlier Yr'!$K$2:$K$2598,"1250",'QUOTED PROJECTS-Earlier Yr'!$H$2:$H$2598,"PERKINS",'QUOTED PROJECTS-Earlier Yr'!$R$2:$R$2598,"MAR")+SUMIFS('QUOTED PROJECTS-Current Year'!$L$2:$L$2525,'QUOTED PROJECTS-Current Year'!$Q$2:$Q$2525,"WON",'QUOTED PROJECTS-Current Year'!$K$2:$K$2525,"1250",'QUOTED PROJECTS-Current Year'!$H$2:$H$2525,"PERKINS",'QUOTED PROJECTS-Current Year'!$R$2:$R$2525,"MAR")</f>
        <v>0</v>
      </c>
      <c r="Z25" s="57">
        <f t="shared" si="3"/>
        <v>8</v>
      </c>
      <c r="AA25" s="37">
        <f t="shared" si="4"/>
        <v>1</v>
      </c>
    </row>
    <row r="26" spans="1:27">
      <c r="A26" s="19">
        <v>1500</v>
      </c>
      <c r="B26" s="55"/>
      <c r="C26" s="141">
        <f>SUMIFS('QUOTED PROJECTS-Earlier Yr'!$L$2:$L$2598,'QUOTED PROJECTS-Earlier Yr'!$Q$2:$Q$2598,"WON",'QUOTED PROJECTS-Earlier Yr'!$K$2:$K$2598,"1500",'QUOTED PROJECTS-Earlier Yr'!$H$2:$H$2598,"PERKINS",'QUOTED PROJECTS-Earlier Yr'!$R$2:$R$2598,"APR")+SUMIFS('QUOTED PROJECTS-Current Year'!$L$2:$L$2525,'QUOTED PROJECTS-Current Year'!$Q$2:$Q$2525,"WON",'QUOTED PROJECTS-Current Year'!$K$2:$K$2525,"1500",'QUOTED PROJECTS-Current Year'!$H$2:$H$2525,"PERKINS",'QUOTED PROJECTS-Current Year'!$R$2:$R$2525,"APR")</f>
        <v>0</v>
      </c>
      <c r="D26" s="55"/>
      <c r="E26" s="141">
        <f>SUMIFS('QUOTED PROJECTS-Earlier Yr'!$L$2:$L$2598,'QUOTED PROJECTS-Earlier Yr'!$Q$2:$Q$2598,"WON",'QUOTED PROJECTS-Earlier Yr'!$K$2:$K$2598,"1500",'QUOTED PROJECTS-Earlier Yr'!$H$2:$H$2598,"PERKINS",'QUOTED PROJECTS-Earlier Yr'!$R$2:$R$2598,"MAY")+SUMIFS('QUOTED PROJECTS-Current Year'!$L$2:$L$2525,'QUOTED PROJECTS-Current Year'!$Q$2:$Q$2525,"WON",'QUOTED PROJECTS-Current Year'!$K$2:$K$2525,"1500",'QUOTED PROJECTS-Current Year'!$H$2:$H$2525,"PERKINS",'QUOTED PROJECTS-Current Year'!$R$2:$R$2525,"MAY")</f>
        <v>0</v>
      </c>
      <c r="F26" s="55"/>
      <c r="G26" s="141">
        <f>SUMIFS('QUOTED PROJECTS-Earlier Yr'!$L$2:$L$2598,'QUOTED PROJECTS-Earlier Yr'!$Q$2:$Q$2598,"WON",'QUOTED PROJECTS-Earlier Yr'!$K$2:$K$2598,"1500",'QUOTED PROJECTS-Earlier Yr'!$H$2:$H$2598,"PERKINS",'QUOTED PROJECTS-Earlier Yr'!$R$2:$R$2598,"JUN")+SUMIFS('QUOTED PROJECTS-Current Year'!$L$2:$L$2525,'QUOTED PROJECTS-Current Year'!$Q$2:$Q$2525,"WON",'QUOTED PROJECTS-Current Year'!$K$2:$K$2525,"1500",'QUOTED PROJECTS-Current Year'!$H$2:$H$2525,"PERKINS",'QUOTED PROJECTS-Current Year'!$R$2:$R$2525,"JUN")</f>
        <v>0</v>
      </c>
      <c r="H26" s="55"/>
      <c r="I26" s="141">
        <f>SUMIFS('QUOTED PROJECTS-Earlier Yr'!$L$2:$L$2598,'QUOTED PROJECTS-Earlier Yr'!$Q$2:$Q$2598,"WON",'QUOTED PROJECTS-Earlier Yr'!$K$2:$K$2598,"1500",'QUOTED PROJECTS-Earlier Yr'!$H$2:$H$2598,"PERKINS",'QUOTED PROJECTS-Earlier Yr'!$R$2:$R$2598,"JUL")+SUMIFS('QUOTED PROJECTS-Current Year'!$L$2:$L$2525,'QUOTED PROJECTS-Current Year'!$Q$2:$Q$2525,"WON",'QUOTED PROJECTS-Current Year'!$K$2:$K$2525,"1500",'QUOTED PROJECTS-Current Year'!$H$2:$H$2525,"PERKINS",'QUOTED PROJECTS-Current Year'!$R$2:$R$2525,"JUL")</f>
        <v>0</v>
      </c>
      <c r="J26" s="55"/>
      <c r="K26" s="141">
        <f>SUMIFS('QUOTED PROJECTS-Earlier Yr'!$L$2:$L$2598,'QUOTED PROJECTS-Earlier Yr'!$Q$2:$Q$2598,"WON",'QUOTED PROJECTS-Earlier Yr'!$K$2:$K$2598,"1500",'QUOTED PROJECTS-Earlier Yr'!$H$2:$H$2598,"PERKINS",'QUOTED PROJECTS-Earlier Yr'!$R$2:$R$2598,"AUG")+SUMIFS('QUOTED PROJECTS-Current Year'!$L$2:$L$2525,'QUOTED PROJECTS-Current Year'!$Q$2:$Q$2525,"WON",'QUOTED PROJECTS-Current Year'!$K$2:$K$2525,"1500",'QUOTED PROJECTS-Current Year'!$H$2:$H$2525,"PERKINS",'QUOTED PROJECTS-Current Year'!$R$2:$R$2525,"AUG")</f>
        <v>0</v>
      </c>
      <c r="L26" s="55"/>
      <c r="M26" s="141">
        <f>SUMIFS('QUOTED PROJECTS-Earlier Yr'!$L$2:$L$2598,'QUOTED PROJECTS-Earlier Yr'!$Q$2:$Q$2598,"WON",'QUOTED PROJECTS-Earlier Yr'!$K$2:$K$2598,"1500",'QUOTED PROJECTS-Earlier Yr'!$H$2:$H$2598,"PERKINS",'QUOTED PROJECTS-Earlier Yr'!$R$2:$R$2598,"SEPT")+SUMIFS('QUOTED PROJECTS-Current Year'!$L$2:$L$2525,'QUOTED PROJECTS-Current Year'!$Q$2:$Q$2525,"WON",'QUOTED PROJECTS-Current Year'!$K$2:$K$2525,"1500",'QUOTED PROJECTS-Current Year'!$H$2:$H$2525,"PERKINS",'QUOTED PROJECTS-Current Year'!$R$2:$R$2525,"SEPT")</f>
        <v>0</v>
      </c>
      <c r="N26" s="55"/>
      <c r="O26" s="141">
        <f>SUMIFS('QUOTED PROJECTS-Earlier Yr'!$L$2:$L$2598,'QUOTED PROJECTS-Earlier Yr'!$Q$2:$Q$2598,"WON",'QUOTED PROJECTS-Earlier Yr'!$K$2:$K$2598,"1500",'QUOTED PROJECTS-Earlier Yr'!$H$2:$H$2598,"PERKINS",'QUOTED PROJECTS-Earlier Yr'!$R$2:$R$2598,"OCT")+SUMIFS('QUOTED PROJECTS-Current Year'!$L$2:$L$2525,'QUOTED PROJECTS-Current Year'!$Q$2:$Q$2525,"WON",'QUOTED PROJECTS-Current Year'!$K$2:$K$2525,"1500",'QUOTED PROJECTS-Current Year'!$H$2:$H$2525,"PERKINS",'QUOTED PROJECTS-Current Year'!$R$2:$R$2525,"OCT")</f>
        <v>0</v>
      </c>
      <c r="P26" s="55">
        <f>3</f>
        <v>3</v>
      </c>
      <c r="Q26" s="141">
        <f>SUMIFS('QUOTED PROJECTS-Earlier Yr'!$L$2:$L$2598,'QUOTED PROJECTS-Earlier Yr'!$Q$2:$Q$2598,"WON",'QUOTED PROJECTS-Earlier Yr'!$K$2:$K$2598,"1500",'QUOTED PROJECTS-Earlier Yr'!$H$2:$H$2598,"PERKINS",'QUOTED PROJECTS-Earlier Yr'!$R$2:$R$2598,"NOV")+SUMIFS('QUOTED PROJECTS-Current Year'!$L$2:$L$2525,'QUOTED PROJECTS-Current Year'!$Q$2:$Q$2525,"WON",'QUOTED PROJECTS-Current Year'!$K$2:$K$2525,"1500",'QUOTED PROJECTS-Current Year'!$H$2:$H$2525,"PERKINS",'QUOTED PROJECTS-Current Year'!$R$2:$R$2525,"NOV")</f>
        <v>0</v>
      </c>
      <c r="R26" s="55"/>
      <c r="S26" s="141">
        <f>SUMIFS('QUOTED PROJECTS-Earlier Yr'!$L$2:$L$2598,'QUOTED PROJECTS-Earlier Yr'!$Q$2:$Q$2598,"WON",'QUOTED PROJECTS-Earlier Yr'!$K$2:$K$2598,"1500",'QUOTED PROJECTS-Earlier Yr'!$H$2:$H$2598,"PERKINS",'QUOTED PROJECTS-Earlier Yr'!$R$2:$R$2598,"DEC")+SUMIFS('QUOTED PROJECTS-Current Year'!$L$2:$L$2525,'QUOTED PROJECTS-Current Year'!$Q$2:$Q$2525,"WON",'QUOTED PROJECTS-Current Year'!$K$2:$K$2525,"1500",'QUOTED PROJECTS-Current Year'!$H$2:$H$2525,"PERKINS",'QUOTED PROJECTS-Current Year'!$R$2:$R$2525,"DEC")</f>
        <v>0</v>
      </c>
      <c r="T26" s="55"/>
      <c r="U26" s="141">
        <f>SUMIFS('QUOTED PROJECTS-Earlier Yr'!$L$2:$L$2598,'QUOTED PROJECTS-Earlier Yr'!$Q$2:$Q$2598,"WON",'QUOTED PROJECTS-Earlier Yr'!$K$2:$K$2598,"1500",'QUOTED PROJECTS-Earlier Yr'!$H$2:$H$2598,"PERKINS",'QUOTED PROJECTS-Earlier Yr'!$R$2:$R$2598,"JAN")+SUMIFS('QUOTED PROJECTS-Current Year'!$L$2:$L$2525,'QUOTED PROJECTS-Current Year'!$Q$2:$Q$2525,"WON",'QUOTED PROJECTS-Current Year'!$K$2:$K$2525,"1500",'QUOTED PROJECTS-Current Year'!$H$2:$H$2525,"PERKINS",'QUOTED PROJECTS-Current Year'!$R$2:$R$2525,"JAN")</f>
        <v>0</v>
      </c>
      <c r="V26" s="55"/>
      <c r="W26" s="141">
        <f>SUMIFS('QUOTED PROJECTS-Earlier Yr'!$L$2:$L$2598,'QUOTED PROJECTS-Earlier Yr'!$Q$2:$Q$2598,"WON",'QUOTED PROJECTS-Earlier Yr'!$K$2:$K$2598,"1500",'QUOTED PROJECTS-Earlier Yr'!$H$2:$H$2598,"PERKINS",'QUOTED PROJECTS-Earlier Yr'!$R$2:$R$2598,"FEB")+SUMIFS('QUOTED PROJECTS-Current Year'!$L$2:$L$2525,'QUOTED PROJECTS-Current Year'!$Q$2:$Q$2525,"WON",'QUOTED PROJECTS-Current Year'!$K$2:$K$2525,"1500",'QUOTED PROJECTS-Current Year'!$H$2:$H$2525,"PERKINS",'QUOTED PROJECTS-Current Year'!$R$2:$R$2525,"FEB")</f>
        <v>0</v>
      </c>
      <c r="X26" s="55"/>
      <c r="Y26" s="141">
        <f>SUMIFS('QUOTED PROJECTS-Earlier Yr'!$L$2:$L$2598,'QUOTED PROJECTS-Earlier Yr'!$Q$2:$Q$2598,"WON",'QUOTED PROJECTS-Earlier Yr'!$K$2:$K$2598,"1500",'QUOTED PROJECTS-Earlier Yr'!$H$2:$H$2598,"PERKINS",'QUOTED PROJECTS-Earlier Yr'!$R$2:$R$2598,"MAR")+SUMIFS('QUOTED PROJECTS-Current Year'!$L$2:$L$2525,'QUOTED PROJECTS-Current Year'!$Q$2:$Q$2525,"WON",'QUOTED PROJECTS-Current Year'!$K$2:$K$2525,"1500",'QUOTED PROJECTS-Current Year'!$H$2:$H$2525,"PERKINS",'QUOTED PROJECTS-Current Year'!$R$2:$R$2525,"MAR")</f>
        <v>0</v>
      </c>
      <c r="Z26" s="57">
        <f t="shared" si="3"/>
        <v>3</v>
      </c>
      <c r="AA26" s="37">
        <f t="shared" si="4"/>
        <v>0</v>
      </c>
    </row>
    <row r="27" spans="1:27">
      <c r="A27" s="19">
        <v>1800</v>
      </c>
      <c r="B27" s="55"/>
      <c r="C27" s="141">
        <f>SUMIFS('QUOTED PROJECTS-Earlier Yr'!$L$2:$L$2598,'QUOTED PROJECTS-Earlier Yr'!$Q$2:$Q$2598,"WON",'QUOTED PROJECTS-Earlier Yr'!$K$2:$K$2598,"1800",'QUOTED PROJECTS-Earlier Yr'!$H$2:$H$2598,"PERKINS",'QUOTED PROJECTS-Earlier Yr'!$R$2:$R$2598,"APR")+SUMIFS('QUOTED PROJECTS-Current Year'!$L$2:$L$2525,'QUOTED PROJECTS-Current Year'!$Q$2:$Q$2525,"WON",'QUOTED PROJECTS-Current Year'!$K$2:$K$2525,"1800",'QUOTED PROJECTS-Current Year'!$H$2:$H$2525,"PERKINS",'QUOTED PROJECTS-Current Year'!$R$2:$R$2525,"APR")</f>
        <v>0</v>
      </c>
      <c r="D27" s="55"/>
      <c r="E27" s="141">
        <f>SUMIFS('QUOTED PROJECTS-Earlier Yr'!$L$2:$L$2598,'QUOTED PROJECTS-Earlier Yr'!$Q$2:$Q$2598,"WON",'QUOTED PROJECTS-Earlier Yr'!$K$2:$K$2598,"1800",'QUOTED PROJECTS-Earlier Yr'!$H$2:$H$2598,"PERKINS",'QUOTED PROJECTS-Earlier Yr'!$R$2:$R$2598,"MAY")+SUMIFS('QUOTED PROJECTS-Current Year'!$L$2:$L$2525,'QUOTED PROJECTS-Current Year'!$Q$2:$Q$2525,"WON",'QUOTED PROJECTS-Current Year'!$K$2:$K$2525,"1800",'QUOTED PROJECTS-Current Year'!$H$2:$H$2525,"PERKINS",'QUOTED PROJECTS-Current Year'!$R$2:$R$2525,"MAY")</f>
        <v>0</v>
      </c>
      <c r="F27" s="55"/>
      <c r="G27" s="141">
        <f>SUMIFS('QUOTED PROJECTS-Earlier Yr'!$L$2:$L$2598,'QUOTED PROJECTS-Earlier Yr'!$Q$2:$Q$2598,"WON",'QUOTED PROJECTS-Earlier Yr'!$K$2:$K$2598,"1800",'QUOTED PROJECTS-Earlier Yr'!$H$2:$H$2598,"PERKINS",'QUOTED PROJECTS-Earlier Yr'!$R$2:$R$2598,"JUN")+SUMIFS('QUOTED PROJECTS-Current Year'!$L$2:$L$2525,'QUOTED PROJECTS-Current Year'!$Q$2:$Q$2525,"WON",'QUOTED PROJECTS-Current Year'!$K$2:$K$2525,"1800",'QUOTED PROJECTS-Current Year'!$H$2:$H$2525,"PERKINS",'QUOTED PROJECTS-Current Year'!$R$2:$R$2525,"JUN")</f>
        <v>0</v>
      </c>
      <c r="H27" s="55"/>
      <c r="I27" s="141">
        <f>SUMIFS('QUOTED PROJECTS-Earlier Yr'!$L$2:$L$2598,'QUOTED PROJECTS-Earlier Yr'!$Q$2:$Q$2598,"WON",'QUOTED PROJECTS-Earlier Yr'!$K$2:$K$2598,"1800",'QUOTED PROJECTS-Earlier Yr'!$H$2:$H$2598,"PERKINS",'QUOTED PROJECTS-Earlier Yr'!$R$2:$R$2598,"JUL")+SUMIFS('QUOTED PROJECTS-Current Year'!$L$2:$L$2525,'QUOTED PROJECTS-Current Year'!$Q$2:$Q$2525,"WON",'QUOTED PROJECTS-Current Year'!$K$2:$K$2525,"1800",'QUOTED PROJECTS-Current Year'!$H$2:$H$2525,"PERKINS",'QUOTED PROJECTS-Current Year'!$R$2:$R$2525,"JUL")</f>
        <v>0</v>
      </c>
      <c r="J27" s="55"/>
      <c r="K27" s="141">
        <f>SUMIFS('QUOTED PROJECTS-Earlier Yr'!$L$2:$L$2598,'QUOTED PROJECTS-Earlier Yr'!$Q$2:$Q$2598,"WON",'QUOTED PROJECTS-Earlier Yr'!$K$2:$K$2598,"1800",'QUOTED PROJECTS-Earlier Yr'!$H$2:$H$2598,"PERKINS",'QUOTED PROJECTS-Earlier Yr'!$R$2:$R$2598,"AUG")+SUMIFS('QUOTED PROJECTS-Current Year'!$L$2:$L$2525,'QUOTED PROJECTS-Current Year'!$Q$2:$Q$2525,"WON",'QUOTED PROJECTS-Current Year'!$K$2:$K$2525,"1800",'QUOTED PROJECTS-Current Year'!$H$2:$H$2525,"PERKINS",'QUOTED PROJECTS-Current Year'!$R$2:$R$2525,"AUG")</f>
        <v>0</v>
      </c>
      <c r="L27" s="55"/>
      <c r="M27" s="141">
        <f>SUMIFS('QUOTED PROJECTS-Earlier Yr'!$L$2:$L$2598,'QUOTED PROJECTS-Earlier Yr'!$Q$2:$Q$2598,"WON",'QUOTED PROJECTS-Earlier Yr'!$K$2:$K$2598,"1800",'QUOTED PROJECTS-Earlier Yr'!$H$2:$H$2598,"PERKINS",'QUOTED PROJECTS-Earlier Yr'!$R$2:$R$2598,"SEPT")+SUMIFS('QUOTED PROJECTS-Current Year'!$L$2:$L$2525,'QUOTED PROJECTS-Current Year'!$Q$2:$Q$2525,"WON",'QUOTED PROJECTS-Current Year'!$K$2:$K$2525,"1800",'QUOTED PROJECTS-Current Year'!$H$2:$H$2525,"PERKINS",'QUOTED PROJECTS-Current Year'!$R$2:$R$2525,"SEPT")</f>
        <v>0</v>
      </c>
      <c r="N27" s="55"/>
      <c r="O27" s="141">
        <f>SUMIFS('QUOTED PROJECTS-Earlier Yr'!$L$2:$L$2598,'QUOTED PROJECTS-Earlier Yr'!$Q$2:$Q$2598,"WON",'QUOTED PROJECTS-Earlier Yr'!$K$2:$K$2598,"1800",'QUOTED PROJECTS-Earlier Yr'!$H$2:$H$2598,"PERKINS",'QUOTED PROJECTS-Earlier Yr'!$R$2:$R$2598,"OCT")+SUMIFS('QUOTED PROJECTS-Current Year'!$L$2:$L$2525,'QUOTED PROJECTS-Current Year'!$Q$2:$Q$2525,"WON",'QUOTED PROJECTS-Current Year'!$K$2:$K$2525,"1800",'QUOTED PROJECTS-Current Year'!$H$2:$H$2525,"PERKINS",'QUOTED PROJECTS-Current Year'!$R$2:$R$2525,"OCT")</f>
        <v>0</v>
      </c>
      <c r="P27" s="55"/>
      <c r="Q27" s="141">
        <f>SUMIFS('QUOTED PROJECTS-Earlier Yr'!$L$2:$L$2598,'QUOTED PROJECTS-Earlier Yr'!$Q$2:$Q$2598,"WON",'QUOTED PROJECTS-Earlier Yr'!$K$2:$K$2598,"1800",'QUOTED PROJECTS-Earlier Yr'!$H$2:$H$2598,"PERKINS",'QUOTED PROJECTS-Earlier Yr'!$R$2:$R$2598,"NOV")+SUMIFS('QUOTED PROJECTS-Current Year'!$L$2:$L$2525,'QUOTED PROJECTS-Current Year'!$Q$2:$Q$2525,"WON",'QUOTED PROJECTS-Current Year'!$K$2:$K$2525,"1800",'QUOTED PROJECTS-Current Year'!$H$2:$H$2525,"PERKINS",'QUOTED PROJECTS-Current Year'!$R$2:$R$2525,"NOV")</f>
        <v>0</v>
      </c>
      <c r="R27" s="55"/>
      <c r="S27" s="141">
        <f>SUMIFS('QUOTED PROJECTS-Earlier Yr'!$L$2:$L$2598,'QUOTED PROJECTS-Earlier Yr'!$Q$2:$Q$2598,"WON",'QUOTED PROJECTS-Earlier Yr'!$K$2:$K$2598,"1800",'QUOTED PROJECTS-Earlier Yr'!$H$2:$H$2598,"PERKINS",'QUOTED PROJECTS-Earlier Yr'!$R$2:$R$2598,"DEC")+SUMIFS('QUOTED PROJECTS-Current Year'!$L$2:$L$2525,'QUOTED PROJECTS-Current Year'!$Q$2:$Q$2525,"WON",'QUOTED PROJECTS-Current Year'!$K$2:$K$2525,"1800",'QUOTED PROJECTS-Current Year'!$H$2:$H$2525,"PERKINS",'QUOTED PROJECTS-Current Year'!$R$2:$R$2525,"DEC")</f>
        <v>0</v>
      </c>
      <c r="T27" s="55"/>
      <c r="U27" s="141">
        <f>SUMIFS('QUOTED PROJECTS-Earlier Yr'!$L$2:$L$2598,'QUOTED PROJECTS-Earlier Yr'!$Q$2:$Q$2598,"WON",'QUOTED PROJECTS-Earlier Yr'!$K$2:$K$2598,"1800",'QUOTED PROJECTS-Earlier Yr'!$H$2:$H$2598,"PERKINS",'QUOTED PROJECTS-Earlier Yr'!$R$2:$R$2598,"JAN")+SUMIFS('QUOTED PROJECTS-Current Year'!$L$2:$L$2525,'QUOTED PROJECTS-Current Year'!$Q$2:$Q$2525,"WON",'QUOTED PROJECTS-Current Year'!$K$2:$K$2525,"1800",'QUOTED PROJECTS-Current Year'!$H$2:$H$2525,"PERKINS",'QUOTED PROJECTS-Current Year'!$R$2:$R$2525,"JAN")</f>
        <v>0</v>
      </c>
      <c r="V27" s="55"/>
      <c r="W27" s="141">
        <f>SUMIFS('QUOTED PROJECTS-Earlier Yr'!$L$2:$L$2598,'QUOTED PROJECTS-Earlier Yr'!$Q$2:$Q$2598,"WON",'QUOTED PROJECTS-Earlier Yr'!$K$2:$K$2598,"1800",'QUOTED PROJECTS-Earlier Yr'!$H$2:$H$2598,"PERKINS",'QUOTED PROJECTS-Earlier Yr'!$R$2:$R$2598,"FEB")+SUMIFS('QUOTED PROJECTS-Current Year'!$L$2:$L$2525,'QUOTED PROJECTS-Current Year'!$Q$2:$Q$2525,"WON",'QUOTED PROJECTS-Current Year'!$K$2:$K$2525,"1800",'QUOTED PROJECTS-Current Year'!$H$2:$H$2525,"PERKINS",'QUOTED PROJECTS-Current Year'!$R$2:$R$2525,"FEB")</f>
        <v>0</v>
      </c>
      <c r="X27" s="55"/>
      <c r="Y27" s="141">
        <f>SUMIFS('QUOTED PROJECTS-Earlier Yr'!$L$2:$L$2598,'QUOTED PROJECTS-Earlier Yr'!$Q$2:$Q$2598,"WON",'QUOTED PROJECTS-Earlier Yr'!$K$2:$K$2598,"1800",'QUOTED PROJECTS-Earlier Yr'!$H$2:$H$2598,"PERKINS",'QUOTED PROJECTS-Earlier Yr'!$R$2:$R$2598,"MAR")+SUMIFS('QUOTED PROJECTS-Current Year'!$L$2:$L$2525,'QUOTED PROJECTS-Current Year'!$Q$2:$Q$2525,"WON",'QUOTED PROJECTS-Current Year'!$K$2:$K$2525,"1800",'QUOTED PROJECTS-Current Year'!$H$2:$H$2525,"PERKINS",'QUOTED PROJECTS-Current Year'!$R$2:$R$2525,"MAR")</f>
        <v>0</v>
      </c>
      <c r="Z27" s="57">
        <f t="shared" si="3"/>
        <v>0</v>
      </c>
      <c r="AA27" s="37">
        <f t="shared" si="4"/>
        <v>0</v>
      </c>
    </row>
    <row r="28" spans="1:27" ht="13.5" thickBot="1">
      <c r="A28" s="19">
        <v>2000</v>
      </c>
      <c r="B28" s="55">
        <v>4</v>
      </c>
      <c r="C28" s="141">
        <f>SUMIFS('QUOTED PROJECTS-Earlier Yr'!$L$2:$L$2598,'QUOTED PROJECTS-Earlier Yr'!$Q$2:$Q$2598,"WON",'QUOTED PROJECTS-Earlier Yr'!$K$2:$K$2598,"2000",'QUOTED PROJECTS-Earlier Yr'!$H$2:$H$2598,"PERKINS",'QUOTED PROJECTS-Earlier Yr'!$R$2:$R$2598,"APR")+SUMIFS('QUOTED PROJECTS-Current Year'!$L$2:$L$2525,'QUOTED PROJECTS-Current Year'!$Q$2:$Q$2525,"WON",'QUOTED PROJECTS-Current Year'!$K$2:$K$2525,"2000",'QUOTED PROJECTS-Current Year'!$H$2:$H$2525,"PERKINS",'QUOTED PROJECTS-Current Year'!$R$2:$R$2525,"APR")</f>
        <v>0</v>
      </c>
      <c r="D28" s="55"/>
      <c r="E28" s="141">
        <f>SUMIFS('QUOTED PROJECTS-Earlier Yr'!$L$2:$L$2598,'QUOTED PROJECTS-Earlier Yr'!$Q$2:$Q$2598,"WON",'QUOTED PROJECTS-Earlier Yr'!$K$2:$K$2598,"2000",'QUOTED PROJECTS-Earlier Yr'!$H$2:$H$2598,"PERKINS",'QUOTED PROJECTS-Earlier Yr'!$R$2:$R$2598,"MAY")+SUMIFS('QUOTED PROJECTS-Current Year'!$L$2:$L$2525,'QUOTED PROJECTS-Current Year'!$Q$2:$Q$2525,"WON",'QUOTED PROJECTS-Current Year'!$K$2:$K$2525,"2000",'QUOTED PROJECTS-Current Year'!$H$2:$H$2525,"PERKINS",'QUOTED PROJECTS-Current Year'!$R$2:$R$2525,"MAY")</f>
        <v>0</v>
      </c>
      <c r="F28" s="55"/>
      <c r="G28" s="141">
        <f>SUMIFS('QUOTED PROJECTS-Earlier Yr'!$L$2:$L$2598,'QUOTED PROJECTS-Earlier Yr'!$Q$2:$Q$2598,"WON",'QUOTED PROJECTS-Earlier Yr'!$K$2:$K$2598,"2000",'QUOTED PROJECTS-Earlier Yr'!$H$2:$H$2598,"PERKINS",'QUOTED PROJECTS-Earlier Yr'!$R$2:$R$2598,"JUN")+SUMIFS('QUOTED PROJECTS-Current Year'!$L$2:$L$2525,'QUOTED PROJECTS-Current Year'!$Q$2:$Q$2525,"WON",'QUOTED PROJECTS-Current Year'!$K$2:$K$2525,"2000",'QUOTED PROJECTS-Current Year'!$H$2:$H$2525,"PERKINS",'QUOTED PROJECTS-Current Year'!$R$2:$R$2525,"JUN")</f>
        <v>0</v>
      </c>
      <c r="H28" s="55">
        <v>4</v>
      </c>
      <c r="I28" s="141">
        <f>SUMIFS('QUOTED PROJECTS-Earlier Yr'!$L$2:$L$2598,'QUOTED PROJECTS-Earlier Yr'!$Q$2:$Q$2598,"WON",'QUOTED PROJECTS-Earlier Yr'!$K$2:$K$2598,"2000",'QUOTED PROJECTS-Earlier Yr'!$H$2:$H$2598,"PERKINS",'QUOTED PROJECTS-Earlier Yr'!$R$2:$R$2598,"JUL")+SUMIFS('QUOTED PROJECTS-Current Year'!$L$2:$L$2525,'QUOTED PROJECTS-Current Year'!$Q$2:$Q$2525,"WON",'QUOTED PROJECTS-Current Year'!$K$2:$K$2525,"2000",'QUOTED PROJECTS-Current Year'!$H$2:$H$2525,"PERKINS",'QUOTED PROJECTS-Current Year'!$R$2:$R$2525,"JUL")</f>
        <v>0</v>
      </c>
      <c r="J28" s="55"/>
      <c r="K28" s="141">
        <f>SUMIFS('QUOTED PROJECTS-Earlier Yr'!$L$2:$L$2598,'QUOTED PROJECTS-Earlier Yr'!$Q$2:$Q$2598,"WON",'QUOTED PROJECTS-Earlier Yr'!$K$2:$K$2598,"2000",'QUOTED PROJECTS-Earlier Yr'!$H$2:$H$2598,"PERKINS",'QUOTED PROJECTS-Earlier Yr'!$R$2:$R$2598,"AUG")+SUMIFS('QUOTED PROJECTS-Current Year'!$L$2:$L$2525,'QUOTED PROJECTS-Current Year'!$Q$2:$Q$2525,"WON",'QUOTED PROJECTS-Current Year'!$K$2:$K$2525,"2000",'QUOTED PROJECTS-Current Year'!$H$2:$H$2525,"PERKINS",'QUOTED PROJECTS-Current Year'!$R$2:$R$2525,"AUG")</f>
        <v>7</v>
      </c>
      <c r="L28" s="55"/>
      <c r="M28" s="141">
        <f>SUMIFS('QUOTED PROJECTS-Earlier Yr'!$L$2:$L$2598,'QUOTED PROJECTS-Earlier Yr'!$Q$2:$Q$2598,"WON",'QUOTED PROJECTS-Earlier Yr'!$K$2:$K$2598,"2000",'QUOTED PROJECTS-Earlier Yr'!$H$2:$H$2598,"PERKINS",'QUOTED PROJECTS-Earlier Yr'!$R$2:$R$2598,"SEPT")+SUMIFS('QUOTED PROJECTS-Current Year'!$L$2:$L$2525,'QUOTED PROJECTS-Current Year'!$Q$2:$Q$2525,"WON",'QUOTED PROJECTS-Current Year'!$K$2:$K$2525,"2000",'QUOTED PROJECTS-Current Year'!$H$2:$H$2525,"PERKINS",'QUOTED PROJECTS-Current Year'!$R$2:$R$2525,"SEPT")</f>
        <v>0</v>
      </c>
      <c r="N28" s="55"/>
      <c r="O28" s="141">
        <f>SUMIFS('QUOTED PROJECTS-Earlier Yr'!$L$2:$L$2598,'QUOTED PROJECTS-Earlier Yr'!$Q$2:$Q$2598,"WON",'QUOTED PROJECTS-Earlier Yr'!$K$2:$K$2598,"2000",'QUOTED PROJECTS-Earlier Yr'!$H$2:$H$2598,"PERKINS",'QUOTED PROJECTS-Earlier Yr'!$R$2:$R$2598,"OCT")+SUMIFS('QUOTED PROJECTS-Current Year'!$L$2:$L$2525,'QUOTED PROJECTS-Current Year'!$Q$2:$Q$2525,"WON",'QUOTED PROJECTS-Current Year'!$K$2:$K$2525,"2000",'QUOTED PROJECTS-Current Year'!$H$2:$H$2525,"PERKINS",'QUOTED PROJECTS-Current Year'!$R$2:$R$2525,"OCT")</f>
        <v>0</v>
      </c>
      <c r="P28" s="55"/>
      <c r="Q28" s="141">
        <f>SUMIFS('QUOTED PROJECTS-Earlier Yr'!$L$2:$L$2598,'QUOTED PROJECTS-Earlier Yr'!$Q$2:$Q$2598,"WON",'QUOTED PROJECTS-Earlier Yr'!$K$2:$K$2598,"2000",'QUOTED PROJECTS-Earlier Yr'!$H$2:$H$2598,"PERKINS",'QUOTED PROJECTS-Earlier Yr'!$R$2:$R$2598,"NOV")+SUMIFS('QUOTED PROJECTS-Current Year'!$L$2:$L$2525,'QUOTED PROJECTS-Current Year'!$Q$2:$Q$2525,"WON",'QUOTED PROJECTS-Current Year'!$K$2:$K$2525,"2000",'QUOTED PROJECTS-Current Year'!$H$2:$H$2525,"PERKINS",'QUOTED PROJECTS-Current Year'!$R$2:$R$2525,"NOV")</f>
        <v>0</v>
      </c>
      <c r="R28" s="55"/>
      <c r="S28" s="141">
        <f>SUMIFS('QUOTED PROJECTS-Earlier Yr'!$L$2:$L$2598,'QUOTED PROJECTS-Earlier Yr'!$Q$2:$Q$2598,"WON",'QUOTED PROJECTS-Earlier Yr'!$K$2:$K$2598,"2000",'QUOTED PROJECTS-Earlier Yr'!$H$2:$H$2598,"PERKINS",'QUOTED PROJECTS-Earlier Yr'!$R$2:$R$2598,"DEC")+SUMIFS('QUOTED PROJECTS-Current Year'!$L$2:$L$2525,'QUOTED PROJECTS-Current Year'!$Q$2:$Q$2525,"WON",'QUOTED PROJECTS-Current Year'!$K$2:$K$2525,"2000",'QUOTED PROJECTS-Current Year'!$H$2:$H$2525,"PERKINS",'QUOTED PROJECTS-Current Year'!$R$2:$R$2525,"DEC")</f>
        <v>0</v>
      </c>
      <c r="T28" s="55">
        <v>4</v>
      </c>
      <c r="U28" s="141">
        <f>SUMIFS('QUOTED PROJECTS-Earlier Yr'!$L$2:$L$2598,'QUOTED PROJECTS-Earlier Yr'!$Q$2:$Q$2598,"WON",'QUOTED PROJECTS-Earlier Yr'!$K$2:$K$2598,"2000",'QUOTED PROJECTS-Earlier Yr'!$H$2:$H$2598,"PERKINS",'QUOTED PROJECTS-Earlier Yr'!$R$2:$R$2598,"JAN")+SUMIFS('QUOTED PROJECTS-Current Year'!$L$2:$L$2525,'QUOTED PROJECTS-Current Year'!$Q$2:$Q$2525,"WON",'QUOTED PROJECTS-Current Year'!$K$2:$K$2525,"2000",'QUOTED PROJECTS-Current Year'!$H$2:$H$2525,"PERKINS",'QUOTED PROJECTS-Current Year'!$R$2:$R$2525,"JAN")</f>
        <v>0</v>
      </c>
      <c r="V28" s="55"/>
      <c r="W28" s="141">
        <f>SUMIFS('QUOTED PROJECTS-Earlier Yr'!$L$2:$L$2598,'QUOTED PROJECTS-Earlier Yr'!$Q$2:$Q$2598,"WON",'QUOTED PROJECTS-Earlier Yr'!$K$2:$K$2598,"2000",'QUOTED PROJECTS-Earlier Yr'!$H$2:$H$2598,"PERKINS",'QUOTED PROJECTS-Earlier Yr'!$R$2:$R$2598,"FEB")+SUMIFS('QUOTED PROJECTS-Current Year'!$L$2:$L$2525,'QUOTED PROJECTS-Current Year'!$Q$2:$Q$2525,"WON",'QUOTED PROJECTS-Current Year'!$K$2:$K$2525,"2000",'QUOTED PROJECTS-Current Year'!$H$2:$H$2525,"PERKINS",'QUOTED PROJECTS-Current Year'!$R$2:$R$2525,"FEB")</f>
        <v>0</v>
      </c>
      <c r="X28" s="55"/>
      <c r="Y28" s="141">
        <f>SUMIFS('QUOTED PROJECTS-Earlier Yr'!$L$2:$L$2598,'QUOTED PROJECTS-Earlier Yr'!$Q$2:$Q$2598,"WON",'QUOTED PROJECTS-Earlier Yr'!$K$2:$K$2598,"2000",'QUOTED PROJECTS-Earlier Yr'!$H$2:$H$2598,"PERKINS",'QUOTED PROJECTS-Earlier Yr'!$R$2:$R$2598,"MAR")+SUMIFS('QUOTED PROJECTS-Current Year'!$L$2:$L$2525,'QUOTED PROJECTS-Current Year'!$Q$2:$Q$2525,"WON",'QUOTED PROJECTS-Current Year'!$K$2:$K$2525,"2000",'QUOTED PROJECTS-Current Year'!$H$2:$H$2525,"PERKINS",'QUOTED PROJECTS-Current Year'!$R$2:$R$2525,"MAR")</f>
        <v>0</v>
      </c>
      <c r="Z28" s="57">
        <f t="shared" si="3"/>
        <v>12</v>
      </c>
      <c r="AA28" s="39">
        <f t="shared" si="4"/>
        <v>7</v>
      </c>
    </row>
    <row r="29" spans="1:27" ht="14.25" thickTop="1" thickBot="1">
      <c r="A29" s="19">
        <v>2250</v>
      </c>
      <c r="B29" s="55"/>
      <c r="C29" s="141">
        <f>SUMIFS('QUOTED PROJECTS-Earlier Yr'!$L$2:$L$2598,'QUOTED PROJECTS-Earlier Yr'!$Q$2:$Q$2598,"WON",'QUOTED PROJECTS-Earlier Yr'!$K$2:$K$2598,"2250",'QUOTED PROJECTS-Earlier Yr'!$H$2:$H$2598,"PERKINS",'QUOTED PROJECTS-Earlier Yr'!$R$2:$R$2598,"APR")+SUMIFS('QUOTED PROJECTS-Current Year'!$L$2:$L$2525,'QUOTED PROJECTS-Current Year'!$Q$2:$Q$2525,"WON",'QUOTED PROJECTS-Current Year'!$K$2:$K$2525,"2250",'QUOTED PROJECTS-Current Year'!$H$2:$H$2525,"PERKINS",'QUOTED PROJECTS-Current Year'!$R$2:$R$2525,"APR")</f>
        <v>0</v>
      </c>
      <c r="D29" s="55">
        <v>2</v>
      </c>
      <c r="E29" s="141">
        <f>SUMIFS('QUOTED PROJECTS-Earlier Yr'!$L$2:$L$2598,'QUOTED PROJECTS-Earlier Yr'!$Q$2:$Q$2598,"WON",'QUOTED PROJECTS-Earlier Yr'!$K$2:$K$2598,"2250",'QUOTED PROJECTS-Earlier Yr'!$H$2:$H$2598,"PERKINS",'QUOTED PROJECTS-Earlier Yr'!$R$2:$R$2598,"MAY")+SUMIFS('QUOTED PROJECTS-Current Year'!$L$2:$L$2525,'QUOTED PROJECTS-Current Year'!$Q$2:$Q$2525,"WON",'QUOTED PROJECTS-Current Year'!$K$2:$K$2525,"2250",'QUOTED PROJECTS-Current Year'!$H$2:$H$2525,"PERKINS",'QUOTED PROJECTS-Current Year'!$R$2:$R$2525,"MAY")</f>
        <v>0</v>
      </c>
      <c r="F29" s="55"/>
      <c r="G29" s="141">
        <f>SUMIFS('QUOTED PROJECTS-Earlier Yr'!$L$2:$L$2598,'QUOTED PROJECTS-Earlier Yr'!$Q$2:$Q$2598,"WON",'QUOTED PROJECTS-Earlier Yr'!$K$2:$K$2598,"2250",'QUOTED PROJECTS-Earlier Yr'!$H$2:$H$2598,"PERKINS",'QUOTED PROJECTS-Earlier Yr'!$R$2:$R$2598,"JUN")+SUMIFS('QUOTED PROJECTS-Current Year'!$L$2:$L$2525,'QUOTED PROJECTS-Current Year'!$Q$2:$Q$2525,"WON",'QUOTED PROJECTS-Current Year'!$K$2:$K$2525,"2250",'QUOTED PROJECTS-Current Year'!$H$2:$H$2525,"PERKINS",'QUOTED PROJECTS-Current Year'!$R$2:$R$2525,"JUN")</f>
        <v>0</v>
      </c>
      <c r="H29" s="55">
        <v>13</v>
      </c>
      <c r="I29" s="141">
        <f>SUMIFS('QUOTED PROJECTS-Earlier Yr'!$L$2:$L$2598,'QUOTED PROJECTS-Earlier Yr'!$Q$2:$Q$2598,"WON",'QUOTED PROJECTS-Earlier Yr'!$K$2:$K$2598,"2250",'QUOTED PROJECTS-Earlier Yr'!$H$2:$H$2598,"PERKINS",'QUOTED PROJECTS-Earlier Yr'!$R$2:$R$2598,"JUL")+SUMIFS('QUOTED PROJECTS-Current Year'!$L$2:$L$2525,'QUOTED PROJECTS-Current Year'!$Q$2:$Q$2525,"WON",'QUOTED PROJECTS-Current Year'!$K$2:$K$2525,"2250",'QUOTED PROJECTS-Current Year'!$H$2:$H$2525,"PERKINS",'QUOTED PROJECTS-Current Year'!$R$2:$R$2525,"JUL")</f>
        <v>0</v>
      </c>
      <c r="J29" s="55"/>
      <c r="K29" s="141">
        <f>SUMIFS('QUOTED PROJECTS-Earlier Yr'!$L$2:$L$2598,'QUOTED PROJECTS-Earlier Yr'!$Q$2:$Q$2598,"WON",'QUOTED PROJECTS-Earlier Yr'!$K$2:$K$2598,"2250",'QUOTED PROJECTS-Earlier Yr'!$H$2:$H$2598,"PERKINS",'QUOTED PROJECTS-Earlier Yr'!$R$2:$R$2598,"AUG")+SUMIFS('QUOTED PROJECTS-Current Year'!$L$2:$L$2525,'QUOTED PROJECTS-Current Year'!$Q$2:$Q$2525,"WON",'QUOTED PROJECTS-Current Year'!$K$2:$K$2525,"2250",'QUOTED PROJECTS-Current Year'!$H$2:$H$2525,"PERKINS",'QUOTED PROJECTS-Current Year'!$R$2:$R$2525,"AUG")</f>
        <v>0</v>
      </c>
      <c r="L29" s="55"/>
      <c r="M29" s="141">
        <f>SUMIFS('QUOTED PROJECTS-Earlier Yr'!$L$2:$L$2598,'QUOTED PROJECTS-Earlier Yr'!$Q$2:$Q$2598,"WON",'QUOTED PROJECTS-Earlier Yr'!$K$2:$K$2598,"2250",'QUOTED PROJECTS-Earlier Yr'!$H$2:$H$2598,"PERKINS",'QUOTED PROJECTS-Earlier Yr'!$R$2:$R$2598,"SEPT")+SUMIFS('QUOTED PROJECTS-Current Year'!$L$2:$L$2525,'QUOTED PROJECTS-Current Year'!$Q$2:$Q$2525,"WON",'QUOTED PROJECTS-Current Year'!$K$2:$K$2525,"2250",'QUOTED PROJECTS-Current Year'!$H$2:$H$2525,"PERKINS",'QUOTED PROJECTS-Current Year'!$R$2:$R$2525,"SEPT")</f>
        <v>0</v>
      </c>
      <c r="N29" s="55"/>
      <c r="O29" s="141">
        <f>SUMIFS('QUOTED PROJECTS-Earlier Yr'!$L$2:$L$2598,'QUOTED PROJECTS-Earlier Yr'!$Q$2:$Q$2598,"WON",'QUOTED PROJECTS-Earlier Yr'!$K$2:$K$2598,"2250",'QUOTED PROJECTS-Earlier Yr'!$H$2:$H$2598,"PERKINS",'QUOTED PROJECTS-Earlier Yr'!$R$2:$R$2598,"OCT")+SUMIFS('QUOTED PROJECTS-Current Year'!$L$2:$L$2525,'QUOTED PROJECTS-Current Year'!$Q$2:$Q$2525,"WON",'QUOTED PROJECTS-Current Year'!$K$2:$K$2525,"2250",'QUOTED PROJECTS-Current Year'!$H$2:$H$2525,"PERKINS",'QUOTED PROJECTS-Current Year'!$R$2:$R$2525,"OCT")</f>
        <v>0</v>
      </c>
      <c r="P29" s="55"/>
      <c r="Q29" s="141">
        <f>SUMIFS('QUOTED PROJECTS-Earlier Yr'!$L$2:$L$2598,'QUOTED PROJECTS-Earlier Yr'!$Q$2:$Q$2598,"WON",'QUOTED PROJECTS-Earlier Yr'!$K$2:$K$2598,"2250",'QUOTED PROJECTS-Earlier Yr'!$H$2:$H$2598,"PERKINS",'QUOTED PROJECTS-Earlier Yr'!$R$2:$R$2598,"NOV")+SUMIFS('QUOTED PROJECTS-Current Year'!$L$2:$L$2525,'QUOTED PROJECTS-Current Year'!$Q$2:$Q$2525,"WON",'QUOTED PROJECTS-Current Year'!$K$2:$K$2525,"2250",'QUOTED PROJECTS-Current Year'!$H$2:$H$2525,"PERKINS",'QUOTED PROJECTS-Current Year'!$R$2:$R$2525,"NOV")</f>
        <v>0</v>
      </c>
      <c r="R29" s="55"/>
      <c r="S29" s="141">
        <f>SUMIFS('QUOTED PROJECTS-Earlier Yr'!$L$2:$L$2598,'QUOTED PROJECTS-Earlier Yr'!$Q$2:$Q$2598,"WON",'QUOTED PROJECTS-Earlier Yr'!$K$2:$K$2598,"2250",'QUOTED PROJECTS-Earlier Yr'!$H$2:$H$2598,"PERKINS",'QUOTED PROJECTS-Earlier Yr'!$R$2:$R$2598,"DEC")+SUMIFS('QUOTED PROJECTS-Current Year'!$L$2:$L$2525,'QUOTED PROJECTS-Current Year'!$Q$2:$Q$2525,"WON",'QUOTED PROJECTS-Current Year'!$K$2:$K$2525,"2250",'QUOTED PROJECTS-Current Year'!$H$2:$H$2525,"PERKINS",'QUOTED PROJECTS-Current Year'!$R$2:$R$2525,"DEC")</f>
        <v>0</v>
      </c>
      <c r="T29" s="55"/>
      <c r="U29" s="141">
        <f>SUMIFS('QUOTED PROJECTS-Earlier Yr'!$L$2:$L$2598,'QUOTED PROJECTS-Earlier Yr'!$Q$2:$Q$2598,"WON",'QUOTED PROJECTS-Earlier Yr'!$K$2:$K$2598,"2250",'QUOTED PROJECTS-Earlier Yr'!$H$2:$H$2598,"PERKINS",'QUOTED PROJECTS-Earlier Yr'!$R$2:$R$2598,"JAN")+SUMIFS('QUOTED PROJECTS-Current Year'!$L$2:$L$2525,'QUOTED PROJECTS-Current Year'!$Q$2:$Q$2525,"WON",'QUOTED PROJECTS-Current Year'!$K$2:$K$2525,"2250",'QUOTED PROJECTS-Current Year'!$H$2:$H$2525,"PERKINS",'QUOTED PROJECTS-Current Year'!$R$2:$R$2525,"JAN")</f>
        <v>0</v>
      </c>
      <c r="V29" s="55"/>
      <c r="W29" s="141">
        <f>SUMIFS('QUOTED PROJECTS-Earlier Yr'!$L$2:$L$2598,'QUOTED PROJECTS-Earlier Yr'!$Q$2:$Q$2598,"WON",'QUOTED PROJECTS-Earlier Yr'!$K$2:$K$2598,"2250",'QUOTED PROJECTS-Earlier Yr'!$H$2:$H$2598,"PERKINS",'QUOTED PROJECTS-Earlier Yr'!$R$2:$R$2598,"FEB")+SUMIFS('QUOTED PROJECTS-Current Year'!$L$2:$L$2525,'QUOTED PROJECTS-Current Year'!$Q$2:$Q$2525,"WON",'QUOTED PROJECTS-Current Year'!$K$2:$K$2525,"2250",'QUOTED PROJECTS-Current Year'!$H$2:$H$2525,"PERKINS",'QUOTED PROJECTS-Current Year'!$R$2:$R$2525,"FEB")</f>
        <v>0</v>
      </c>
      <c r="X29" s="55"/>
      <c r="Y29" s="141">
        <f>SUMIFS('QUOTED PROJECTS-Earlier Yr'!$L$2:$L$2598,'QUOTED PROJECTS-Earlier Yr'!$Q$2:$Q$2598,"WON",'QUOTED PROJECTS-Earlier Yr'!$K$2:$K$2598,"2250",'QUOTED PROJECTS-Earlier Yr'!$H$2:$H$2598,"PERKINS",'QUOTED PROJECTS-Earlier Yr'!$R$2:$R$2598,"MAR")+SUMIFS('QUOTED PROJECTS-Current Year'!$L$2:$L$2525,'QUOTED PROJECTS-Current Year'!$Q$2:$Q$2525,"WON",'QUOTED PROJECTS-Current Year'!$K$2:$K$2525,"2250",'QUOTED PROJECTS-Current Year'!$H$2:$H$2525,"PERKINS",'QUOTED PROJECTS-Current Year'!$R$2:$R$2525,"MAR")</f>
        <v>0</v>
      </c>
      <c r="Z29" s="57">
        <f t="shared" si="3"/>
        <v>15</v>
      </c>
      <c r="AA29" s="39">
        <f>C29+E29+G29+I29+K29+M29+O29+Q29+S29+U29+W29+Y29</f>
        <v>0</v>
      </c>
    </row>
    <row r="30" spans="1:27" s="1" customFormat="1" ht="14.25" thickTop="1" thickBot="1">
      <c r="A30" s="1" t="s">
        <v>65</v>
      </c>
      <c r="B30" s="52">
        <f t="shared" ref="B30:Y30" si="5">SUM(B23:B29)</f>
        <v>4</v>
      </c>
      <c r="C30" s="40">
        <f t="shared" si="5"/>
        <v>0</v>
      </c>
      <c r="D30" s="52">
        <f t="shared" si="5"/>
        <v>2</v>
      </c>
      <c r="E30" s="40">
        <f t="shared" si="5"/>
        <v>0</v>
      </c>
      <c r="F30" s="52">
        <f t="shared" si="5"/>
        <v>3</v>
      </c>
      <c r="G30" s="40">
        <f t="shared" si="5"/>
        <v>4</v>
      </c>
      <c r="H30" s="52">
        <f>SUM(H23:H29)</f>
        <v>17</v>
      </c>
      <c r="I30" s="40">
        <f t="shared" si="5"/>
        <v>2</v>
      </c>
      <c r="J30" s="52">
        <f t="shared" si="5"/>
        <v>1</v>
      </c>
      <c r="K30" s="40">
        <f t="shared" si="5"/>
        <v>7</v>
      </c>
      <c r="L30" s="52">
        <f t="shared" si="5"/>
        <v>1</v>
      </c>
      <c r="M30" s="40">
        <f t="shared" si="5"/>
        <v>0</v>
      </c>
      <c r="N30" s="52">
        <f t="shared" si="5"/>
        <v>4</v>
      </c>
      <c r="O30" s="40">
        <f t="shared" si="5"/>
        <v>0</v>
      </c>
      <c r="P30" s="52">
        <f t="shared" si="5"/>
        <v>3</v>
      </c>
      <c r="Q30" s="40">
        <f t="shared" si="5"/>
        <v>0</v>
      </c>
      <c r="R30" s="52">
        <f t="shared" si="5"/>
        <v>2</v>
      </c>
      <c r="S30" s="40">
        <f t="shared" si="5"/>
        <v>0</v>
      </c>
      <c r="T30" s="52">
        <f t="shared" si="5"/>
        <v>4</v>
      </c>
      <c r="U30" s="40">
        <f t="shared" si="5"/>
        <v>0</v>
      </c>
      <c r="V30" s="52">
        <f t="shared" si="5"/>
        <v>2</v>
      </c>
      <c r="W30" s="40">
        <f t="shared" si="5"/>
        <v>0</v>
      </c>
      <c r="X30" s="52">
        <f t="shared" si="5"/>
        <v>3</v>
      </c>
      <c r="Y30" s="40">
        <f t="shared" si="5"/>
        <v>0</v>
      </c>
      <c r="Z30" s="59">
        <f t="shared" si="4"/>
        <v>46</v>
      </c>
      <c r="AA30" s="42">
        <f t="shared" si="4"/>
        <v>13</v>
      </c>
    </row>
    <row r="31" spans="1:27" ht="14.25" thickTop="1" thickBot="1">
      <c r="B31" s="219"/>
      <c r="C31" s="220"/>
      <c r="D31" s="221"/>
      <c r="E31" s="220"/>
      <c r="F31" s="221"/>
      <c r="G31" s="220"/>
      <c r="H31" s="221"/>
      <c r="I31" s="222"/>
      <c r="J31" s="223"/>
      <c r="K31" s="220"/>
      <c r="L31" s="221"/>
      <c r="M31" s="220"/>
      <c r="N31" s="221"/>
      <c r="O31" s="222"/>
      <c r="P31" s="223"/>
      <c r="Q31" s="220"/>
      <c r="R31" s="221"/>
      <c r="S31" s="220"/>
      <c r="T31" s="221"/>
      <c r="U31" s="222"/>
      <c r="V31" s="223"/>
      <c r="W31" s="220"/>
      <c r="X31" s="221"/>
      <c r="Y31" s="220"/>
      <c r="Z31" s="204"/>
      <c r="AA31" s="224"/>
    </row>
    <row r="32" spans="1:27" s="1" customFormat="1" ht="14.25" thickTop="1" thickBot="1">
      <c r="A32" s="1" t="s">
        <v>2</v>
      </c>
      <c r="B32" s="53">
        <f>B30+B21</f>
        <v>4</v>
      </c>
      <c r="C32" s="43">
        <f t="shared" ref="C32:AA32" si="6">C30+C21</f>
        <v>0</v>
      </c>
      <c r="D32" s="53">
        <f t="shared" si="6"/>
        <v>2</v>
      </c>
      <c r="E32" s="43">
        <f t="shared" si="6"/>
        <v>0</v>
      </c>
      <c r="F32" s="53">
        <f t="shared" si="6"/>
        <v>3</v>
      </c>
      <c r="G32" s="43">
        <f t="shared" si="6"/>
        <v>4</v>
      </c>
      <c r="H32" s="53">
        <f t="shared" si="6"/>
        <v>17</v>
      </c>
      <c r="I32" s="43">
        <f t="shared" si="6"/>
        <v>2</v>
      </c>
      <c r="J32" s="53">
        <f t="shared" si="6"/>
        <v>1</v>
      </c>
      <c r="K32" s="43">
        <f t="shared" si="6"/>
        <v>7</v>
      </c>
      <c r="L32" s="53">
        <f t="shared" si="6"/>
        <v>1</v>
      </c>
      <c r="M32" s="43">
        <f t="shared" si="6"/>
        <v>0</v>
      </c>
      <c r="N32" s="53">
        <f t="shared" si="6"/>
        <v>4</v>
      </c>
      <c r="O32" s="43">
        <f t="shared" si="6"/>
        <v>0</v>
      </c>
      <c r="P32" s="53">
        <f t="shared" si="6"/>
        <v>3</v>
      </c>
      <c r="Q32" s="43">
        <f t="shared" si="6"/>
        <v>0</v>
      </c>
      <c r="R32" s="53">
        <f t="shared" si="6"/>
        <v>2</v>
      </c>
      <c r="S32" s="43">
        <f t="shared" si="6"/>
        <v>0</v>
      </c>
      <c r="T32" s="53">
        <f t="shared" si="6"/>
        <v>4</v>
      </c>
      <c r="U32" s="43">
        <f t="shared" si="6"/>
        <v>0</v>
      </c>
      <c r="V32" s="53">
        <f t="shared" si="6"/>
        <v>2</v>
      </c>
      <c r="W32" s="43">
        <f t="shared" si="6"/>
        <v>0</v>
      </c>
      <c r="X32" s="53">
        <f t="shared" si="6"/>
        <v>3</v>
      </c>
      <c r="Y32" s="43">
        <f t="shared" si="6"/>
        <v>0</v>
      </c>
      <c r="Z32" s="53">
        <f t="shared" si="6"/>
        <v>46</v>
      </c>
      <c r="AA32" s="43">
        <f t="shared" si="6"/>
        <v>13</v>
      </c>
    </row>
    <row r="33" spans="1:2" ht="13.5" thickTop="1"/>
    <row r="35" spans="1:2">
      <c r="A35" s="3" t="s">
        <v>67</v>
      </c>
      <c r="B35" s="54">
        <f>B32+D32+F32+H32+J32+L32+N32+P32+R32+T32+V32+X32</f>
        <v>46</v>
      </c>
    </row>
    <row r="36" spans="1:2">
      <c r="A36" s="3" t="s">
        <v>68</v>
      </c>
      <c r="B36" s="54">
        <f>C32+E32+G32+I32+K32+M32+O32+Q32+S32+U32+W32+Y32</f>
        <v>13</v>
      </c>
    </row>
  </sheetData>
  <protectedRanges>
    <protectedRange sqref="B22:B23 B27:B29" name="Range2"/>
    <protectedRange sqref="B10:B20" name="Range1"/>
    <protectedRange sqref="B24:B26" name="Range2_1"/>
  </protectedRanges>
  <mergeCells count="23">
    <mergeCell ref="T3:Y3"/>
    <mergeCell ref="B3:G3"/>
    <mergeCell ref="H3:M3"/>
    <mergeCell ref="N3:S3"/>
    <mergeCell ref="V4:W4"/>
    <mergeCell ref="B4:C4"/>
    <mergeCell ref="D4:E4"/>
    <mergeCell ref="A1:AA1"/>
    <mergeCell ref="B8:AA8"/>
    <mergeCell ref="L4:M4"/>
    <mergeCell ref="N4:O4"/>
    <mergeCell ref="P4:Q4"/>
    <mergeCell ref="R4:S4"/>
    <mergeCell ref="T4:U4"/>
    <mergeCell ref="Z3:AA3"/>
    <mergeCell ref="H7:M7"/>
    <mergeCell ref="N7:S7"/>
    <mergeCell ref="T7:Y7"/>
    <mergeCell ref="F4:G4"/>
    <mergeCell ref="H4:I4"/>
    <mergeCell ref="J4:K4"/>
    <mergeCell ref="X4:Y4"/>
    <mergeCell ref="B7:G7"/>
  </mergeCells>
  <phoneticPr fontId="8" type="noConversion"/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27"/>
  <dimension ref="A1:AD38"/>
  <sheetViews>
    <sheetView zoomScale="85" zoomScaleNormal="85" workbookViewId="0">
      <pane xSplit="1" ySplit="8" topLeftCell="B14" activePane="bottomRight" state="frozen"/>
      <selection activeCell="K25" sqref="K25"/>
      <selection pane="topRight" activeCell="K25" sqref="K25"/>
      <selection pane="bottomLeft" activeCell="K25" sqref="K25"/>
      <selection pane="bottomRight" activeCell="L24" sqref="L24"/>
    </sheetView>
  </sheetViews>
  <sheetFormatPr defaultRowHeight="12.75"/>
  <cols>
    <col min="1" max="1" width="9.140625" style="142" collapsed="1"/>
    <col min="2" max="2" width="9.140625" style="111" collapsed="1"/>
    <col min="3" max="3" width="9.140625" style="142" collapsed="1"/>
    <col min="4" max="4" width="10.28515625" style="111" bestFit="1" customWidth="1" collapsed="1"/>
    <col min="5" max="5" width="9.140625" style="142" collapsed="1"/>
    <col min="6" max="6" width="9.140625" style="111" collapsed="1"/>
    <col min="7" max="7" width="9.140625" style="142" collapsed="1"/>
    <col min="8" max="8" width="9.140625" style="111" collapsed="1"/>
    <col min="9" max="9" width="9.140625" style="142" collapsed="1"/>
    <col min="10" max="10" width="9.140625" style="111" collapsed="1"/>
    <col min="11" max="11" width="9.140625" style="142" collapsed="1"/>
    <col min="12" max="12" width="9.140625" style="111" collapsed="1"/>
    <col min="13" max="13" width="9.140625" style="142" collapsed="1"/>
    <col min="14" max="14" width="9.140625" style="111" collapsed="1"/>
    <col min="15" max="15" width="9.140625" style="142" collapsed="1"/>
    <col min="16" max="16" width="9.140625" style="111" collapsed="1"/>
    <col min="17" max="17" width="9.140625" style="142" collapsed="1"/>
    <col min="18" max="18" width="9.140625" style="111" collapsed="1"/>
    <col min="19" max="19" width="9.140625" style="142" collapsed="1"/>
    <col min="20" max="20" width="10" style="111" bestFit="1" customWidth="1" collapsed="1"/>
    <col min="21" max="21" width="9.140625" style="142" collapsed="1"/>
    <col min="22" max="22" width="9.140625" style="111" collapsed="1"/>
    <col min="23" max="23" width="9.140625" style="142" collapsed="1"/>
    <col min="24" max="24" width="9.140625" style="111" collapsed="1"/>
    <col min="25" max="25" width="9.140625" style="142" collapsed="1"/>
    <col min="26" max="26" width="9.140625" style="111" collapsed="1"/>
    <col min="27" max="16384" width="9.140625" style="142" collapsed="1"/>
  </cols>
  <sheetData>
    <row r="1" spans="1:30" ht="13.5" thickBot="1">
      <c r="A1" s="361" t="s">
        <v>156</v>
      </c>
      <c r="B1" s="362"/>
      <c r="C1" s="361"/>
      <c r="D1" s="362"/>
      <c r="E1" s="361"/>
      <c r="F1" s="362"/>
      <c r="G1" s="361"/>
      <c r="H1" s="362"/>
      <c r="I1" s="361"/>
      <c r="J1" s="362"/>
      <c r="K1" s="361"/>
      <c r="L1" s="362"/>
      <c r="M1" s="361"/>
      <c r="N1" s="362"/>
      <c r="O1" s="361"/>
      <c r="P1" s="362"/>
      <c r="Q1" s="361"/>
      <c r="R1" s="362"/>
      <c r="S1" s="361"/>
      <c r="T1" s="362"/>
      <c r="U1" s="361"/>
      <c r="V1" s="362"/>
      <c r="W1" s="361"/>
      <c r="X1" s="362"/>
      <c r="Y1" s="361"/>
      <c r="Z1" s="362"/>
      <c r="AA1" s="361"/>
    </row>
    <row r="2" spans="1:30" ht="13.5" thickBot="1">
      <c r="A2" s="20" t="s">
        <v>50</v>
      </c>
      <c r="B2" s="207"/>
      <c r="D2" s="207"/>
      <c r="F2" s="208"/>
      <c r="H2" s="207"/>
      <c r="J2" s="207"/>
      <c r="L2" s="208"/>
      <c r="N2" s="207"/>
      <c r="P2" s="207"/>
      <c r="R2" s="208"/>
      <c r="T2" s="207"/>
      <c r="V2" s="207"/>
      <c r="X2" s="208"/>
      <c r="Z2" s="209"/>
    </row>
    <row r="3" spans="1:30" ht="13.5" thickBot="1">
      <c r="B3" s="363" t="s">
        <v>51</v>
      </c>
      <c r="C3" s="364"/>
      <c r="D3" s="365"/>
      <c r="E3" s="364"/>
      <c r="F3" s="365"/>
      <c r="G3" s="366"/>
      <c r="H3" s="367" t="s">
        <v>52</v>
      </c>
      <c r="I3" s="368"/>
      <c r="J3" s="369"/>
      <c r="K3" s="368"/>
      <c r="L3" s="369"/>
      <c r="M3" s="370"/>
      <c r="N3" s="367" t="s">
        <v>53</v>
      </c>
      <c r="O3" s="368"/>
      <c r="P3" s="369"/>
      <c r="Q3" s="368"/>
      <c r="R3" s="369"/>
      <c r="S3" s="370"/>
      <c r="T3" s="363" t="s">
        <v>54</v>
      </c>
      <c r="U3" s="364"/>
      <c r="V3" s="365"/>
      <c r="W3" s="364"/>
      <c r="X3" s="365"/>
      <c r="Y3" s="366"/>
      <c r="Z3" s="367" t="s">
        <v>55</v>
      </c>
      <c r="AA3" s="370"/>
      <c r="AB3" s="210"/>
      <c r="AC3" s="210"/>
      <c r="AD3" s="211"/>
    </row>
    <row r="4" spans="1:30">
      <c r="B4" s="355" t="s">
        <v>7</v>
      </c>
      <c r="C4" s="356"/>
      <c r="D4" s="351" t="s">
        <v>8</v>
      </c>
      <c r="E4" s="350"/>
      <c r="F4" s="349" t="s">
        <v>11</v>
      </c>
      <c r="G4" s="350"/>
      <c r="H4" s="353" t="s">
        <v>56</v>
      </c>
      <c r="I4" s="354"/>
      <c r="J4" s="353" t="s">
        <v>12</v>
      </c>
      <c r="K4" s="354"/>
      <c r="L4" s="349" t="s">
        <v>14</v>
      </c>
      <c r="M4" s="350"/>
      <c r="N4" s="351" t="s">
        <v>13</v>
      </c>
      <c r="O4" s="352"/>
      <c r="P4" s="353" t="s">
        <v>57</v>
      </c>
      <c r="Q4" s="354"/>
      <c r="R4" s="349" t="s">
        <v>15</v>
      </c>
      <c r="S4" s="350"/>
      <c r="T4" s="351" t="s">
        <v>58</v>
      </c>
      <c r="U4" s="352"/>
      <c r="V4" s="353" t="s">
        <v>59</v>
      </c>
      <c r="W4" s="354"/>
      <c r="X4" s="349" t="s">
        <v>60</v>
      </c>
      <c r="Y4" s="350"/>
      <c r="Z4" s="143"/>
      <c r="AA4" s="144"/>
    </row>
    <row r="5" spans="1:30" ht="13.5" thickBot="1">
      <c r="B5" s="104" t="s">
        <v>61</v>
      </c>
      <c r="C5" s="145" t="s">
        <v>62</v>
      </c>
      <c r="D5" s="105" t="s">
        <v>61</v>
      </c>
      <c r="E5" s="145" t="s">
        <v>62</v>
      </c>
      <c r="F5" s="105" t="s">
        <v>61</v>
      </c>
      <c r="G5" s="145" t="s">
        <v>62</v>
      </c>
      <c r="H5" s="104" t="s">
        <v>61</v>
      </c>
      <c r="I5" s="145" t="s">
        <v>62</v>
      </c>
      <c r="J5" s="105" t="s">
        <v>61</v>
      </c>
      <c r="K5" s="145" t="s">
        <v>62</v>
      </c>
      <c r="L5" s="105" t="s">
        <v>61</v>
      </c>
      <c r="M5" s="145" t="s">
        <v>62</v>
      </c>
      <c r="N5" s="104" t="s">
        <v>61</v>
      </c>
      <c r="O5" s="146" t="s">
        <v>62</v>
      </c>
      <c r="P5" s="105" t="s">
        <v>61</v>
      </c>
      <c r="Q5" s="145" t="s">
        <v>62</v>
      </c>
      <c r="R5" s="105" t="s">
        <v>61</v>
      </c>
      <c r="S5" s="145" t="s">
        <v>62</v>
      </c>
      <c r="T5" s="104" t="s">
        <v>61</v>
      </c>
      <c r="U5" s="146" t="s">
        <v>62</v>
      </c>
      <c r="V5" s="105" t="s">
        <v>61</v>
      </c>
      <c r="W5" s="145" t="s">
        <v>62</v>
      </c>
      <c r="X5" s="105" t="s">
        <v>61</v>
      </c>
      <c r="Y5" s="145" t="s">
        <v>62</v>
      </c>
      <c r="Z5" s="143" t="s">
        <v>61</v>
      </c>
      <c r="AA5" s="147" t="s">
        <v>62</v>
      </c>
    </row>
    <row r="6" spans="1:30" ht="13.5" thickBot="1">
      <c r="B6" s="102"/>
      <c r="C6" s="148"/>
      <c r="D6" s="103"/>
      <c r="E6" s="148"/>
      <c r="F6" s="103"/>
      <c r="G6" s="148"/>
      <c r="H6" s="103"/>
      <c r="I6" s="148"/>
      <c r="J6" s="103"/>
      <c r="K6" s="148"/>
      <c r="L6" s="103"/>
      <c r="M6" s="148"/>
      <c r="N6" s="103"/>
      <c r="O6" s="149"/>
      <c r="P6" s="103"/>
      <c r="Q6" s="148"/>
      <c r="R6" s="103"/>
      <c r="S6" s="148"/>
      <c r="T6" s="103"/>
      <c r="U6" s="149"/>
      <c r="V6" s="103"/>
      <c r="W6" s="148"/>
      <c r="X6" s="103"/>
      <c r="Y6" s="148"/>
      <c r="Z6" s="65"/>
      <c r="AA6" s="150"/>
    </row>
    <row r="7" spans="1:30" s="20" customFormat="1" ht="13.5" thickBot="1">
      <c r="A7" s="20" t="s">
        <v>63</v>
      </c>
      <c r="B7" s="357">
        <f>C32+E32+G32</f>
        <v>370.81849999999997</v>
      </c>
      <c r="C7" s="358"/>
      <c r="D7" s="359"/>
      <c r="E7" s="358"/>
      <c r="F7" s="359"/>
      <c r="G7" s="360"/>
      <c r="H7" s="357">
        <f>I32+K32+M32</f>
        <v>1148.9112260189574</v>
      </c>
      <c r="I7" s="358"/>
      <c r="J7" s="359"/>
      <c r="K7" s="358"/>
      <c r="L7" s="359"/>
      <c r="M7" s="360"/>
      <c r="N7" s="357">
        <f>O32+Q32+S32</f>
        <v>0</v>
      </c>
      <c r="O7" s="358"/>
      <c r="P7" s="359"/>
      <c r="Q7" s="358"/>
      <c r="R7" s="359"/>
      <c r="S7" s="360"/>
      <c r="T7" s="357">
        <f>U32+W32+Y32</f>
        <v>0</v>
      </c>
      <c r="U7" s="358"/>
      <c r="V7" s="359"/>
      <c r="W7" s="358"/>
      <c r="X7" s="359"/>
      <c r="Y7" s="360"/>
      <c r="Z7" s="103"/>
      <c r="AA7" s="21"/>
    </row>
    <row r="8" spans="1:30" s="20" customFormat="1" ht="13.5" thickBot="1">
      <c r="B8" s="345">
        <f>B7+H7+N7+T7</f>
        <v>1519.7297260189575</v>
      </c>
      <c r="C8" s="346"/>
      <c r="D8" s="347"/>
      <c r="E8" s="346"/>
      <c r="F8" s="347"/>
      <c r="G8" s="346"/>
      <c r="H8" s="347"/>
      <c r="I8" s="346"/>
      <c r="J8" s="347"/>
      <c r="K8" s="346"/>
      <c r="L8" s="347"/>
      <c r="M8" s="346"/>
      <c r="N8" s="347"/>
      <c r="O8" s="346"/>
      <c r="P8" s="347"/>
      <c r="Q8" s="346"/>
      <c r="R8" s="347"/>
      <c r="S8" s="346"/>
      <c r="T8" s="347"/>
      <c r="U8" s="346"/>
      <c r="V8" s="347"/>
      <c r="W8" s="346"/>
      <c r="X8" s="347"/>
      <c r="Y8" s="346"/>
      <c r="Z8" s="347"/>
      <c r="AA8" s="348"/>
    </row>
    <row r="9" spans="1:30">
      <c r="A9" s="20" t="s">
        <v>6</v>
      </c>
      <c r="B9" s="212"/>
      <c r="C9" s="213"/>
      <c r="D9" s="214"/>
      <c r="E9" s="215"/>
      <c r="F9" s="214"/>
      <c r="G9" s="215"/>
      <c r="H9" s="212"/>
      <c r="I9" s="216"/>
      <c r="J9" s="212"/>
      <c r="K9" s="215"/>
      <c r="L9" s="214"/>
      <c r="M9" s="215"/>
      <c r="N9" s="212"/>
      <c r="O9" s="216"/>
      <c r="P9" s="212"/>
      <c r="Q9" s="215"/>
      <c r="R9" s="214"/>
      <c r="S9" s="215"/>
      <c r="T9" s="212"/>
      <c r="U9" s="216"/>
      <c r="V9" s="212"/>
      <c r="W9" s="215"/>
      <c r="X9" s="214"/>
      <c r="Y9" s="215"/>
      <c r="Z9" s="217"/>
      <c r="AA9" s="218"/>
    </row>
    <row r="10" spans="1:30">
      <c r="A10" s="19">
        <v>750</v>
      </c>
      <c r="B10" s="55"/>
      <c r="C10" s="141">
        <f>SUMIFS('QUOTED PROJECTS-Earlier Yr'!$O$2:$O$2598,'QUOTED PROJECTS-Earlier Yr'!$Q$2:$Q$2598,"WON",'QUOTED PROJECTS-Earlier Yr'!$K$2:$K$2598,"750",'QUOTED PROJECTS-Earlier Yr'!$H$2:$H$2598,"MTU",'QUOTED PROJECTS-Earlier Yr'!$R$2:$R$2598,"APR")+SUMIFS('QUOTED PROJECTS-Current Year'!$O$2:$O$2525,'QUOTED PROJECTS-Current Year'!$Q$2:$Q$2525,"WON",'QUOTED PROJECTS-Current Year'!$K$2:$K$2525,"750",'QUOTED PROJECTS-Current Year'!$H$2:$H$2525,"MTU",'QUOTED PROJECTS-Current Year'!$R$2:$R$2525,"APR")</f>
        <v>0</v>
      </c>
      <c r="D10" s="55"/>
      <c r="E10" s="141">
        <f>SUMIFS('QUOTED PROJECTS-Earlier Yr'!$O$2:$O$2598,'QUOTED PROJECTS-Earlier Yr'!$Q$2:$Q$2598,"WON",'QUOTED PROJECTS-Earlier Yr'!$K$2:$K$2598,"750",'QUOTED PROJECTS-Earlier Yr'!$H$2:$H$2598,"MTU",'QUOTED PROJECTS-Earlier Yr'!$R$2:$R$2598,"MAY")+SUMIFS('QUOTED PROJECTS-Current Year'!$O$2:$O$2525,'QUOTED PROJECTS-Current Year'!$Q$2:$Q$2525,"WON",'QUOTED PROJECTS-Current Year'!$K$2:$K$2525,"750",'QUOTED PROJECTS-Current Year'!$H$2:$H$2525,"MTU",'QUOTED PROJECTS-Current Year'!$R$2:$R$2525,"MAY")</f>
        <v>0</v>
      </c>
      <c r="F10" s="55"/>
      <c r="G10" s="141">
        <f>SUMIFS('QUOTED PROJECTS-Earlier Yr'!$O$2:$O$2598,'QUOTED PROJECTS-Earlier Yr'!$Q$2:$Q$2598,"WON",'QUOTED PROJECTS-Earlier Yr'!$K$2:$K$2598,"750",'QUOTED PROJECTS-Earlier Yr'!$H$2:$H$2598,"MTU",'QUOTED PROJECTS-Earlier Yr'!$R$2:$R$2598,"JUN")+SUMIFS('QUOTED PROJECTS-Current Year'!$O$2:$O$2525,'QUOTED PROJECTS-Current Year'!$Q$2:$Q$2525,"WON",'QUOTED PROJECTS-Current Year'!$K$2:$K$2525,"750",'QUOTED PROJECTS-Current Year'!$H$2:$H$2525,"MTU",'QUOTED PROJECTS-Current Year'!$R$2:$R$2525,"JUN")</f>
        <v>0</v>
      </c>
      <c r="H10" s="55"/>
      <c r="I10" s="141">
        <f>SUMIFS('QUOTED PROJECTS-Earlier Yr'!$O$2:$O$2598,'QUOTED PROJECTS-Earlier Yr'!$Q$2:$Q$2598,"WON",'QUOTED PROJECTS-Earlier Yr'!$K$2:$K$2598,"750",'QUOTED PROJECTS-Earlier Yr'!$H$2:$H$2598,"MTU",'QUOTED PROJECTS-Earlier Yr'!$R$2:$R$2598,"JUL")+SUMIFS('QUOTED PROJECTS-Current Year'!$O$2:$O$2525,'QUOTED PROJECTS-Current Year'!$Q$2:$Q$2525,"WON",'QUOTED PROJECTS-Current Year'!$K$2:$K$2525,"750",'QUOTED PROJECTS-Current Year'!$H$2:$H$2525,"MTU",'QUOTED PROJECTS-Current Year'!$R$2:$R$2525,"JUL")</f>
        <v>0</v>
      </c>
      <c r="J10" s="55"/>
      <c r="K10" s="141">
        <f>SUMIFS('QUOTED PROJECTS-Earlier Yr'!$O$2:$O$2598,'QUOTED PROJECTS-Earlier Yr'!$Q$2:$Q$2598,"WON",'QUOTED PROJECTS-Earlier Yr'!$K$2:$K$2598,"750",'QUOTED PROJECTS-Earlier Yr'!$H$2:$H$2598,"MTU",'QUOTED PROJECTS-Earlier Yr'!$R$2:$R$2598,"AUG")+SUMIFS('QUOTED PROJECTS-Current Year'!$O$2:$O$2525,'QUOTED PROJECTS-Current Year'!$Q$2:$Q$2525,"WON",'QUOTED PROJECTS-Current Year'!$K$2:$K$2525,"750",'QUOTED PROJECTS-Current Year'!$H$2:$H$2525,"MTU",'QUOTED PROJECTS-Current Year'!$R$2:$R$2525,"AUG")</f>
        <v>0</v>
      </c>
      <c r="L10" s="55"/>
      <c r="M10" s="141">
        <f>SUMIFS('QUOTED PROJECTS-Earlier Yr'!$O$2:$O$2598,'QUOTED PROJECTS-Earlier Yr'!$Q$2:$Q$2598,"WON",'QUOTED PROJECTS-Earlier Yr'!$K$2:$K$2598,"750",'QUOTED PROJECTS-Earlier Yr'!$H$2:$H$2598,"MTU",'QUOTED PROJECTS-Earlier Yr'!$R$2:$R$2598,"SEPT")+SUMIFS('QUOTED PROJECTS-Current Year'!$O$2:$O$2525,'QUOTED PROJECTS-Current Year'!$Q$2:$Q$2525,"WON",'QUOTED PROJECTS-Current Year'!$K$2:$K$2525,"750",'QUOTED PROJECTS-Current Year'!$H$2:$H$2525,"MTU",'QUOTED PROJECTS-Current Year'!$R$2:$R$2525,"SEPT")</f>
        <v>0</v>
      </c>
      <c r="N10" s="55"/>
      <c r="O10" s="141">
        <f>SUMIFS('QUOTED PROJECTS-Earlier Yr'!$O$2:$O$2598,'QUOTED PROJECTS-Earlier Yr'!$Q$2:$Q$2598,"WON",'QUOTED PROJECTS-Earlier Yr'!$K$2:$K$2598,"750",'QUOTED PROJECTS-Earlier Yr'!$H$2:$H$2598,"MTU",'QUOTED PROJECTS-Earlier Yr'!$R$2:$R$2598,"OCT")+SUMIFS('QUOTED PROJECTS-Current Year'!$O$2:$O$2525,'QUOTED PROJECTS-Current Year'!$Q$2:$Q$2525,"WON",'QUOTED PROJECTS-Current Year'!$K$2:$K$2525,"750",'QUOTED PROJECTS-Current Year'!$H$2:$H$2525,"MTU",'QUOTED PROJECTS-Current Year'!$R$2:$R$2525,"OCT")</f>
        <v>0</v>
      </c>
      <c r="P10" s="55"/>
      <c r="Q10" s="141">
        <f>SUMIFS('QUOTED PROJECTS-Earlier Yr'!$O$2:$O$2598,'QUOTED PROJECTS-Earlier Yr'!$Q$2:$Q$2598,"WON",'QUOTED PROJECTS-Earlier Yr'!$K$2:$K$2598,"750",'QUOTED PROJECTS-Earlier Yr'!$H$2:$H$2598,"MTU",'QUOTED PROJECTS-Earlier Yr'!$R$2:$R$2598,"NOV")+SUMIFS('QUOTED PROJECTS-Current Year'!$O$2:$O$2525,'QUOTED PROJECTS-Current Year'!$Q$2:$Q$2525,"WON",'QUOTED PROJECTS-Current Year'!$K$2:$K$2525,"750",'QUOTED PROJECTS-Current Year'!$H$2:$H$2525,"MTU",'QUOTED PROJECTS-Current Year'!$R$2:$R$2525,"NOV")</f>
        <v>0</v>
      </c>
      <c r="R10" s="55"/>
      <c r="S10" s="141">
        <f>SUMIFS('QUOTED PROJECTS-Earlier Yr'!$O$2:$O$2598,'QUOTED PROJECTS-Earlier Yr'!$Q$2:$Q$2598,"WON",'QUOTED PROJECTS-Earlier Yr'!$K$2:$K$2598,"750",'QUOTED PROJECTS-Earlier Yr'!$H$2:$H$2598,"MTU",'QUOTED PROJECTS-Earlier Yr'!$R$2:$R$2598,"DEC")+SUMIFS('QUOTED PROJECTS-Current Year'!$O$2:$O$2525,'QUOTED PROJECTS-Current Year'!$Q$2:$Q$2525,"WON",'QUOTED PROJECTS-Current Year'!$K$2:$K$2525,"750",'QUOTED PROJECTS-Current Year'!$H$2:$H$2525,"MTU",'QUOTED PROJECTS-Current Year'!$R$2:$R$2525,"DEC")</f>
        <v>0</v>
      </c>
      <c r="T10" s="55"/>
      <c r="U10" s="141">
        <f>SUMIFS('QUOTED PROJECTS-Earlier Yr'!$O$2:$O$2598,'QUOTED PROJECTS-Earlier Yr'!$Q$2:$Q$2598,"WON",'QUOTED PROJECTS-Earlier Yr'!$K$2:$K$2598,"750",'QUOTED PROJECTS-Earlier Yr'!$H$2:$H$2598,"MTU",'QUOTED PROJECTS-Earlier Yr'!$R$2:$R$2598,"JAN")+SUMIFS('QUOTED PROJECTS-Current Year'!$O$2:$O$2525,'QUOTED PROJECTS-Current Year'!$Q$2:$Q$2525,"WON",'QUOTED PROJECTS-Current Year'!$K$2:$K$2525,"750",'QUOTED PROJECTS-Current Year'!$H$2:$H$2525,"MTU",'QUOTED PROJECTS-Current Year'!$R$2:$R$2525,"JAN")</f>
        <v>0</v>
      </c>
      <c r="V10" s="55"/>
      <c r="W10" s="141">
        <f>SUMIFS('QUOTED PROJECTS-Earlier Yr'!$O$2:$O$2598,'QUOTED PROJECTS-Earlier Yr'!$Q$2:$Q$2598,"WON",'QUOTED PROJECTS-Earlier Yr'!$K$2:$K$2598,"750",'QUOTED PROJECTS-Earlier Yr'!$H$2:$H$2598,"MTU",'QUOTED PROJECTS-Earlier Yr'!$R$2:$R$2598,"FEB")+SUMIFS('QUOTED PROJECTS-Current Year'!$O$2:$O$2525,'QUOTED PROJECTS-Current Year'!$Q$2:$Q$2525,"WON",'QUOTED PROJECTS-Current Year'!$K$2:$K$2525,"750",'QUOTED PROJECTS-Current Year'!$H$2:$H$2525,"MTU",'QUOTED PROJECTS-Current Year'!$R$2:$R$2525,"FEB")</f>
        <v>0</v>
      </c>
      <c r="X10" s="55"/>
      <c r="Y10" s="141">
        <f>SUMIFS('QUOTED PROJECTS-Earlier Yr'!$O$2:$O$2598,'QUOTED PROJECTS-Earlier Yr'!$Q$2:$Q$2598,"WON",'QUOTED PROJECTS-Earlier Yr'!$K$2:$K$2598,"750",'QUOTED PROJECTS-Earlier Yr'!$H$2:$H$2598,"MTU",'QUOTED PROJECTS-Earlier Yr'!$R$2:$R$2598,"MAR")+SUMIFS('QUOTED PROJECTS-Current Year'!$O$2:$O$2525,'QUOTED PROJECTS-Current Year'!$Q$2:$Q$2525,"WON",'QUOTED PROJECTS-Current Year'!$K$2:$K$2525,"750",'QUOTED PROJECTS-Current Year'!$H$2:$H$2525,"MTU",'QUOTED PROJECTS-Current Year'!$R$2:$R$2525,"MAR")</f>
        <v>0</v>
      </c>
      <c r="Z10" s="57">
        <f t="shared" ref="Z10:Z21" si="0">B10+D10+F10+H10+J10+L10+N10+P10+R10+T10+V10+X10</f>
        <v>0</v>
      </c>
      <c r="AA10" s="37">
        <f t="shared" ref="AA10:AA21" si="1">C10+E10+G10+I10+K10+M10+O10+Q10+S10+U10+W10+Y10</f>
        <v>0</v>
      </c>
    </row>
    <row r="11" spans="1:30">
      <c r="A11" s="19">
        <v>910</v>
      </c>
      <c r="B11" s="55"/>
      <c r="C11" s="141">
        <f>SUMIFS('QUOTED PROJECTS-Earlier Yr'!$O$2:$O$2598,'QUOTED PROJECTS-Earlier Yr'!$Q$2:$Q$2598,"WON",'QUOTED PROJECTS-Earlier Yr'!$K$2:$K$2598,"910",'QUOTED PROJECTS-Earlier Yr'!$H$2:$H$2598,"MTU",'QUOTED PROJECTS-Earlier Yr'!$R$2:$R$2598,"APR")+SUMIFS('QUOTED PROJECTS-Current Year'!$O$2:$O$2525,'QUOTED PROJECTS-Current Year'!$Q$2:$Q$2525,"WON",'QUOTED PROJECTS-Current Year'!$K$2:$K$2525,"910",'QUOTED PROJECTS-Current Year'!$H$2:$H$2525,"MTU",'QUOTED PROJECTS-Current Year'!$R$2:$R$2525,"APR")</f>
        <v>0</v>
      </c>
      <c r="D11" s="55"/>
      <c r="E11" s="141">
        <f>SUMIFS('QUOTED PROJECTS-Earlier Yr'!$O$2:$O$2598,'QUOTED PROJECTS-Earlier Yr'!$Q$2:$Q$2598,"WON",'QUOTED PROJECTS-Earlier Yr'!$K$2:$K$2598,"910",'QUOTED PROJECTS-Earlier Yr'!$H$2:$H$2598,"MTU",'QUOTED PROJECTS-Earlier Yr'!$R$2:$R$2598,"MAY")+SUMIFS('QUOTED PROJECTS-Current Year'!$O$2:$O$2525,'QUOTED PROJECTS-Current Year'!$Q$2:$Q$2525,"WON",'QUOTED PROJECTS-Current Year'!$K$2:$K$2525,"910",'QUOTED PROJECTS-Current Year'!$H$2:$H$2525,"MTU",'QUOTED PROJECTS-Current Year'!$R$2:$R$2525,"MAY")</f>
        <v>0</v>
      </c>
      <c r="F11" s="55"/>
      <c r="G11" s="141">
        <f>SUMIFS('QUOTED PROJECTS-Earlier Yr'!$O$2:$O$2598,'QUOTED PROJECTS-Earlier Yr'!$Q$2:$Q$2598,"WON",'QUOTED PROJECTS-Earlier Yr'!$K$2:$K$2598,"910",'QUOTED PROJECTS-Earlier Yr'!$H$2:$H$2598,"MTU",'QUOTED PROJECTS-Earlier Yr'!$R$2:$R$2598,"JUN")+SUMIFS('QUOTED PROJECTS-Current Year'!$O$2:$O$2525,'QUOTED PROJECTS-Current Year'!$Q$2:$Q$2525,"WON",'QUOTED PROJECTS-Current Year'!$K$2:$K$2525,"910",'QUOTED PROJECTS-Current Year'!$H$2:$H$2525,"MTU",'QUOTED PROJECTS-Current Year'!$R$2:$R$2525,"JUN")</f>
        <v>0</v>
      </c>
      <c r="H11" s="55"/>
      <c r="I11" s="141">
        <f>SUMIFS('QUOTED PROJECTS-Earlier Yr'!$O$2:$O$2598,'QUOTED PROJECTS-Earlier Yr'!$Q$2:$Q$2598,"WON",'QUOTED PROJECTS-Earlier Yr'!$K$2:$K$2598,"910",'QUOTED PROJECTS-Earlier Yr'!$H$2:$H$2598,"MTU",'QUOTED PROJECTS-Earlier Yr'!$R$2:$R$2598,"JUL")+SUMIFS('QUOTED PROJECTS-Current Year'!$O$2:$O$2525,'QUOTED PROJECTS-Current Year'!$Q$2:$Q$2525,"WON",'QUOTED PROJECTS-Current Year'!$K$2:$K$2525,"910",'QUOTED PROJECTS-Current Year'!$H$2:$H$2525,"MTU",'QUOTED PROJECTS-Current Year'!$R$2:$R$2525,"JUL")</f>
        <v>0</v>
      </c>
      <c r="J11" s="55"/>
      <c r="K11" s="141">
        <f>SUMIFS('QUOTED PROJECTS-Earlier Yr'!$O$2:$O$2598,'QUOTED PROJECTS-Earlier Yr'!$Q$2:$Q$2598,"WON",'QUOTED PROJECTS-Earlier Yr'!$K$2:$K$2598,"910",'QUOTED PROJECTS-Earlier Yr'!$H$2:$H$2598,"MTU",'QUOTED PROJECTS-Earlier Yr'!$R$2:$R$2598,"AUG")+SUMIFS('QUOTED PROJECTS-Current Year'!$O$2:$O$2525,'QUOTED PROJECTS-Current Year'!$Q$2:$Q$2525,"WON",'QUOTED PROJECTS-Current Year'!$K$2:$K$2525,"910",'QUOTED PROJECTS-Current Year'!$H$2:$H$2525,"MTU",'QUOTED PROJECTS-Current Year'!$R$2:$R$2525,"AUG")</f>
        <v>0</v>
      </c>
      <c r="L11" s="55"/>
      <c r="M11" s="141">
        <f>SUMIFS('QUOTED PROJECTS-Earlier Yr'!$O$2:$O$2598,'QUOTED PROJECTS-Earlier Yr'!$Q$2:$Q$2598,"WON",'QUOTED PROJECTS-Earlier Yr'!$K$2:$K$2598,"910",'QUOTED PROJECTS-Earlier Yr'!$H$2:$H$2598,"MTU",'QUOTED PROJECTS-Earlier Yr'!$R$2:$R$2598,"SEPT")+SUMIFS('QUOTED PROJECTS-Current Year'!$O$2:$O$2525,'QUOTED PROJECTS-Current Year'!$Q$2:$Q$2525,"WON",'QUOTED PROJECTS-Current Year'!$K$2:$K$2525,"910",'QUOTED PROJECTS-Current Year'!$H$2:$H$2525,"MTU",'QUOTED PROJECTS-Current Year'!$R$2:$R$2525,"SEPT")</f>
        <v>0</v>
      </c>
      <c r="N11" s="55"/>
      <c r="O11" s="141">
        <f>SUMIFS('QUOTED PROJECTS-Earlier Yr'!$O$2:$O$2598,'QUOTED PROJECTS-Earlier Yr'!$Q$2:$Q$2598,"WON",'QUOTED PROJECTS-Earlier Yr'!$K$2:$K$2598,"910",'QUOTED PROJECTS-Earlier Yr'!$H$2:$H$2598,"MTU",'QUOTED PROJECTS-Earlier Yr'!$R$2:$R$2598,"OCT")+SUMIFS('QUOTED PROJECTS-Current Year'!$O$2:$O$2525,'QUOTED PROJECTS-Current Year'!$Q$2:$Q$2525,"WON",'QUOTED PROJECTS-Current Year'!$K$2:$K$2525,"910",'QUOTED PROJECTS-Current Year'!$H$2:$H$2525,"MTU",'QUOTED PROJECTS-Current Year'!$R$2:$R$2525,"OCT")</f>
        <v>0</v>
      </c>
      <c r="P11" s="55"/>
      <c r="Q11" s="141">
        <f>SUMIFS('QUOTED PROJECTS-Earlier Yr'!$O$2:$O$2598,'QUOTED PROJECTS-Earlier Yr'!$Q$2:$Q$2598,"WON",'QUOTED PROJECTS-Earlier Yr'!$K$2:$K$2598,"910",'QUOTED PROJECTS-Earlier Yr'!$H$2:$H$2598,"MTU",'QUOTED PROJECTS-Earlier Yr'!$R$2:$R$2598,"NOV")+SUMIFS('QUOTED PROJECTS-Current Year'!$O$2:$O$2525,'QUOTED PROJECTS-Current Year'!$Q$2:$Q$2525,"WON",'QUOTED PROJECTS-Current Year'!$K$2:$K$2525,"910",'QUOTED PROJECTS-Current Year'!$H$2:$H$2525,"MTU",'QUOTED PROJECTS-Current Year'!$R$2:$R$2525,"NOV")</f>
        <v>0</v>
      </c>
      <c r="R11" s="55"/>
      <c r="S11" s="141">
        <f>SUMIFS('QUOTED PROJECTS-Earlier Yr'!$O$2:$O$2598,'QUOTED PROJECTS-Earlier Yr'!$Q$2:$Q$2598,"WON",'QUOTED PROJECTS-Earlier Yr'!$K$2:$K$2598,"910",'QUOTED PROJECTS-Earlier Yr'!$H$2:$H$2598,"MTU",'QUOTED PROJECTS-Earlier Yr'!$R$2:$R$2598,"DEC")+SUMIFS('QUOTED PROJECTS-Current Year'!$O$2:$O$2525,'QUOTED PROJECTS-Current Year'!$Q$2:$Q$2525,"WON",'QUOTED PROJECTS-Current Year'!$K$2:$K$2525,"910",'QUOTED PROJECTS-Current Year'!$H$2:$H$2525,"MTU",'QUOTED PROJECTS-Current Year'!$R$2:$R$2525,"DEC")</f>
        <v>0</v>
      </c>
      <c r="T11" s="55"/>
      <c r="U11" s="141">
        <f>SUMIFS('QUOTED PROJECTS-Earlier Yr'!$O$2:$O$2598,'QUOTED PROJECTS-Earlier Yr'!$Q$2:$Q$2598,"WON",'QUOTED PROJECTS-Earlier Yr'!$K$2:$K$2598,"910",'QUOTED PROJECTS-Earlier Yr'!$H$2:$H$2598,"MTU",'QUOTED PROJECTS-Earlier Yr'!$R$2:$R$2598,"JAN")+SUMIFS('QUOTED PROJECTS-Current Year'!$O$2:$O$2525,'QUOTED PROJECTS-Current Year'!$Q$2:$Q$2525,"WON",'QUOTED PROJECTS-Current Year'!$K$2:$K$2525,"910",'QUOTED PROJECTS-Current Year'!$H$2:$H$2525,"MTU",'QUOTED PROJECTS-Current Year'!$R$2:$R$2525,"JAN")</f>
        <v>0</v>
      </c>
      <c r="V11" s="55"/>
      <c r="W11" s="141">
        <f>SUMIFS('QUOTED PROJECTS-Earlier Yr'!$O$2:$O$2598,'QUOTED PROJECTS-Earlier Yr'!$Q$2:$Q$2598,"WON",'QUOTED PROJECTS-Earlier Yr'!$K$2:$K$2598,"910",'QUOTED PROJECTS-Earlier Yr'!$H$2:$H$2598,"MTU",'QUOTED PROJECTS-Earlier Yr'!$R$2:$R$2598,"FEB")+SUMIFS('QUOTED PROJECTS-Current Year'!$O$2:$O$2525,'QUOTED PROJECTS-Current Year'!$Q$2:$Q$2525,"WON",'QUOTED PROJECTS-Current Year'!$K$2:$K$2525,"910",'QUOTED PROJECTS-Current Year'!$H$2:$H$2525,"MTU",'QUOTED PROJECTS-Current Year'!$R$2:$R$2525,"FEB")</f>
        <v>0</v>
      </c>
      <c r="X11" s="55"/>
      <c r="Y11" s="141">
        <f>SUMIFS('QUOTED PROJECTS-Earlier Yr'!$O$2:$O$2598,'QUOTED PROJECTS-Earlier Yr'!$Q$2:$Q$2598,"WON",'QUOTED PROJECTS-Earlier Yr'!$K$2:$K$2598,"910",'QUOTED PROJECTS-Earlier Yr'!$H$2:$H$2598,"MTU",'QUOTED PROJECTS-Earlier Yr'!$R$2:$R$2598,"MAR")+SUMIFS('QUOTED PROJECTS-Current Year'!$O$2:$O$2525,'QUOTED PROJECTS-Current Year'!$Q$2:$Q$2525,"WON",'QUOTED PROJECTS-Current Year'!$K$2:$K$2525,"910",'QUOTED PROJECTS-Current Year'!$H$2:$H$2525,"MTU",'QUOTED PROJECTS-Current Year'!$R$2:$R$2525,"MAR")</f>
        <v>0</v>
      </c>
      <c r="Z11" s="57">
        <f t="shared" si="0"/>
        <v>0</v>
      </c>
      <c r="AA11" s="37">
        <f t="shared" si="1"/>
        <v>0</v>
      </c>
    </row>
    <row r="12" spans="1:30">
      <c r="A12" s="19">
        <v>1010</v>
      </c>
      <c r="B12" s="55"/>
      <c r="C12" s="141">
        <f>SUMIFS('QUOTED PROJECTS-Earlier Yr'!$O$2:$O$2598,'QUOTED PROJECTS-Earlier Yr'!$Q$2:$Q$2598,"WON",'QUOTED PROJECTS-Earlier Yr'!$K$2:$K$2598,"1010",'QUOTED PROJECTS-Earlier Yr'!$H$2:$H$2598,"MTU",'QUOTED PROJECTS-Earlier Yr'!$R$2:$R$2598,"APR")+SUMIFS('QUOTED PROJECTS-Current Year'!$O$2:$O$2525,'QUOTED PROJECTS-Current Year'!$Q$2:$Q$2525,"WON",'QUOTED PROJECTS-Current Year'!$K$2:$K$2525,"1010",'QUOTED PROJECTS-Current Year'!$H$2:$H$2525,"MTU",'QUOTED PROJECTS-Current Year'!$R$2:$R$2525,"APR")</f>
        <v>0</v>
      </c>
      <c r="D12" s="55"/>
      <c r="E12" s="141">
        <f>SUMIFS('QUOTED PROJECTS-Earlier Yr'!$O$2:$O$2598,'QUOTED PROJECTS-Earlier Yr'!$Q$2:$Q$2598,"WON",'QUOTED PROJECTS-Earlier Yr'!$K$2:$K$2598,"1010",'QUOTED PROJECTS-Earlier Yr'!$H$2:$H$2598,"MTU",'QUOTED PROJECTS-Earlier Yr'!$R$2:$R$2598,"MAY")+SUMIFS('QUOTED PROJECTS-Current Year'!$O$2:$O$2525,'QUOTED PROJECTS-Current Year'!$Q$2:$Q$2525,"WON",'QUOTED PROJECTS-Current Year'!$K$2:$K$2525,"1010",'QUOTED PROJECTS-Current Year'!$H$2:$H$2525,"MTU",'QUOTED PROJECTS-Current Year'!$R$2:$R$2525,"MAY")</f>
        <v>0</v>
      </c>
      <c r="F12" s="55"/>
      <c r="G12" s="141">
        <f>SUMIFS('QUOTED PROJECTS-Earlier Yr'!$O$2:$O$2598,'QUOTED PROJECTS-Earlier Yr'!$Q$2:$Q$2598,"WON",'QUOTED PROJECTS-Earlier Yr'!$K$2:$K$2598,"1010",'QUOTED PROJECTS-Earlier Yr'!$H$2:$H$2598,"MTU",'QUOTED PROJECTS-Earlier Yr'!$R$2:$R$2598,"JUN")+SUMIFS('QUOTED PROJECTS-Current Year'!$O$2:$O$2525,'QUOTED PROJECTS-Current Year'!$Q$2:$Q$2525,"WON",'QUOTED PROJECTS-Current Year'!$K$2:$K$2525,"1010",'QUOTED PROJECTS-Current Year'!$H$2:$H$2525,"MTU",'QUOTED PROJECTS-Current Year'!$R$2:$R$2525,"JUN")</f>
        <v>0</v>
      </c>
      <c r="H12" s="55"/>
      <c r="I12" s="141">
        <f>SUMIFS('QUOTED PROJECTS-Earlier Yr'!$O$2:$O$2598,'QUOTED PROJECTS-Earlier Yr'!$Q$2:$Q$2598,"WON",'QUOTED PROJECTS-Earlier Yr'!$K$2:$K$2598,"1010",'QUOTED PROJECTS-Earlier Yr'!$H$2:$H$2598,"MTU",'QUOTED PROJECTS-Earlier Yr'!$R$2:$R$2598,"JUL")+SUMIFS('QUOTED PROJECTS-Current Year'!$O$2:$O$2525,'QUOTED PROJECTS-Current Year'!$Q$2:$Q$2525,"WON",'QUOTED PROJECTS-Current Year'!$K$2:$K$2525,"1010",'QUOTED PROJECTS-Current Year'!$H$2:$H$2525,"MTU",'QUOTED PROJECTS-Current Year'!$R$2:$R$2525,"JUL")</f>
        <v>0</v>
      </c>
      <c r="J12" s="55"/>
      <c r="K12" s="141">
        <f>SUMIFS('QUOTED PROJECTS-Earlier Yr'!$O$2:$O$2598,'QUOTED PROJECTS-Earlier Yr'!$Q$2:$Q$2598,"WON",'QUOTED PROJECTS-Earlier Yr'!$K$2:$K$2598,"1010",'QUOTED PROJECTS-Earlier Yr'!$H$2:$H$2598,"MTU",'QUOTED PROJECTS-Earlier Yr'!$R$2:$R$2598,"AUG")+SUMIFS('QUOTED PROJECTS-Current Year'!$O$2:$O$2525,'QUOTED PROJECTS-Current Year'!$Q$2:$Q$2525,"WON",'QUOTED PROJECTS-Current Year'!$K$2:$K$2525,"1010",'QUOTED PROJECTS-Current Year'!$H$2:$H$2525,"MTU",'QUOTED PROJECTS-Current Year'!$R$2:$R$2525,"AUG")</f>
        <v>0</v>
      </c>
      <c r="L12" s="55"/>
      <c r="M12" s="141">
        <f>SUMIFS('QUOTED PROJECTS-Earlier Yr'!$O$2:$O$2598,'QUOTED PROJECTS-Earlier Yr'!$Q$2:$Q$2598,"WON",'QUOTED PROJECTS-Earlier Yr'!$K$2:$K$2598,"1010",'QUOTED PROJECTS-Earlier Yr'!$H$2:$H$2598,"MTU",'QUOTED PROJECTS-Earlier Yr'!$R$2:$R$2598,"SEPT")+SUMIFS('QUOTED PROJECTS-Current Year'!$O$2:$O$2525,'QUOTED PROJECTS-Current Year'!$Q$2:$Q$2525,"WON",'QUOTED PROJECTS-Current Year'!$K$2:$K$2525,"1010",'QUOTED PROJECTS-Current Year'!$H$2:$H$2525,"MTU",'QUOTED PROJECTS-Current Year'!$R$2:$R$2525,"SEPT")</f>
        <v>0</v>
      </c>
      <c r="N12" s="55"/>
      <c r="O12" s="141">
        <f>SUMIFS('QUOTED PROJECTS-Earlier Yr'!$O$2:$O$2598,'QUOTED PROJECTS-Earlier Yr'!$Q$2:$Q$2598,"WON",'QUOTED PROJECTS-Earlier Yr'!$K$2:$K$2598,"1010",'QUOTED PROJECTS-Earlier Yr'!$H$2:$H$2598,"MTU",'QUOTED PROJECTS-Earlier Yr'!$R$2:$R$2598,"OCT")+SUMIFS('QUOTED PROJECTS-Current Year'!$O$2:$O$2525,'QUOTED PROJECTS-Current Year'!$Q$2:$Q$2525,"WON",'QUOTED PROJECTS-Current Year'!$K$2:$K$2525,"1010",'QUOTED PROJECTS-Current Year'!$H$2:$H$2525,"MTU",'QUOTED PROJECTS-Current Year'!$R$2:$R$2525,"OCT")</f>
        <v>0</v>
      </c>
      <c r="P12" s="55"/>
      <c r="Q12" s="141">
        <f>SUMIFS('QUOTED PROJECTS-Earlier Yr'!$O$2:$O$2598,'QUOTED PROJECTS-Earlier Yr'!$Q$2:$Q$2598,"WON",'QUOTED PROJECTS-Earlier Yr'!$K$2:$K$2598,"1010",'QUOTED PROJECTS-Earlier Yr'!$H$2:$H$2598,"MTU",'QUOTED PROJECTS-Earlier Yr'!$R$2:$R$2598,"NOV")+SUMIFS('QUOTED PROJECTS-Current Year'!$O$2:$O$2525,'QUOTED PROJECTS-Current Year'!$Q$2:$Q$2525,"WON",'QUOTED PROJECTS-Current Year'!$K$2:$K$2525,"1010",'QUOTED PROJECTS-Current Year'!$H$2:$H$2525,"MTU",'QUOTED PROJECTS-Current Year'!$R$2:$R$2525,"NOV")</f>
        <v>0</v>
      </c>
      <c r="R12" s="55"/>
      <c r="S12" s="141">
        <f>SUMIFS('QUOTED PROJECTS-Earlier Yr'!$O$2:$O$2598,'QUOTED PROJECTS-Earlier Yr'!$Q$2:$Q$2598,"WON",'QUOTED PROJECTS-Earlier Yr'!$K$2:$K$2598,"1010",'QUOTED PROJECTS-Earlier Yr'!$H$2:$H$2598,"MTU",'QUOTED PROJECTS-Earlier Yr'!$R$2:$R$2598,"DEC")+SUMIFS('QUOTED PROJECTS-Current Year'!$O$2:$O$2525,'QUOTED PROJECTS-Current Year'!$Q$2:$Q$2525,"WON",'QUOTED PROJECTS-Current Year'!$K$2:$K$2525,"1010",'QUOTED PROJECTS-Current Year'!$H$2:$H$2525,"MTU",'QUOTED PROJECTS-Current Year'!$R$2:$R$2525,"DEC")</f>
        <v>0</v>
      </c>
      <c r="T12" s="55"/>
      <c r="U12" s="141">
        <f>SUMIFS('QUOTED PROJECTS-Earlier Yr'!$O$2:$O$2598,'QUOTED PROJECTS-Earlier Yr'!$Q$2:$Q$2598,"WON",'QUOTED PROJECTS-Earlier Yr'!$K$2:$K$2598,"1010",'QUOTED PROJECTS-Earlier Yr'!$H$2:$H$2598,"MTU",'QUOTED PROJECTS-Earlier Yr'!$R$2:$R$2598,"JAN")+SUMIFS('QUOTED PROJECTS-Current Year'!$O$2:$O$2525,'QUOTED PROJECTS-Current Year'!$Q$2:$Q$2525,"WON",'QUOTED PROJECTS-Current Year'!$K$2:$K$2525,"1010",'QUOTED PROJECTS-Current Year'!$H$2:$H$2525,"MTU",'QUOTED PROJECTS-Current Year'!$R$2:$R$2525,"JAN")</f>
        <v>0</v>
      </c>
      <c r="V12" s="55"/>
      <c r="W12" s="141">
        <f>SUMIFS('QUOTED PROJECTS-Earlier Yr'!$O$2:$O$2598,'QUOTED PROJECTS-Earlier Yr'!$Q$2:$Q$2598,"WON",'QUOTED PROJECTS-Earlier Yr'!$K$2:$K$2598,"1010",'QUOTED PROJECTS-Earlier Yr'!$H$2:$H$2598,"MTU",'QUOTED PROJECTS-Earlier Yr'!$R$2:$R$2598,"FEB")+SUMIFS('QUOTED PROJECTS-Current Year'!$O$2:$O$2525,'QUOTED PROJECTS-Current Year'!$Q$2:$Q$2525,"WON",'QUOTED PROJECTS-Current Year'!$K$2:$K$2525,"1010",'QUOTED PROJECTS-Current Year'!$H$2:$H$2525,"MTU",'QUOTED PROJECTS-Current Year'!$R$2:$R$2525,"FEB")</f>
        <v>0</v>
      </c>
      <c r="X12" s="55"/>
      <c r="Y12" s="141">
        <f>SUMIFS('QUOTED PROJECTS-Earlier Yr'!$O$2:$O$2598,'QUOTED PROJECTS-Earlier Yr'!$Q$2:$Q$2598,"WON",'QUOTED PROJECTS-Earlier Yr'!$K$2:$K$2598,"1010",'QUOTED PROJECTS-Earlier Yr'!$H$2:$H$2598,"MTU",'QUOTED PROJECTS-Earlier Yr'!$R$2:$R$2598,"MAR")+SUMIFS('QUOTED PROJECTS-Current Year'!$O$2:$O$2525,'QUOTED PROJECTS-Current Year'!$Q$2:$Q$2525,"WON",'QUOTED PROJECTS-Current Year'!$K$2:$K$2525,"1010",'QUOTED PROJECTS-Current Year'!$H$2:$H$2525,"MTU",'QUOTED PROJECTS-Current Year'!$R$2:$R$2525,"MAR")</f>
        <v>0</v>
      </c>
      <c r="Z12" s="57">
        <f t="shared" si="0"/>
        <v>0</v>
      </c>
      <c r="AA12" s="37">
        <f t="shared" si="1"/>
        <v>0</v>
      </c>
    </row>
    <row r="13" spans="1:30">
      <c r="A13" s="19">
        <v>1250</v>
      </c>
      <c r="B13" s="55"/>
      <c r="C13" s="141">
        <f>SUMIFS('QUOTED PROJECTS-Earlier Yr'!$O$2:$O$2598,'QUOTED PROJECTS-Earlier Yr'!$Q$2:$Q$2598,"WON",'QUOTED PROJECTS-Earlier Yr'!$K$2:$K$2598,"1250",'QUOTED PROJECTS-Earlier Yr'!$H$2:$H$2598,"MTU",'QUOTED PROJECTS-Earlier Yr'!$R$2:$R$2598,"APR")+SUMIFS('QUOTED PROJECTS-Current Year'!$O$2:$O$2525,'QUOTED PROJECTS-Current Year'!$Q$2:$Q$2525,"WON",'QUOTED PROJECTS-Current Year'!$K$2:$K$2525,"1250",'QUOTED PROJECTS-Current Year'!$H$2:$H$2525,"MTU",'QUOTED PROJECTS-Current Year'!$R$2:$R$2525,"APR")</f>
        <v>0</v>
      </c>
      <c r="D13" s="55"/>
      <c r="E13" s="141">
        <f>SUMIFS('QUOTED PROJECTS-Earlier Yr'!$O$2:$O$2598,'QUOTED PROJECTS-Earlier Yr'!$Q$2:$Q$2598,"WON",'QUOTED PROJECTS-Earlier Yr'!$K$2:$K$2598,"1250",'QUOTED PROJECTS-Earlier Yr'!$H$2:$H$2598,"MTU",'QUOTED PROJECTS-Earlier Yr'!$R$2:$R$2598,"MAY")+SUMIFS('QUOTED PROJECTS-Current Year'!$O$2:$O$2525,'QUOTED PROJECTS-Current Year'!$Q$2:$Q$2525,"WON",'QUOTED PROJECTS-Current Year'!$K$2:$K$2525,"1250",'QUOTED PROJECTS-Current Year'!$H$2:$H$2525,"MTU",'QUOTED PROJECTS-Current Year'!$R$2:$R$2525,"MAY")</f>
        <v>0</v>
      </c>
      <c r="F13" s="55"/>
      <c r="G13" s="141">
        <f>SUMIFS('QUOTED PROJECTS-Earlier Yr'!$O$2:$O$2598,'QUOTED PROJECTS-Earlier Yr'!$Q$2:$Q$2598,"WON",'QUOTED PROJECTS-Earlier Yr'!$K$2:$K$2598,"1250",'QUOTED PROJECTS-Earlier Yr'!$H$2:$H$2598,"MTU",'QUOTED PROJECTS-Earlier Yr'!$R$2:$R$2598,"JUN")+SUMIFS('QUOTED PROJECTS-Current Year'!$O$2:$O$2525,'QUOTED PROJECTS-Current Year'!$Q$2:$Q$2525,"WON",'QUOTED PROJECTS-Current Year'!$K$2:$K$2525,"1250",'QUOTED PROJECTS-Current Year'!$H$2:$H$2525,"MTU",'QUOTED PROJECTS-Current Year'!$R$2:$R$2525,"JUN")</f>
        <v>0</v>
      </c>
      <c r="H13" s="55"/>
      <c r="I13" s="141">
        <f>SUMIFS('QUOTED PROJECTS-Earlier Yr'!$O$2:$O$2598,'QUOTED PROJECTS-Earlier Yr'!$Q$2:$Q$2598,"WON",'QUOTED PROJECTS-Earlier Yr'!$K$2:$K$2598,"1250",'QUOTED PROJECTS-Earlier Yr'!$H$2:$H$2598,"MTU",'QUOTED PROJECTS-Earlier Yr'!$R$2:$R$2598,"JUL")+SUMIFS('QUOTED PROJECTS-Current Year'!$O$2:$O$2525,'QUOTED PROJECTS-Current Year'!$Q$2:$Q$2525,"WON",'QUOTED PROJECTS-Current Year'!$K$2:$K$2525,"1250",'QUOTED PROJECTS-Current Year'!$H$2:$H$2525,"MTU",'QUOTED PROJECTS-Current Year'!$R$2:$R$2525,"JUL")</f>
        <v>0</v>
      </c>
      <c r="J13" s="55"/>
      <c r="K13" s="141">
        <f>SUMIFS('QUOTED PROJECTS-Earlier Yr'!$O$2:$O$2598,'QUOTED PROJECTS-Earlier Yr'!$Q$2:$Q$2598,"WON",'QUOTED PROJECTS-Earlier Yr'!$K$2:$K$2598,"1250",'QUOTED PROJECTS-Earlier Yr'!$H$2:$H$2598,"MTU",'QUOTED PROJECTS-Earlier Yr'!$R$2:$R$2598,"AUG")+SUMIFS('QUOTED PROJECTS-Current Year'!$O$2:$O$2525,'QUOTED PROJECTS-Current Year'!$Q$2:$Q$2525,"WON",'QUOTED PROJECTS-Current Year'!$K$2:$K$2525,"1250",'QUOTED PROJECTS-Current Year'!$H$2:$H$2525,"MTU",'QUOTED PROJECTS-Current Year'!$R$2:$R$2525,"AUG")</f>
        <v>0</v>
      </c>
      <c r="L13" s="55"/>
      <c r="M13" s="141">
        <f>SUMIFS('QUOTED PROJECTS-Earlier Yr'!$O$2:$O$2598,'QUOTED PROJECTS-Earlier Yr'!$Q$2:$Q$2598,"WON",'QUOTED PROJECTS-Earlier Yr'!$K$2:$K$2598,"1250",'QUOTED PROJECTS-Earlier Yr'!$H$2:$H$2598,"MTU",'QUOTED PROJECTS-Earlier Yr'!$R$2:$R$2598,"SEPT")+SUMIFS('QUOTED PROJECTS-Current Year'!$O$2:$O$2525,'QUOTED PROJECTS-Current Year'!$Q$2:$Q$2525,"WON",'QUOTED PROJECTS-Current Year'!$K$2:$K$2525,"1250",'QUOTED PROJECTS-Current Year'!$H$2:$H$2525,"MTU",'QUOTED PROJECTS-Current Year'!$R$2:$R$2525,"SEPT")</f>
        <v>0</v>
      </c>
      <c r="N13" s="55"/>
      <c r="O13" s="141">
        <f>SUMIFS('QUOTED PROJECTS-Earlier Yr'!$O$2:$O$2598,'QUOTED PROJECTS-Earlier Yr'!$Q$2:$Q$2598,"WON",'QUOTED PROJECTS-Earlier Yr'!$K$2:$K$2598,"1250",'QUOTED PROJECTS-Earlier Yr'!$H$2:$H$2598,"MTU",'QUOTED PROJECTS-Earlier Yr'!$R$2:$R$2598,"OCT")+SUMIFS('QUOTED PROJECTS-Current Year'!$O$2:$O$2525,'QUOTED PROJECTS-Current Year'!$Q$2:$Q$2525,"WON",'QUOTED PROJECTS-Current Year'!$K$2:$K$2525,"1250",'QUOTED PROJECTS-Current Year'!$H$2:$H$2525,"MTU",'QUOTED PROJECTS-Current Year'!$R$2:$R$2525,"OCT")</f>
        <v>0</v>
      </c>
      <c r="P13" s="55"/>
      <c r="Q13" s="141">
        <f>SUMIFS('QUOTED PROJECTS-Earlier Yr'!$O$2:$O$2598,'QUOTED PROJECTS-Earlier Yr'!$Q$2:$Q$2598,"WON",'QUOTED PROJECTS-Earlier Yr'!$K$2:$K$2598,"1250",'QUOTED PROJECTS-Earlier Yr'!$H$2:$H$2598,"MTU",'QUOTED PROJECTS-Earlier Yr'!$R$2:$R$2598,"NOV")+SUMIFS('QUOTED PROJECTS-Current Year'!$O$2:$O$2525,'QUOTED PROJECTS-Current Year'!$Q$2:$Q$2525,"WON",'QUOTED PROJECTS-Current Year'!$K$2:$K$2525,"1250",'QUOTED PROJECTS-Current Year'!$H$2:$H$2525,"MTU",'QUOTED PROJECTS-Current Year'!$R$2:$R$2525,"NOV")</f>
        <v>0</v>
      </c>
      <c r="R13" s="55"/>
      <c r="S13" s="141">
        <f>SUMIFS('QUOTED PROJECTS-Earlier Yr'!$O$2:$O$2598,'QUOTED PROJECTS-Earlier Yr'!$Q$2:$Q$2598,"WON",'QUOTED PROJECTS-Earlier Yr'!$K$2:$K$2598,"1250",'QUOTED PROJECTS-Earlier Yr'!$H$2:$H$2598,"MTU",'QUOTED PROJECTS-Earlier Yr'!$R$2:$R$2598,"DEC")+SUMIFS('QUOTED PROJECTS-Current Year'!$O$2:$O$2525,'QUOTED PROJECTS-Current Year'!$Q$2:$Q$2525,"WON",'QUOTED PROJECTS-Current Year'!$K$2:$K$2525,"1250",'QUOTED PROJECTS-Current Year'!$H$2:$H$2525,"MTU",'QUOTED PROJECTS-Current Year'!$R$2:$R$2525,"DEC")</f>
        <v>0</v>
      </c>
      <c r="T13" s="55"/>
      <c r="U13" s="141">
        <f>SUMIFS('QUOTED PROJECTS-Earlier Yr'!$O$2:$O$2598,'QUOTED PROJECTS-Earlier Yr'!$Q$2:$Q$2598,"WON",'QUOTED PROJECTS-Earlier Yr'!$K$2:$K$2598,"1250",'QUOTED PROJECTS-Earlier Yr'!$H$2:$H$2598,"MTU",'QUOTED PROJECTS-Earlier Yr'!$R$2:$R$2598,"JAN")+SUMIFS('QUOTED PROJECTS-Current Year'!$O$2:$O$2525,'QUOTED PROJECTS-Current Year'!$Q$2:$Q$2525,"WON",'QUOTED PROJECTS-Current Year'!$K$2:$K$2525,"1250",'QUOTED PROJECTS-Current Year'!$H$2:$H$2525,"MTU",'QUOTED PROJECTS-Current Year'!$R$2:$R$2525,"JAN")</f>
        <v>0</v>
      </c>
      <c r="V13" s="55"/>
      <c r="W13" s="141">
        <f>SUMIFS('QUOTED PROJECTS-Earlier Yr'!$O$2:$O$2598,'QUOTED PROJECTS-Earlier Yr'!$Q$2:$Q$2598,"WON",'QUOTED PROJECTS-Earlier Yr'!$K$2:$K$2598,"1250",'QUOTED PROJECTS-Earlier Yr'!$H$2:$H$2598,"MTU",'QUOTED PROJECTS-Earlier Yr'!$R$2:$R$2598,"FEB")+SUMIFS('QUOTED PROJECTS-Current Year'!$O$2:$O$2525,'QUOTED PROJECTS-Current Year'!$Q$2:$Q$2525,"WON",'QUOTED PROJECTS-Current Year'!$K$2:$K$2525,"1250",'QUOTED PROJECTS-Current Year'!$H$2:$H$2525,"MTU",'QUOTED PROJECTS-Current Year'!$R$2:$R$2525,"FEB")</f>
        <v>0</v>
      </c>
      <c r="X13" s="55"/>
      <c r="Y13" s="141">
        <f>SUMIFS('QUOTED PROJECTS-Earlier Yr'!$O$2:$O$2598,'QUOTED PROJECTS-Earlier Yr'!$Q$2:$Q$2598,"WON",'QUOTED PROJECTS-Earlier Yr'!$K$2:$K$2598,"1250",'QUOTED PROJECTS-Earlier Yr'!$H$2:$H$2598,"MTU",'QUOTED PROJECTS-Earlier Yr'!$R$2:$R$2598,"MAR")+SUMIFS('QUOTED PROJECTS-Current Year'!$O$2:$O$2525,'QUOTED PROJECTS-Current Year'!$Q$2:$Q$2525,"WON",'QUOTED PROJECTS-Current Year'!$K$2:$K$2525,"1250",'QUOTED PROJECTS-Current Year'!$H$2:$H$2525,"MTU",'QUOTED PROJECTS-Current Year'!$R$2:$R$2525,"MAR")</f>
        <v>0</v>
      </c>
      <c r="Z13" s="57">
        <f t="shared" si="0"/>
        <v>0</v>
      </c>
      <c r="AA13" s="37">
        <f t="shared" si="1"/>
        <v>0</v>
      </c>
    </row>
    <row r="14" spans="1:30">
      <c r="A14" s="19">
        <v>1500</v>
      </c>
      <c r="B14" s="55"/>
      <c r="C14" s="141">
        <f>SUMIFS('QUOTED PROJECTS-Earlier Yr'!$O$2:$O$2598,'QUOTED PROJECTS-Earlier Yr'!$Q$2:$Q$2598,"WON",'QUOTED PROJECTS-Earlier Yr'!$K$2:$K$2598,"1500",'QUOTED PROJECTS-Earlier Yr'!$H$2:$H$2598,"MTU",'QUOTED PROJECTS-Earlier Yr'!$R$2:$R$2598,"APR")+SUMIFS('QUOTED PROJECTS-Current Year'!$O$2:$O$2525,'QUOTED PROJECTS-Current Year'!$Q$2:$Q$2525,"WON",'QUOTED PROJECTS-Current Year'!$K$2:$K$2525,"1500",'QUOTED PROJECTS-Current Year'!$H$2:$H$2525,"MTU",'QUOTED PROJECTS-Current Year'!$R$2:$R$2525,"APR")</f>
        <v>0</v>
      </c>
      <c r="D14" s="55"/>
      <c r="E14" s="141">
        <f>SUMIFS('QUOTED PROJECTS-Earlier Yr'!$O$2:$O$2598,'QUOTED PROJECTS-Earlier Yr'!$Q$2:$Q$2598,"WON",'QUOTED PROJECTS-Earlier Yr'!$K$2:$K$2598,"1500",'QUOTED PROJECTS-Earlier Yr'!$H$2:$H$2598,"MTU",'QUOTED PROJECTS-Earlier Yr'!$R$2:$R$2598,"MAY")+SUMIFS('QUOTED PROJECTS-Current Year'!$O$2:$O$2525,'QUOTED PROJECTS-Current Year'!$Q$2:$Q$2525,"WON",'QUOTED PROJECTS-Current Year'!$K$2:$K$2525,"1500",'QUOTED PROJECTS-Current Year'!$H$2:$H$2525,"MTU",'QUOTED PROJECTS-Current Year'!$R$2:$R$2525,"MAY")</f>
        <v>0</v>
      </c>
      <c r="F14" s="55"/>
      <c r="G14" s="141">
        <f>SUMIFS('QUOTED PROJECTS-Earlier Yr'!$O$2:$O$2598,'QUOTED PROJECTS-Earlier Yr'!$Q$2:$Q$2598,"WON",'QUOTED PROJECTS-Earlier Yr'!$K$2:$K$2598,"1500",'QUOTED PROJECTS-Earlier Yr'!$H$2:$H$2598,"MTU",'QUOTED PROJECTS-Earlier Yr'!$R$2:$R$2598,"JUN")+SUMIFS('QUOTED PROJECTS-Current Year'!$O$2:$O$2525,'QUOTED PROJECTS-Current Year'!$Q$2:$Q$2525,"WON",'QUOTED PROJECTS-Current Year'!$K$2:$K$2525,"1500",'QUOTED PROJECTS-Current Year'!$H$2:$H$2525,"MTU",'QUOTED PROJECTS-Current Year'!$R$2:$R$2525,"JUN")</f>
        <v>0</v>
      </c>
      <c r="H14" s="55"/>
      <c r="I14" s="141">
        <f>SUMIFS('QUOTED PROJECTS-Earlier Yr'!$O$2:$O$2598,'QUOTED PROJECTS-Earlier Yr'!$Q$2:$Q$2598,"WON",'QUOTED PROJECTS-Earlier Yr'!$K$2:$K$2598,"1500",'QUOTED PROJECTS-Earlier Yr'!$H$2:$H$2598,"MTU",'QUOTED PROJECTS-Earlier Yr'!$R$2:$R$2598,"JUL")+SUMIFS('QUOTED PROJECTS-Current Year'!$O$2:$O$2525,'QUOTED PROJECTS-Current Year'!$Q$2:$Q$2525,"WON",'QUOTED PROJECTS-Current Year'!$K$2:$K$2525,"1500",'QUOTED PROJECTS-Current Year'!$H$2:$H$2525,"MTU",'QUOTED PROJECTS-Current Year'!$R$2:$R$2525,"JUL")</f>
        <v>0</v>
      </c>
      <c r="J14" s="55"/>
      <c r="K14" s="141">
        <f>SUMIFS('QUOTED PROJECTS-Earlier Yr'!$O$2:$O$2598,'QUOTED PROJECTS-Earlier Yr'!$Q$2:$Q$2598,"WON",'QUOTED PROJECTS-Earlier Yr'!$K$2:$K$2598,"1500",'QUOTED PROJECTS-Earlier Yr'!$H$2:$H$2598,"MTU",'QUOTED PROJECTS-Earlier Yr'!$R$2:$R$2598,"AUG")+SUMIFS('QUOTED PROJECTS-Current Year'!$O$2:$O$2525,'QUOTED PROJECTS-Current Year'!$Q$2:$Q$2525,"WON",'QUOTED PROJECTS-Current Year'!$K$2:$K$2525,"1500",'QUOTED PROJECTS-Current Year'!$H$2:$H$2525,"MTU",'QUOTED PROJECTS-Current Year'!$R$2:$R$2525,"AUG")</f>
        <v>0</v>
      </c>
      <c r="L14" s="55"/>
      <c r="M14" s="141">
        <f>SUMIFS('QUOTED PROJECTS-Earlier Yr'!$O$2:$O$2598,'QUOTED PROJECTS-Earlier Yr'!$Q$2:$Q$2598,"WON",'QUOTED PROJECTS-Earlier Yr'!$K$2:$K$2598,"1500",'QUOTED PROJECTS-Earlier Yr'!$H$2:$H$2598,"MTU",'QUOTED PROJECTS-Earlier Yr'!$R$2:$R$2598,"SEPT")+SUMIFS('QUOTED PROJECTS-Current Year'!$O$2:$O$2525,'QUOTED PROJECTS-Current Year'!$Q$2:$Q$2525,"WON",'QUOTED PROJECTS-Current Year'!$K$2:$K$2525,"1500",'QUOTED PROJECTS-Current Year'!$H$2:$H$2525,"MTU",'QUOTED PROJECTS-Current Year'!$R$2:$R$2525,"SEPT")</f>
        <v>0</v>
      </c>
      <c r="N14" s="55"/>
      <c r="O14" s="141">
        <f>SUMIFS('QUOTED PROJECTS-Earlier Yr'!$O$2:$O$2598,'QUOTED PROJECTS-Earlier Yr'!$Q$2:$Q$2598,"WON",'QUOTED PROJECTS-Earlier Yr'!$K$2:$K$2598,"1500",'QUOTED PROJECTS-Earlier Yr'!$H$2:$H$2598,"MTU",'QUOTED PROJECTS-Earlier Yr'!$R$2:$R$2598,"OCT")+SUMIFS('QUOTED PROJECTS-Current Year'!$O$2:$O$2525,'QUOTED PROJECTS-Current Year'!$Q$2:$Q$2525,"WON",'QUOTED PROJECTS-Current Year'!$K$2:$K$2525,"1500",'QUOTED PROJECTS-Current Year'!$H$2:$H$2525,"MTU",'QUOTED PROJECTS-Current Year'!$R$2:$R$2525,"OCT")</f>
        <v>0</v>
      </c>
      <c r="P14" s="55"/>
      <c r="Q14" s="141">
        <f>SUMIFS('QUOTED PROJECTS-Earlier Yr'!$O$2:$O$2598,'QUOTED PROJECTS-Earlier Yr'!$Q$2:$Q$2598,"WON",'QUOTED PROJECTS-Earlier Yr'!$K$2:$K$2598,"1500",'QUOTED PROJECTS-Earlier Yr'!$H$2:$H$2598,"MTU",'QUOTED PROJECTS-Earlier Yr'!$R$2:$R$2598,"NOV")+SUMIFS('QUOTED PROJECTS-Current Year'!$O$2:$O$2525,'QUOTED PROJECTS-Current Year'!$Q$2:$Q$2525,"WON",'QUOTED PROJECTS-Current Year'!$K$2:$K$2525,"1500",'QUOTED PROJECTS-Current Year'!$H$2:$H$2525,"MTU",'QUOTED PROJECTS-Current Year'!$R$2:$R$2525,"NOV")</f>
        <v>0</v>
      </c>
      <c r="R14" s="55"/>
      <c r="S14" s="141">
        <f>SUMIFS('QUOTED PROJECTS-Earlier Yr'!$O$2:$O$2598,'QUOTED PROJECTS-Earlier Yr'!$Q$2:$Q$2598,"WON",'QUOTED PROJECTS-Earlier Yr'!$K$2:$K$2598,"1500",'QUOTED PROJECTS-Earlier Yr'!$H$2:$H$2598,"MTU",'QUOTED PROJECTS-Earlier Yr'!$R$2:$R$2598,"DEC")+SUMIFS('QUOTED PROJECTS-Current Year'!$O$2:$O$2525,'QUOTED PROJECTS-Current Year'!$Q$2:$Q$2525,"WON",'QUOTED PROJECTS-Current Year'!$K$2:$K$2525,"1500",'QUOTED PROJECTS-Current Year'!$H$2:$H$2525,"MTU",'QUOTED PROJECTS-Current Year'!$R$2:$R$2525,"DEC")</f>
        <v>0</v>
      </c>
      <c r="T14" s="55"/>
      <c r="U14" s="141">
        <f>SUMIFS('QUOTED PROJECTS-Earlier Yr'!$O$2:$O$2598,'QUOTED PROJECTS-Earlier Yr'!$Q$2:$Q$2598,"WON",'QUOTED PROJECTS-Earlier Yr'!$K$2:$K$2598,"1500",'QUOTED PROJECTS-Earlier Yr'!$H$2:$H$2598,"MTU",'QUOTED PROJECTS-Earlier Yr'!$R$2:$R$2598,"JAN")+SUMIFS('QUOTED PROJECTS-Current Year'!$O$2:$O$2525,'QUOTED PROJECTS-Current Year'!$Q$2:$Q$2525,"WON",'QUOTED PROJECTS-Current Year'!$K$2:$K$2525,"1500",'QUOTED PROJECTS-Current Year'!$H$2:$H$2525,"MTU",'QUOTED PROJECTS-Current Year'!$R$2:$R$2525,"JAN")</f>
        <v>0</v>
      </c>
      <c r="V14" s="55"/>
      <c r="W14" s="141">
        <f>SUMIFS('QUOTED PROJECTS-Earlier Yr'!$O$2:$O$2598,'QUOTED PROJECTS-Earlier Yr'!$Q$2:$Q$2598,"WON",'QUOTED PROJECTS-Earlier Yr'!$K$2:$K$2598,"1500",'QUOTED PROJECTS-Earlier Yr'!$H$2:$H$2598,"MTU",'QUOTED PROJECTS-Earlier Yr'!$R$2:$R$2598,"FEB")+SUMIFS('QUOTED PROJECTS-Current Year'!$O$2:$O$2525,'QUOTED PROJECTS-Current Year'!$Q$2:$Q$2525,"WON",'QUOTED PROJECTS-Current Year'!$K$2:$K$2525,"1500",'QUOTED PROJECTS-Current Year'!$H$2:$H$2525,"MTU",'QUOTED PROJECTS-Current Year'!$R$2:$R$2525,"FEB")</f>
        <v>0</v>
      </c>
      <c r="X14" s="55"/>
      <c r="Y14" s="141">
        <f>SUMIFS('QUOTED PROJECTS-Earlier Yr'!$O$2:$O$2598,'QUOTED PROJECTS-Earlier Yr'!$Q$2:$Q$2598,"WON",'QUOTED PROJECTS-Earlier Yr'!$K$2:$K$2598,"1500",'QUOTED PROJECTS-Earlier Yr'!$H$2:$H$2598,"MTU",'QUOTED PROJECTS-Earlier Yr'!$R$2:$R$2598,"MAR")+SUMIFS('QUOTED PROJECTS-Current Year'!$O$2:$O$2525,'QUOTED PROJECTS-Current Year'!$Q$2:$Q$2525,"WON",'QUOTED PROJECTS-Current Year'!$K$2:$K$2525,"1500",'QUOTED PROJECTS-Current Year'!$H$2:$H$2525,"MTU",'QUOTED PROJECTS-Current Year'!$R$2:$R$2525,"MAR")</f>
        <v>0</v>
      </c>
      <c r="Z14" s="57">
        <f t="shared" si="0"/>
        <v>0</v>
      </c>
      <c r="AA14" s="37">
        <f t="shared" si="1"/>
        <v>0</v>
      </c>
    </row>
    <row r="15" spans="1:30">
      <c r="A15" s="19">
        <v>1850</v>
      </c>
      <c r="B15" s="55"/>
      <c r="C15" s="141">
        <f>SUMIFS('QUOTED PROJECTS-Earlier Yr'!$O$2:$O$2598,'QUOTED PROJECTS-Earlier Yr'!$Q$2:$Q$2598,"WON",'QUOTED PROJECTS-Earlier Yr'!$K$2:$K$2598,"1850",'QUOTED PROJECTS-Earlier Yr'!$H$2:$H$2598,"MTU",'QUOTED PROJECTS-Earlier Yr'!$R$2:$R$2598,"APR")+SUMIFS('QUOTED PROJECTS-Current Year'!$O$2:$O$2525,'QUOTED PROJECTS-Current Year'!$Q$2:$Q$2525,"WON",'QUOTED PROJECTS-Current Year'!$K$2:$K$2525,"1850",'QUOTED PROJECTS-Current Year'!$H$2:$H$2525,"MTU",'QUOTED PROJECTS-Current Year'!$R$2:$R$2525,"APR")</f>
        <v>0</v>
      </c>
      <c r="D15" s="55"/>
      <c r="E15" s="141">
        <f>SUMIFS('QUOTED PROJECTS-Earlier Yr'!$O$2:$O$2598,'QUOTED PROJECTS-Earlier Yr'!$Q$2:$Q$2598,"WON",'QUOTED PROJECTS-Earlier Yr'!$K$2:$K$2598,"1850",'QUOTED PROJECTS-Earlier Yr'!$H$2:$H$2598,"MTU",'QUOTED PROJECTS-Earlier Yr'!$R$2:$R$2598,"MAY")+SUMIFS('QUOTED PROJECTS-Current Year'!$O$2:$O$2525,'QUOTED PROJECTS-Current Year'!$Q$2:$Q$2525,"WON",'QUOTED PROJECTS-Current Year'!$K$2:$K$2525,"1850",'QUOTED PROJECTS-Current Year'!$H$2:$H$2525,"MTU",'QUOTED PROJECTS-Current Year'!$R$2:$R$2525,"MAY")</f>
        <v>0</v>
      </c>
      <c r="F15" s="55"/>
      <c r="G15" s="141">
        <f>SUMIFS('QUOTED PROJECTS-Earlier Yr'!$O$2:$O$2598,'QUOTED PROJECTS-Earlier Yr'!$Q$2:$Q$2598,"WON",'QUOTED PROJECTS-Earlier Yr'!$K$2:$K$2598,"1850",'QUOTED PROJECTS-Earlier Yr'!$H$2:$H$2598,"MTU",'QUOTED PROJECTS-Earlier Yr'!$R$2:$R$2598,"JUN")+SUMIFS('QUOTED PROJECTS-Current Year'!$O$2:$O$2525,'QUOTED PROJECTS-Current Year'!$Q$2:$Q$2525,"WON",'QUOTED PROJECTS-Current Year'!$K$2:$K$2525,"1850",'QUOTED PROJECTS-Current Year'!$H$2:$H$2525,"MTU",'QUOTED PROJECTS-Current Year'!$R$2:$R$2525,"JUN")</f>
        <v>0</v>
      </c>
      <c r="H15" s="55"/>
      <c r="I15" s="141">
        <f>SUMIFS('QUOTED PROJECTS-Earlier Yr'!$O$2:$O$2598,'QUOTED PROJECTS-Earlier Yr'!$Q$2:$Q$2598,"WON",'QUOTED PROJECTS-Earlier Yr'!$K$2:$K$2598,"1850",'QUOTED PROJECTS-Earlier Yr'!$H$2:$H$2598,"MTU",'QUOTED PROJECTS-Earlier Yr'!$R$2:$R$2598,"JUL")+SUMIFS('QUOTED PROJECTS-Current Year'!$O$2:$O$2525,'QUOTED PROJECTS-Current Year'!$Q$2:$Q$2525,"WON",'QUOTED PROJECTS-Current Year'!$K$2:$K$2525,"1850",'QUOTED PROJECTS-Current Year'!$H$2:$H$2525,"MTU",'QUOTED PROJECTS-Current Year'!$R$2:$R$2525,"JUL")</f>
        <v>0</v>
      </c>
      <c r="J15" s="55"/>
      <c r="K15" s="141">
        <f>SUMIFS('QUOTED PROJECTS-Earlier Yr'!$O$2:$O$2598,'QUOTED PROJECTS-Earlier Yr'!$Q$2:$Q$2598,"WON",'QUOTED PROJECTS-Earlier Yr'!$K$2:$K$2598,"1850",'QUOTED PROJECTS-Earlier Yr'!$H$2:$H$2598,"MTU",'QUOTED PROJECTS-Earlier Yr'!$R$2:$R$2598,"AUG")+SUMIFS('QUOTED PROJECTS-Current Year'!$O$2:$O$2525,'QUOTED PROJECTS-Current Year'!$Q$2:$Q$2525,"WON",'QUOTED PROJECTS-Current Year'!$K$2:$K$2525,"1850",'QUOTED PROJECTS-Current Year'!$H$2:$H$2525,"MTU",'QUOTED PROJECTS-Current Year'!$R$2:$R$2525,"AUG")</f>
        <v>0</v>
      </c>
      <c r="L15" s="55"/>
      <c r="M15" s="141">
        <f>SUMIFS('QUOTED PROJECTS-Earlier Yr'!$O$2:$O$2598,'QUOTED PROJECTS-Earlier Yr'!$Q$2:$Q$2598,"WON",'QUOTED PROJECTS-Earlier Yr'!$K$2:$K$2598,"1850",'QUOTED PROJECTS-Earlier Yr'!$H$2:$H$2598,"MTU",'QUOTED PROJECTS-Earlier Yr'!$R$2:$R$2598,"SEPT")+SUMIFS('QUOTED PROJECTS-Current Year'!$O$2:$O$2525,'QUOTED PROJECTS-Current Year'!$Q$2:$Q$2525,"WON",'QUOTED PROJECTS-Current Year'!$K$2:$K$2525,"1850",'QUOTED PROJECTS-Current Year'!$H$2:$H$2525,"MTU",'QUOTED PROJECTS-Current Year'!$R$2:$R$2525,"SEPT")</f>
        <v>0</v>
      </c>
      <c r="N15" s="55"/>
      <c r="O15" s="141">
        <f>SUMIFS('QUOTED PROJECTS-Earlier Yr'!$O$2:$O$2598,'QUOTED PROJECTS-Earlier Yr'!$Q$2:$Q$2598,"WON",'QUOTED PROJECTS-Earlier Yr'!$K$2:$K$2598,"1850",'QUOTED PROJECTS-Earlier Yr'!$H$2:$H$2598,"MTU",'QUOTED PROJECTS-Earlier Yr'!$R$2:$R$2598,"OCT")+SUMIFS('QUOTED PROJECTS-Current Year'!$O$2:$O$2525,'QUOTED PROJECTS-Current Year'!$Q$2:$Q$2525,"WON",'QUOTED PROJECTS-Current Year'!$K$2:$K$2525,"1850",'QUOTED PROJECTS-Current Year'!$H$2:$H$2525,"MTU",'QUOTED PROJECTS-Current Year'!$R$2:$R$2525,"OCT")</f>
        <v>0</v>
      </c>
      <c r="P15" s="55"/>
      <c r="Q15" s="141">
        <f>SUMIFS('QUOTED PROJECTS-Earlier Yr'!$O$2:$O$2598,'QUOTED PROJECTS-Earlier Yr'!$Q$2:$Q$2598,"WON",'QUOTED PROJECTS-Earlier Yr'!$K$2:$K$2598,"1850",'QUOTED PROJECTS-Earlier Yr'!$H$2:$H$2598,"MTU",'QUOTED PROJECTS-Earlier Yr'!$R$2:$R$2598,"NOV")+SUMIFS('QUOTED PROJECTS-Current Year'!$O$2:$O$2525,'QUOTED PROJECTS-Current Year'!$Q$2:$Q$2525,"WON",'QUOTED PROJECTS-Current Year'!$K$2:$K$2525,"1850",'QUOTED PROJECTS-Current Year'!$H$2:$H$2525,"MTU",'QUOTED PROJECTS-Current Year'!$R$2:$R$2525,"NOV")</f>
        <v>0</v>
      </c>
      <c r="R15" s="55"/>
      <c r="S15" s="141">
        <f>SUMIFS('QUOTED PROJECTS-Earlier Yr'!$O$2:$O$2598,'QUOTED PROJECTS-Earlier Yr'!$Q$2:$Q$2598,"WON",'QUOTED PROJECTS-Earlier Yr'!$K$2:$K$2598,"1850",'QUOTED PROJECTS-Earlier Yr'!$H$2:$H$2598,"MTU",'QUOTED PROJECTS-Earlier Yr'!$R$2:$R$2598,"DEC")+SUMIFS('QUOTED PROJECTS-Current Year'!$O$2:$O$2525,'QUOTED PROJECTS-Current Year'!$Q$2:$Q$2525,"WON",'QUOTED PROJECTS-Current Year'!$K$2:$K$2525,"1850",'QUOTED PROJECTS-Current Year'!$H$2:$H$2525,"MTU",'QUOTED PROJECTS-Current Year'!$R$2:$R$2525,"DEC")</f>
        <v>0</v>
      </c>
      <c r="T15" s="55"/>
      <c r="U15" s="141">
        <f>SUMIFS('QUOTED PROJECTS-Earlier Yr'!$O$2:$O$2598,'QUOTED PROJECTS-Earlier Yr'!$Q$2:$Q$2598,"WON",'QUOTED PROJECTS-Earlier Yr'!$K$2:$K$2598,"1850",'QUOTED PROJECTS-Earlier Yr'!$H$2:$H$2598,"MTU",'QUOTED PROJECTS-Earlier Yr'!$R$2:$R$2598,"JAN")+SUMIFS('QUOTED PROJECTS-Current Year'!$O$2:$O$2525,'QUOTED PROJECTS-Current Year'!$Q$2:$Q$2525,"WON",'QUOTED PROJECTS-Current Year'!$K$2:$K$2525,"1850",'QUOTED PROJECTS-Current Year'!$H$2:$H$2525,"MTU",'QUOTED PROJECTS-Current Year'!$R$2:$R$2525,"JAN")</f>
        <v>0</v>
      </c>
      <c r="V15" s="55"/>
      <c r="W15" s="141">
        <f>SUMIFS('QUOTED PROJECTS-Earlier Yr'!$O$2:$O$2598,'QUOTED PROJECTS-Earlier Yr'!$Q$2:$Q$2598,"WON",'QUOTED PROJECTS-Earlier Yr'!$K$2:$K$2598,"1850",'QUOTED PROJECTS-Earlier Yr'!$H$2:$H$2598,"MTU",'QUOTED PROJECTS-Earlier Yr'!$R$2:$R$2598,"FEB")+SUMIFS('QUOTED PROJECTS-Current Year'!$O$2:$O$2525,'QUOTED PROJECTS-Current Year'!$Q$2:$Q$2525,"WON",'QUOTED PROJECTS-Current Year'!$K$2:$K$2525,"1850",'QUOTED PROJECTS-Current Year'!$H$2:$H$2525,"MTU",'QUOTED PROJECTS-Current Year'!$R$2:$R$2525,"FEB")</f>
        <v>0</v>
      </c>
      <c r="X15" s="55"/>
      <c r="Y15" s="141">
        <f>SUMIFS('QUOTED PROJECTS-Earlier Yr'!$O$2:$O$2598,'QUOTED PROJECTS-Earlier Yr'!$Q$2:$Q$2598,"WON",'QUOTED PROJECTS-Earlier Yr'!$K$2:$K$2598,"1850",'QUOTED PROJECTS-Earlier Yr'!$H$2:$H$2598,"MTU",'QUOTED PROJECTS-Earlier Yr'!$R$2:$R$2598,"MAR")+SUMIFS('QUOTED PROJECTS-Current Year'!$O$2:$O$2525,'QUOTED PROJECTS-Current Year'!$Q$2:$Q$2525,"WON",'QUOTED PROJECTS-Current Year'!$K$2:$K$2525,"1850",'QUOTED PROJECTS-Current Year'!$H$2:$H$2525,"MTU",'QUOTED PROJECTS-Current Year'!$R$2:$R$2525,"MAR")</f>
        <v>0</v>
      </c>
      <c r="Z15" s="57">
        <f t="shared" si="0"/>
        <v>0</v>
      </c>
      <c r="AA15" s="37">
        <f t="shared" si="1"/>
        <v>0</v>
      </c>
    </row>
    <row r="16" spans="1:30">
      <c r="A16" s="19">
        <v>2000</v>
      </c>
      <c r="B16" s="55"/>
      <c r="C16" s="141">
        <f>SUMIFS('QUOTED PROJECTS-Earlier Yr'!$O$2:$O$2598,'QUOTED PROJECTS-Earlier Yr'!$Q$2:$Q$2598,"WON",'QUOTED PROJECTS-Earlier Yr'!$K$2:$K$2598,"2000",'QUOTED PROJECTS-Earlier Yr'!$H$2:$H$2598,"MTU",'QUOTED PROJECTS-Earlier Yr'!$R$2:$R$2598,"APR")+SUMIFS('QUOTED PROJECTS-Current Year'!$O$2:$O$2525,'QUOTED PROJECTS-Current Year'!$Q$2:$Q$2525,"WON",'QUOTED PROJECTS-Current Year'!$K$2:$K$2525,"2000",'QUOTED PROJECTS-Current Year'!$H$2:$H$2525,"MTU",'QUOTED PROJECTS-Current Year'!$R$2:$R$2525,"APR")</f>
        <v>0</v>
      </c>
      <c r="D16" s="55"/>
      <c r="E16" s="141">
        <f>SUMIFS('QUOTED PROJECTS-Earlier Yr'!$O$2:$O$2598,'QUOTED PROJECTS-Earlier Yr'!$Q$2:$Q$2598,"WON",'QUOTED PROJECTS-Earlier Yr'!$K$2:$K$2598,"2000",'QUOTED PROJECTS-Earlier Yr'!$H$2:$H$2598,"MTU",'QUOTED PROJECTS-Earlier Yr'!$R$2:$R$2598,"MAY")+SUMIFS('QUOTED PROJECTS-Current Year'!$O$2:$O$2525,'QUOTED PROJECTS-Current Year'!$Q$2:$Q$2525,"WON",'QUOTED PROJECTS-Current Year'!$K$2:$K$2525,"2000",'QUOTED PROJECTS-Current Year'!$H$2:$H$2525,"MTU",'QUOTED PROJECTS-Current Year'!$R$2:$R$2525,"MAY")</f>
        <v>0</v>
      </c>
      <c r="F16" s="55"/>
      <c r="G16" s="141">
        <f>SUMIFS('QUOTED PROJECTS-Earlier Yr'!$O$2:$O$2598,'QUOTED PROJECTS-Earlier Yr'!$Q$2:$Q$2598,"WON",'QUOTED PROJECTS-Earlier Yr'!$K$2:$K$2598,"2000",'QUOTED PROJECTS-Earlier Yr'!$H$2:$H$2598,"MTU",'QUOTED PROJECTS-Earlier Yr'!$R$2:$R$2598,"JUN")+SUMIFS('QUOTED PROJECTS-Current Year'!$O$2:$O$2525,'QUOTED PROJECTS-Current Year'!$Q$2:$Q$2525,"WON",'QUOTED PROJECTS-Current Year'!$K$2:$K$2525,"2000",'QUOTED PROJECTS-Current Year'!$H$2:$H$2525,"MTU",'QUOTED PROJECTS-Current Year'!$R$2:$R$2525,"JUN")</f>
        <v>0</v>
      </c>
      <c r="H16" s="55"/>
      <c r="I16" s="141">
        <f>SUMIFS('QUOTED PROJECTS-Earlier Yr'!$O$2:$O$2598,'QUOTED PROJECTS-Earlier Yr'!$Q$2:$Q$2598,"WON",'QUOTED PROJECTS-Earlier Yr'!$K$2:$K$2598,"2000",'QUOTED PROJECTS-Earlier Yr'!$H$2:$H$2598,"MTU",'QUOTED PROJECTS-Earlier Yr'!$R$2:$R$2598,"JUL")+SUMIFS('QUOTED PROJECTS-Current Year'!$O$2:$O$2525,'QUOTED PROJECTS-Current Year'!$Q$2:$Q$2525,"WON",'QUOTED PROJECTS-Current Year'!$K$2:$K$2525,"2000",'QUOTED PROJECTS-Current Year'!$H$2:$H$2525,"MTU",'QUOTED PROJECTS-Current Year'!$R$2:$R$2525,"JUL")</f>
        <v>0</v>
      </c>
      <c r="J16" s="55"/>
      <c r="K16" s="141">
        <f>SUMIFS('QUOTED PROJECTS-Earlier Yr'!$O$2:$O$2598,'QUOTED PROJECTS-Earlier Yr'!$Q$2:$Q$2598,"WON",'QUOTED PROJECTS-Earlier Yr'!$K$2:$K$2598,"2000",'QUOTED PROJECTS-Earlier Yr'!$H$2:$H$2598,"MTU",'QUOTED PROJECTS-Earlier Yr'!$R$2:$R$2598,"AUG")+SUMIFS('QUOTED PROJECTS-Current Year'!$O$2:$O$2525,'QUOTED PROJECTS-Current Year'!$Q$2:$Q$2525,"WON",'QUOTED PROJECTS-Current Year'!$K$2:$K$2525,"2000",'QUOTED PROJECTS-Current Year'!$H$2:$H$2525,"MTU",'QUOTED PROJECTS-Current Year'!$R$2:$R$2525,"AUG")</f>
        <v>0</v>
      </c>
      <c r="L16" s="55"/>
      <c r="M16" s="141">
        <f>SUMIFS('QUOTED PROJECTS-Earlier Yr'!$O$2:$O$2598,'QUOTED PROJECTS-Earlier Yr'!$Q$2:$Q$2598,"WON",'QUOTED PROJECTS-Earlier Yr'!$K$2:$K$2598,"2000",'QUOTED PROJECTS-Earlier Yr'!$H$2:$H$2598,"MTU",'QUOTED PROJECTS-Earlier Yr'!$R$2:$R$2598,"SEPT")+SUMIFS('QUOTED PROJECTS-Current Year'!$O$2:$O$2525,'QUOTED PROJECTS-Current Year'!$Q$2:$Q$2525,"WON",'QUOTED PROJECTS-Current Year'!$K$2:$K$2525,"2000",'QUOTED PROJECTS-Current Year'!$H$2:$H$2525,"MTU",'QUOTED PROJECTS-Current Year'!$R$2:$R$2525,"SEPT")</f>
        <v>0</v>
      </c>
      <c r="N16" s="55"/>
      <c r="O16" s="141">
        <f>SUMIFS('QUOTED PROJECTS-Earlier Yr'!$O$2:$O$2598,'QUOTED PROJECTS-Earlier Yr'!$Q$2:$Q$2598,"WON",'QUOTED PROJECTS-Earlier Yr'!$K$2:$K$2598,"2000",'QUOTED PROJECTS-Earlier Yr'!$H$2:$H$2598,"MTU",'QUOTED PROJECTS-Earlier Yr'!$R$2:$R$2598,"OCT")+SUMIFS('QUOTED PROJECTS-Current Year'!$O$2:$O$2525,'QUOTED PROJECTS-Current Year'!$Q$2:$Q$2525,"WON",'QUOTED PROJECTS-Current Year'!$K$2:$K$2525,"2000",'QUOTED PROJECTS-Current Year'!$H$2:$H$2525,"MTU",'QUOTED PROJECTS-Current Year'!$R$2:$R$2525,"OCT")</f>
        <v>0</v>
      </c>
      <c r="P16" s="55"/>
      <c r="Q16" s="141">
        <f>SUMIFS('QUOTED PROJECTS-Earlier Yr'!$O$2:$O$2598,'QUOTED PROJECTS-Earlier Yr'!$Q$2:$Q$2598,"WON",'QUOTED PROJECTS-Earlier Yr'!$K$2:$K$2598,"2000",'QUOTED PROJECTS-Earlier Yr'!$H$2:$H$2598,"MTU",'QUOTED PROJECTS-Earlier Yr'!$R$2:$R$2598,"NOV")+SUMIFS('QUOTED PROJECTS-Current Year'!$O$2:$O$2525,'QUOTED PROJECTS-Current Year'!$Q$2:$Q$2525,"WON",'QUOTED PROJECTS-Current Year'!$K$2:$K$2525,"2000",'QUOTED PROJECTS-Current Year'!$H$2:$H$2525,"MTU",'QUOTED PROJECTS-Current Year'!$R$2:$R$2525,"NOV")</f>
        <v>0</v>
      </c>
      <c r="R16" s="55"/>
      <c r="S16" s="141">
        <f>SUMIFS('QUOTED PROJECTS-Earlier Yr'!$O$2:$O$2598,'QUOTED PROJECTS-Earlier Yr'!$Q$2:$Q$2598,"WON",'QUOTED PROJECTS-Earlier Yr'!$K$2:$K$2598,"2000",'QUOTED PROJECTS-Earlier Yr'!$H$2:$H$2598,"MTU",'QUOTED PROJECTS-Earlier Yr'!$R$2:$R$2598,"DEC")+SUMIFS('QUOTED PROJECTS-Current Year'!$O$2:$O$2525,'QUOTED PROJECTS-Current Year'!$Q$2:$Q$2525,"WON",'QUOTED PROJECTS-Current Year'!$K$2:$K$2525,"2000",'QUOTED PROJECTS-Current Year'!$H$2:$H$2525,"MTU",'QUOTED PROJECTS-Current Year'!$R$2:$R$2525,"DEC")</f>
        <v>0</v>
      </c>
      <c r="T16" s="55"/>
      <c r="U16" s="141">
        <f>SUMIFS('QUOTED PROJECTS-Earlier Yr'!$O$2:$O$2598,'QUOTED PROJECTS-Earlier Yr'!$Q$2:$Q$2598,"WON",'QUOTED PROJECTS-Earlier Yr'!$K$2:$K$2598,"2000",'QUOTED PROJECTS-Earlier Yr'!$H$2:$H$2598,"MTU",'QUOTED PROJECTS-Earlier Yr'!$R$2:$R$2598,"JAN")+SUMIFS('QUOTED PROJECTS-Current Year'!$O$2:$O$2525,'QUOTED PROJECTS-Current Year'!$Q$2:$Q$2525,"WON",'QUOTED PROJECTS-Current Year'!$K$2:$K$2525,"2000",'QUOTED PROJECTS-Current Year'!$H$2:$H$2525,"MTU",'QUOTED PROJECTS-Current Year'!$R$2:$R$2525,"JAN")</f>
        <v>0</v>
      </c>
      <c r="V16" s="55"/>
      <c r="W16" s="141">
        <f>SUMIFS('QUOTED PROJECTS-Earlier Yr'!$O$2:$O$2598,'QUOTED PROJECTS-Earlier Yr'!$Q$2:$Q$2598,"WON",'QUOTED PROJECTS-Earlier Yr'!$K$2:$K$2598,"2000",'QUOTED PROJECTS-Earlier Yr'!$H$2:$H$2598,"MTU",'QUOTED PROJECTS-Earlier Yr'!$R$2:$R$2598,"FEB")+SUMIFS('QUOTED PROJECTS-Current Year'!$O$2:$O$2525,'QUOTED PROJECTS-Current Year'!$Q$2:$Q$2525,"WON",'QUOTED PROJECTS-Current Year'!$K$2:$K$2525,"2000",'QUOTED PROJECTS-Current Year'!$H$2:$H$2525,"MTU",'QUOTED PROJECTS-Current Year'!$R$2:$R$2525,"FEB")</f>
        <v>0</v>
      </c>
      <c r="X16" s="55"/>
      <c r="Y16" s="141">
        <f>SUMIFS('QUOTED PROJECTS-Earlier Yr'!$O$2:$O$2598,'QUOTED PROJECTS-Earlier Yr'!$Q$2:$Q$2598,"WON",'QUOTED PROJECTS-Earlier Yr'!$K$2:$K$2598,"2000",'QUOTED PROJECTS-Earlier Yr'!$H$2:$H$2598,"MTU",'QUOTED PROJECTS-Earlier Yr'!$R$2:$R$2598,"MAR")+SUMIFS('QUOTED PROJECTS-Current Year'!$O$2:$O$2525,'QUOTED PROJECTS-Current Year'!$Q$2:$Q$2525,"WON",'QUOTED PROJECTS-Current Year'!$K$2:$K$2525,"2000",'QUOTED PROJECTS-Current Year'!$H$2:$H$2525,"MTU",'QUOTED PROJECTS-Current Year'!$R$2:$R$2525,"MAR")</f>
        <v>0</v>
      </c>
      <c r="Z16" s="57">
        <f t="shared" si="0"/>
        <v>0</v>
      </c>
      <c r="AA16" s="37">
        <f t="shared" si="1"/>
        <v>0</v>
      </c>
    </row>
    <row r="17" spans="1:27">
      <c r="A17" s="19">
        <v>2250</v>
      </c>
      <c r="B17" s="55"/>
      <c r="C17" s="141">
        <f>SUMIFS('QUOTED PROJECTS-Earlier Yr'!$O$2:$O$2598,'QUOTED PROJECTS-Earlier Yr'!$Q$2:$Q$2598,"WON",'QUOTED PROJECTS-Earlier Yr'!$K$2:$K$2598,"2250",'QUOTED PROJECTS-Earlier Yr'!$H$2:$H$2598,"MTU",'QUOTED PROJECTS-Earlier Yr'!$R$2:$R$2598,"APR")+SUMIFS('QUOTED PROJECTS-Current Year'!$O$2:$O$2525,'QUOTED PROJECTS-Current Year'!$Q$2:$Q$2525,"WON",'QUOTED PROJECTS-Current Year'!$K$2:$K$2525,"2250",'QUOTED PROJECTS-Current Year'!$H$2:$H$2525,"MTU",'QUOTED PROJECTS-Current Year'!$R$2:$R$2525,"APR")</f>
        <v>0</v>
      </c>
      <c r="D17" s="55"/>
      <c r="E17" s="141">
        <f>SUMIFS('QUOTED PROJECTS-Earlier Yr'!$O$2:$O$2598,'QUOTED PROJECTS-Earlier Yr'!$Q$2:$Q$2598,"WON",'QUOTED PROJECTS-Earlier Yr'!$K$2:$K$2598,"2250",'QUOTED PROJECTS-Earlier Yr'!$H$2:$H$2598,"MTU",'QUOTED PROJECTS-Earlier Yr'!$R$2:$R$2598,"MAY")+SUMIFS('QUOTED PROJECTS-Current Year'!$O$2:$O$2525,'QUOTED PROJECTS-Current Year'!$Q$2:$Q$2525,"WON",'QUOTED PROJECTS-Current Year'!$K$2:$K$2525,"2250",'QUOTED PROJECTS-Current Year'!$H$2:$H$2525,"MTU",'QUOTED PROJECTS-Current Year'!$R$2:$R$2525,"MAY")</f>
        <v>0</v>
      </c>
      <c r="F17" s="55"/>
      <c r="G17" s="141">
        <f>SUMIFS('QUOTED PROJECTS-Earlier Yr'!$O$2:$O$2598,'QUOTED PROJECTS-Earlier Yr'!$Q$2:$Q$2598,"WON",'QUOTED PROJECTS-Earlier Yr'!$K$2:$K$2598,"2250",'QUOTED PROJECTS-Earlier Yr'!$H$2:$H$2598,"MTU",'QUOTED PROJECTS-Earlier Yr'!$R$2:$R$2598,"JUN")+SUMIFS('QUOTED PROJECTS-Current Year'!$O$2:$O$2525,'QUOTED PROJECTS-Current Year'!$Q$2:$Q$2525,"WON",'QUOTED PROJECTS-Current Year'!$K$2:$K$2525,"2250",'QUOTED PROJECTS-Current Year'!$H$2:$H$2525,"MTU",'QUOTED PROJECTS-Current Year'!$R$2:$R$2525,"JUN")</f>
        <v>0</v>
      </c>
      <c r="H17" s="55"/>
      <c r="I17" s="141">
        <f>SUMIFS('QUOTED PROJECTS-Earlier Yr'!$O$2:$O$2598,'QUOTED PROJECTS-Earlier Yr'!$Q$2:$Q$2598,"WON",'QUOTED PROJECTS-Earlier Yr'!$K$2:$K$2598,"2250",'QUOTED PROJECTS-Earlier Yr'!$H$2:$H$2598,"MTU",'QUOTED PROJECTS-Earlier Yr'!$R$2:$R$2598,"JUL")+SUMIFS('QUOTED PROJECTS-Current Year'!$O$2:$O$2525,'QUOTED PROJECTS-Current Year'!$Q$2:$Q$2525,"WON",'QUOTED PROJECTS-Current Year'!$K$2:$K$2525,"2250",'QUOTED PROJECTS-Current Year'!$H$2:$H$2525,"MTU",'QUOTED PROJECTS-Current Year'!$R$2:$R$2525,"JUL")</f>
        <v>0</v>
      </c>
      <c r="J17" s="55"/>
      <c r="K17" s="141">
        <f>SUMIFS('QUOTED PROJECTS-Earlier Yr'!$O$2:$O$2598,'QUOTED PROJECTS-Earlier Yr'!$Q$2:$Q$2598,"WON",'QUOTED PROJECTS-Earlier Yr'!$K$2:$K$2598,"2250",'QUOTED PROJECTS-Earlier Yr'!$H$2:$H$2598,"MTU",'QUOTED PROJECTS-Earlier Yr'!$R$2:$R$2598,"AUG")+SUMIFS('QUOTED PROJECTS-Current Year'!$O$2:$O$2525,'QUOTED PROJECTS-Current Year'!$Q$2:$Q$2525,"WON",'QUOTED PROJECTS-Current Year'!$K$2:$K$2525,"2250",'QUOTED PROJECTS-Current Year'!$H$2:$H$2525,"MTU",'QUOTED PROJECTS-Current Year'!$R$2:$R$2525,"AUG")</f>
        <v>0</v>
      </c>
      <c r="L17" s="55"/>
      <c r="M17" s="141">
        <f>SUMIFS('QUOTED PROJECTS-Earlier Yr'!$O$2:$O$2598,'QUOTED PROJECTS-Earlier Yr'!$Q$2:$Q$2598,"WON",'QUOTED PROJECTS-Earlier Yr'!$K$2:$K$2598,"2250",'QUOTED PROJECTS-Earlier Yr'!$H$2:$H$2598,"MTU",'QUOTED PROJECTS-Earlier Yr'!$R$2:$R$2598,"SEPT")+SUMIFS('QUOTED PROJECTS-Current Year'!$O$2:$O$2525,'QUOTED PROJECTS-Current Year'!$Q$2:$Q$2525,"WON",'QUOTED PROJECTS-Current Year'!$K$2:$K$2525,"2250",'QUOTED PROJECTS-Current Year'!$H$2:$H$2525,"MTU",'QUOTED PROJECTS-Current Year'!$R$2:$R$2525,"SEPT")</f>
        <v>0</v>
      </c>
      <c r="N17" s="55"/>
      <c r="O17" s="141">
        <f>SUMIFS('QUOTED PROJECTS-Earlier Yr'!$O$2:$O$2598,'QUOTED PROJECTS-Earlier Yr'!$Q$2:$Q$2598,"WON",'QUOTED PROJECTS-Earlier Yr'!$K$2:$K$2598,"2250",'QUOTED PROJECTS-Earlier Yr'!$H$2:$H$2598,"MTU",'QUOTED PROJECTS-Earlier Yr'!$R$2:$R$2598,"OCT")+SUMIFS('QUOTED PROJECTS-Current Year'!$O$2:$O$2525,'QUOTED PROJECTS-Current Year'!$Q$2:$Q$2525,"WON",'QUOTED PROJECTS-Current Year'!$K$2:$K$2525,"2250",'QUOTED PROJECTS-Current Year'!$H$2:$H$2525,"MTU",'QUOTED PROJECTS-Current Year'!$R$2:$R$2525,"OCT")</f>
        <v>0</v>
      </c>
      <c r="P17" s="55"/>
      <c r="Q17" s="141">
        <f>SUMIFS('QUOTED PROJECTS-Earlier Yr'!$O$2:$O$2598,'QUOTED PROJECTS-Earlier Yr'!$Q$2:$Q$2598,"WON",'QUOTED PROJECTS-Earlier Yr'!$K$2:$K$2598,"2250",'QUOTED PROJECTS-Earlier Yr'!$H$2:$H$2598,"MTU",'QUOTED PROJECTS-Earlier Yr'!$R$2:$R$2598,"NOV")+SUMIFS('QUOTED PROJECTS-Current Year'!$O$2:$O$2525,'QUOTED PROJECTS-Current Year'!$Q$2:$Q$2525,"WON",'QUOTED PROJECTS-Current Year'!$K$2:$K$2525,"2250",'QUOTED PROJECTS-Current Year'!$H$2:$H$2525,"MTU",'QUOTED PROJECTS-Current Year'!$R$2:$R$2525,"NOV")</f>
        <v>0</v>
      </c>
      <c r="R17" s="55"/>
      <c r="S17" s="141">
        <f>SUMIFS('QUOTED PROJECTS-Earlier Yr'!$O$2:$O$2598,'QUOTED PROJECTS-Earlier Yr'!$Q$2:$Q$2598,"WON",'QUOTED PROJECTS-Earlier Yr'!$K$2:$K$2598,"2250",'QUOTED PROJECTS-Earlier Yr'!$H$2:$H$2598,"MTU",'QUOTED PROJECTS-Earlier Yr'!$R$2:$R$2598,"DEC")+SUMIFS('QUOTED PROJECTS-Current Year'!$O$2:$O$2525,'QUOTED PROJECTS-Current Year'!$Q$2:$Q$2525,"WON",'QUOTED PROJECTS-Current Year'!$K$2:$K$2525,"2250",'QUOTED PROJECTS-Current Year'!$H$2:$H$2525,"MTU",'QUOTED PROJECTS-Current Year'!$R$2:$R$2525,"DEC")</f>
        <v>0</v>
      </c>
      <c r="T17" s="55"/>
      <c r="U17" s="141">
        <f>SUMIFS('QUOTED PROJECTS-Earlier Yr'!$O$2:$O$2598,'QUOTED PROJECTS-Earlier Yr'!$Q$2:$Q$2598,"WON",'QUOTED PROJECTS-Earlier Yr'!$K$2:$K$2598,"2250",'QUOTED PROJECTS-Earlier Yr'!$H$2:$H$2598,"MTU",'QUOTED PROJECTS-Earlier Yr'!$R$2:$R$2598,"JAN")+SUMIFS('QUOTED PROJECTS-Current Year'!$O$2:$O$2525,'QUOTED PROJECTS-Current Year'!$Q$2:$Q$2525,"WON",'QUOTED PROJECTS-Current Year'!$K$2:$K$2525,"2250",'QUOTED PROJECTS-Current Year'!$H$2:$H$2525,"MTU",'QUOTED PROJECTS-Current Year'!$R$2:$R$2525,"JAN")</f>
        <v>0</v>
      </c>
      <c r="V17" s="55"/>
      <c r="W17" s="141">
        <f>SUMIFS('QUOTED PROJECTS-Earlier Yr'!$O$2:$O$2598,'QUOTED PROJECTS-Earlier Yr'!$Q$2:$Q$2598,"WON",'QUOTED PROJECTS-Earlier Yr'!$K$2:$K$2598,"2250",'QUOTED PROJECTS-Earlier Yr'!$H$2:$H$2598,"MTU",'QUOTED PROJECTS-Earlier Yr'!$R$2:$R$2598,"FEB")+SUMIFS('QUOTED PROJECTS-Current Year'!$O$2:$O$2525,'QUOTED PROJECTS-Current Year'!$Q$2:$Q$2525,"WON",'QUOTED PROJECTS-Current Year'!$K$2:$K$2525,"2250",'QUOTED PROJECTS-Current Year'!$H$2:$H$2525,"MTU",'QUOTED PROJECTS-Current Year'!$R$2:$R$2525,"FEB")</f>
        <v>0</v>
      </c>
      <c r="X17" s="55"/>
      <c r="Y17" s="141">
        <f>SUMIFS('QUOTED PROJECTS-Earlier Yr'!$O$2:$O$2598,'QUOTED PROJECTS-Earlier Yr'!$Q$2:$Q$2598,"WON",'QUOTED PROJECTS-Earlier Yr'!$K$2:$K$2598,"2250",'QUOTED PROJECTS-Earlier Yr'!$H$2:$H$2598,"MTU",'QUOTED PROJECTS-Earlier Yr'!$R$2:$R$2598,"MAR")+SUMIFS('QUOTED PROJECTS-Current Year'!$O$2:$O$2525,'QUOTED PROJECTS-Current Year'!$Q$2:$Q$2525,"WON",'QUOTED PROJECTS-Current Year'!$K$2:$K$2525,"2250",'QUOTED PROJECTS-Current Year'!$H$2:$H$2525,"MTU",'QUOTED PROJECTS-Current Year'!$R$2:$R$2525,"MAR")</f>
        <v>0</v>
      </c>
      <c r="Z17" s="57">
        <f t="shared" si="0"/>
        <v>0</v>
      </c>
      <c r="AA17" s="37">
        <f t="shared" si="1"/>
        <v>0</v>
      </c>
    </row>
    <row r="18" spans="1:27">
      <c r="A18" s="19">
        <v>2500</v>
      </c>
      <c r="B18" s="55"/>
      <c r="C18" s="141">
        <f>SUMIFS('QUOTED PROJECTS-Earlier Yr'!$O$2:$O$2598,'QUOTED PROJECTS-Earlier Yr'!$Q$2:$Q$2598,"WON",'QUOTED PROJECTS-Earlier Yr'!$K$2:$K$2598,"2500",'QUOTED PROJECTS-Earlier Yr'!$H$2:$H$2598,"MTU",'QUOTED PROJECTS-Earlier Yr'!$R$2:$R$2598,"APR")+SUMIFS('QUOTED PROJECTS-Current Year'!$O$2:$O$2525,'QUOTED PROJECTS-Current Year'!$Q$2:$Q$2525,"WON",'QUOTED PROJECTS-Current Year'!$K$2:$K$2525,"2500",'QUOTED PROJECTS-Current Year'!$H$2:$H$2525,"MTU",'QUOTED PROJECTS-Current Year'!$R$2:$R$2525,"APR")</f>
        <v>0</v>
      </c>
      <c r="D18" s="55"/>
      <c r="E18" s="141">
        <f>SUMIFS('QUOTED PROJECTS-Earlier Yr'!$O$2:$O$2598,'QUOTED PROJECTS-Earlier Yr'!$Q$2:$Q$2598,"WON",'QUOTED PROJECTS-Earlier Yr'!$K$2:$K$2598,"2500",'QUOTED PROJECTS-Earlier Yr'!$H$2:$H$2598,"MTU",'QUOTED PROJECTS-Earlier Yr'!$R$2:$R$2598,"MAY")+SUMIFS('QUOTED PROJECTS-Current Year'!$O$2:$O$2525,'QUOTED PROJECTS-Current Year'!$Q$2:$Q$2525,"WON",'QUOTED PROJECTS-Current Year'!$K$2:$K$2525,"2500",'QUOTED PROJECTS-Current Year'!$H$2:$H$2525,"MTU",'QUOTED PROJECTS-Current Year'!$R$2:$R$2525,"MAY")</f>
        <v>0</v>
      </c>
      <c r="F18" s="55"/>
      <c r="G18" s="141">
        <f>SUMIFS('QUOTED PROJECTS-Earlier Yr'!$O$2:$O$2598,'QUOTED PROJECTS-Earlier Yr'!$Q$2:$Q$2598,"WON",'QUOTED PROJECTS-Earlier Yr'!$K$2:$K$2598,"2500",'QUOTED PROJECTS-Earlier Yr'!$H$2:$H$2598,"MTU",'QUOTED PROJECTS-Earlier Yr'!$R$2:$R$2598,"JUN")+SUMIFS('QUOTED PROJECTS-Current Year'!$O$2:$O$2525,'QUOTED PROJECTS-Current Year'!$Q$2:$Q$2525,"WON",'QUOTED PROJECTS-Current Year'!$K$2:$K$2525,"2500",'QUOTED PROJECTS-Current Year'!$H$2:$H$2525,"MTU",'QUOTED PROJECTS-Current Year'!$R$2:$R$2525,"JUN")</f>
        <v>0</v>
      </c>
      <c r="H18" s="55"/>
      <c r="I18" s="141">
        <f>SUMIFS('QUOTED PROJECTS-Earlier Yr'!$O$2:$O$2598,'QUOTED PROJECTS-Earlier Yr'!$Q$2:$Q$2598,"WON",'QUOTED PROJECTS-Earlier Yr'!$K$2:$K$2598,"2500",'QUOTED PROJECTS-Earlier Yr'!$H$2:$H$2598,"MTU",'QUOTED PROJECTS-Earlier Yr'!$R$2:$R$2598,"JUL")+SUMIFS('QUOTED PROJECTS-Current Year'!$O$2:$O$2525,'QUOTED PROJECTS-Current Year'!$Q$2:$Q$2525,"WON",'QUOTED PROJECTS-Current Year'!$K$2:$K$2525,"2500",'QUOTED PROJECTS-Current Year'!$H$2:$H$2525,"MTU",'QUOTED PROJECTS-Current Year'!$R$2:$R$2525,"JUL")</f>
        <v>0</v>
      </c>
      <c r="J18" s="55"/>
      <c r="K18" s="141">
        <f>SUMIFS('QUOTED PROJECTS-Earlier Yr'!$O$2:$O$2598,'QUOTED PROJECTS-Earlier Yr'!$Q$2:$Q$2598,"WON",'QUOTED PROJECTS-Earlier Yr'!$K$2:$K$2598,"2500",'QUOTED PROJECTS-Earlier Yr'!$H$2:$H$2598,"MTU",'QUOTED PROJECTS-Earlier Yr'!$R$2:$R$2598,"AUG")+SUMIFS('QUOTED PROJECTS-Current Year'!$O$2:$O$2525,'QUOTED PROJECTS-Current Year'!$Q$2:$Q$2525,"WON",'QUOTED PROJECTS-Current Year'!$K$2:$K$2525,"2500",'QUOTED PROJECTS-Current Year'!$H$2:$H$2525,"MTU",'QUOTED PROJECTS-Current Year'!$R$2:$R$2525,"AUG")</f>
        <v>0</v>
      </c>
      <c r="L18" s="55"/>
      <c r="M18" s="141">
        <f>SUMIFS('QUOTED PROJECTS-Earlier Yr'!$O$2:$O$2598,'QUOTED PROJECTS-Earlier Yr'!$Q$2:$Q$2598,"WON",'QUOTED PROJECTS-Earlier Yr'!$K$2:$K$2598,"2500",'QUOTED PROJECTS-Earlier Yr'!$H$2:$H$2598,"MTU",'QUOTED PROJECTS-Earlier Yr'!$R$2:$R$2598,"SEPT")+SUMIFS('QUOTED PROJECTS-Current Year'!$O$2:$O$2525,'QUOTED PROJECTS-Current Year'!$Q$2:$Q$2525,"WON",'QUOTED PROJECTS-Current Year'!$K$2:$K$2525,"2500",'QUOTED PROJECTS-Current Year'!$H$2:$H$2525,"MTU",'QUOTED PROJECTS-Current Year'!$R$2:$R$2525,"SEPT")</f>
        <v>0</v>
      </c>
      <c r="N18" s="55"/>
      <c r="O18" s="141">
        <f>SUMIFS('QUOTED PROJECTS-Earlier Yr'!$O$2:$O$2598,'QUOTED PROJECTS-Earlier Yr'!$Q$2:$Q$2598,"WON",'QUOTED PROJECTS-Earlier Yr'!$K$2:$K$2598,"2500",'QUOTED PROJECTS-Earlier Yr'!$H$2:$H$2598,"MTU",'QUOTED PROJECTS-Earlier Yr'!$R$2:$R$2598,"OCT")+SUMIFS('QUOTED PROJECTS-Current Year'!$O$2:$O$2525,'QUOTED PROJECTS-Current Year'!$Q$2:$Q$2525,"WON",'QUOTED PROJECTS-Current Year'!$K$2:$K$2525,"2500",'QUOTED PROJECTS-Current Year'!$H$2:$H$2525,"MTU",'QUOTED PROJECTS-Current Year'!$R$2:$R$2525,"OCT")</f>
        <v>0</v>
      </c>
      <c r="P18" s="55"/>
      <c r="Q18" s="141">
        <f>SUMIFS('QUOTED PROJECTS-Earlier Yr'!$O$2:$O$2598,'QUOTED PROJECTS-Earlier Yr'!$Q$2:$Q$2598,"WON",'QUOTED PROJECTS-Earlier Yr'!$K$2:$K$2598,"2500",'QUOTED PROJECTS-Earlier Yr'!$H$2:$H$2598,"MTU",'QUOTED PROJECTS-Earlier Yr'!$R$2:$R$2598,"NOV")+SUMIFS('QUOTED PROJECTS-Current Year'!$O$2:$O$2525,'QUOTED PROJECTS-Current Year'!$Q$2:$Q$2525,"WON",'QUOTED PROJECTS-Current Year'!$K$2:$K$2525,"2500",'QUOTED PROJECTS-Current Year'!$H$2:$H$2525,"MTU",'QUOTED PROJECTS-Current Year'!$R$2:$R$2525,"NOV")</f>
        <v>0</v>
      </c>
      <c r="R18" s="55"/>
      <c r="S18" s="141">
        <f>SUMIFS('QUOTED PROJECTS-Earlier Yr'!$O$2:$O$2598,'QUOTED PROJECTS-Earlier Yr'!$Q$2:$Q$2598,"WON",'QUOTED PROJECTS-Earlier Yr'!$K$2:$K$2598,"2500",'QUOTED PROJECTS-Earlier Yr'!$H$2:$H$2598,"MTU",'QUOTED PROJECTS-Earlier Yr'!$R$2:$R$2598,"DEC")+SUMIFS('QUOTED PROJECTS-Current Year'!$O$2:$O$2525,'QUOTED PROJECTS-Current Year'!$Q$2:$Q$2525,"WON",'QUOTED PROJECTS-Current Year'!$K$2:$K$2525,"2500",'QUOTED PROJECTS-Current Year'!$H$2:$H$2525,"MTU",'QUOTED PROJECTS-Current Year'!$R$2:$R$2525,"DEC")</f>
        <v>0</v>
      </c>
      <c r="T18" s="55"/>
      <c r="U18" s="141">
        <f>SUMIFS('QUOTED PROJECTS-Earlier Yr'!$O$2:$O$2598,'QUOTED PROJECTS-Earlier Yr'!$Q$2:$Q$2598,"WON",'QUOTED PROJECTS-Earlier Yr'!$K$2:$K$2598,"2500",'QUOTED PROJECTS-Earlier Yr'!$H$2:$H$2598,"MTU",'QUOTED PROJECTS-Earlier Yr'!$R$2:$R$2598,"JAN")+SUMIFS('QUOTED PROJECTS-Current Year'!$O$2:$O$2525,'QUOTED PROJECTS-Current Year'!$Q$2:$Q$2525,"WON",'QUOTED PROJECTS-Current Year'!$K$2:$K$2525,"2500",'QUOTED PROJECTS-Current Year'!$H$2:$H$2525,"MTU",'QUOTED PROJECTS-Current Year'!$R$2:$R$2525,"JAN")</f>
        <v>0</v>
      </c>
      <c r="V18" s="55"/>
      <c r="W18" s="141">
        <f>SUMIFS('QUOTED PROJECTS-Earlier Yr'!$O$2:$O$2598,'QUOTED PROJECTS-Earlier Yr'!$Q$2:$Q$2598,"WON",'QUOTED PROJECTS-Earlier Yr'!$K$2:$K$2598,"2500",'QUOTED PROJECTS-Earlier Yr'!$H$2:$H$2598,"MTU",'QUOTED PROJECTS-Earlier Yr'!$R$2:$R$2598,"FEB")+SUMIFS('QUOTED PROJECTS-Current Year'!$O$2:$O$2525,'QUOTED PROJECTS-Current Year'!$Q$2:$Q$2525,"WON",'QUOTED PROJECTS-Current Year'!$K$2:$K$2525,"2500",'QUOTED PROJECTS-Current Year'!$H$2:$H$2525,"MTU",'QUOTED PROJECTS-Current Year'!$R$2:$R$2525,"FEB")</f>
        <v>0</v>
      </c>
      <c r="X18" s="55"/>
      <c r="Y18" s="141">
        <f>SUMIFS('QUOTED PROJECTS-Earlier Yr'!$O$2:$O$2598,'QUOTED PROJECTS-Earlier Yr'!$Q$2:$Q$2598,"WON",'QUOTED PROJECTS-Earlier Yr'!$K$2:$K$2598,"2500",'QUOTED PROJECTS-Earlier Yr'!$H$2:$H$2598,"MTU",'QUOTED PROJECTS-Earlier Yr'!$R$2:$R$2598,"MAR")+SUMIFS('QUOTED PROJECTS-Current Year'!$O$2:$O$2525,'QUOTED PROJECTS-Current Year'!$Q$2:$Q$2525,"WON",'QUOTED PROJECTS-Current Year'!$K$2:$K$2525,"2500",'QUOTED PROJECTS-Current Year'!$H$2:$H$2525,"MTU",'QUOTED PROJECTS-Current Year'!$R$2:$R$2525,"MAR")</f>
        <v>0</v>
      </c>
      <c r="Z18" s="57">
        <f t="shared" si="0"/>
        <v>0</v>
      </c>
      <c r="AA18" s="37">
        <f t="shared" si="1"/>
        <v>0</v>
      </c>
    </row>
    <row r="19" spans="1:27">
      <c r="A19" s="19">
        <v>2750</v>
      </c>
      <c r="B19" s="55"/>
      <c r="C19" s="141">
        <f>SUMIFS('QUOTED PROJECTS-Earlier Yr'!$O$2:$O$2598,'QUOTED PROJECTS-Earlier Yr'!$Q$2:$Q$2598,"WON",'QUOTED PROJECTS-Earlier Yr'!$K$2:$K$2598,"2750",'QUOTED PROJECTS-Earlier Yr'!$H$2:$H$2598,"MTU",'QUOTED PROJECTS-Earlier Yr'!$R$2:$R$2598,"APR")+SUMIFS('QUOTED PROJECTS-Current Year'!$O$2:$O$2525,'QUOTED PROJECTS-Current Year'!$Q$2:$Q$2525,"WON",'QUOTED PROJECTS-Current Year'!$K$2:$K$2525,"2750",'QUOTED PROJECTS-Current Year'!$H$2:$H$2525,"MTU",'QUOTED PROJECTS-Current Year'!$R$2:$R$2525,"APR")</f>
        <v>0</v>
      </c>
      <c r="D19" s="55"/>
      <c r="E19" s="141">
        <f>SUMIFS('QUOTED PROJECTS-Earlier Yr'!$O$2:$O$2598,'QUOTED PROJECTS-Earlier Yr'!$Q$2:$Q$2598,"WON",'QUOTED PROJECTS-Earlier Yr'!$K$2:$K$2598,"2750",'QUOTED PROJECTS-Earlier Yr'!$H$2:$H$2598,"MTU",'QUOTED PROJECTS-Earlier Yr'!$R$2:$R$2598,"MAY")+SUMIFS('QUOTED PROJECTS-Current Year'!$O$2:$O$2525,'QUOTED PROJECTS-Current Year'!$Q$2:$Q$2525,"WON",'QUOTED PROJECTS-Current Year'!$K$2:$K$2525,"2750",'QUOTED PROJECTS-Current Year'!$H$2:$H$2525,"MTU",'QUOTED PROJECTS-Current Year'!$R$2:$R$2525,"MAY")</f>
        <v>0</v>
      </c>
      <c r="F19" s="55"/>
      <c r="G19" s="141">
        <f>SUMIFS('QUOTED PROJECTS-Earlier Yr'!$O$2:$O$2598,'QUOTED PROJECTS-Earlier Yr'!$Q$2:$Q$2598,"WON",'QUOTED PROJECTS-Earlier Yr'!$K$2:$K$2598,"2750",'QUOTED PROJECTS-Earlier Yr'!$H$2:$H$2598,"MTU",'QUOTED PROJECTS-Earlier Yr'!$R$2:$R$2598,"JUN")+SUMIFS('QUOTED PROJECTS-Current Year'!$O$2:$O$2525,'QUOTED PROJECTS-Current Year'!$Q$2:$Q$2525,"WON",'QUOTED PROJECTS-Current Year'!$K$2:$K$2525,"2750",'QUOTED PROJECTS-Current Year'!$H$2:$H$2525,"MTU",'QUOTED PROJECTS-Current Year'!$R$2:$R$2525,"JUN")</f>
        <v>0</v>
      </c>
      <c r="H19" s="55"/>
      <c r="I19" s="141">
        <f>SUMIFS('QUOTED PROJECTS-Earlier Yr'!$O$2:$O$2598,'QUOTED PROJECTS-Earlier Yr'!$Q$2:$Q$2598,"WON",'QUOTED PROJECTS-Earlier Yr'!$K$2:$K$2598,"2750",'QUOTED PROJECTS-Earlier Yr'!$H$2:$H$2598,"MTU",'QUOTED PROJECTS-Earlier Yr'!$R$2:$R$2598,"JUL")+SUMIFS('QUOTED PROJECTS-Current Year'!$O$2:$O$2525,'QUOTED PROJECTS-Current Year'!$Q$2:$Q$2525,"WON",'QUOTED PROJECTS-Current Year'!$K$2:$K$2525,"2750",'QUOTED PROJECTS-Current Year'!$H$2:$H$2525,"MTU",'QUOTED PROJECTS-Current Year'!$R$2:$R$2525,"JUL")</f>
        <v>0</v>
      </c>
      <c r="J19" s="55"/>
      <c r="K19" s="141">
        <f>SUMIFS('QUOTED PROJECTS-Earlier Yr'!$O$2:$O$2598,'QUOTED PROJECTS-Earlier Yr'!$Q$2:$Q$2598,"WON",'QUOTED PROJECTS-Earlier Yr'!$K$2:$K$2598,"2750",'QUOTED PROJECTS-Earlier Yr'!$H$2:$H$2598,"MTU",'QUOTED PROJECTS-Earlier Yr'!$R$2:$R$2598,"AUG")+SUMIFS('QUOTED PROJECTS-Current Year'!$O$2:$O$2525,'QUOTED PROJECTS-Current Year'!$Q$2:$Q$2525,"WON",'QUOTED PROJECTS-Current Year'!$K$2:$K$2525,"2750",'QUOTED PROJECTS-Current Year'!$H$2:$H$2525,"MTU",'QUOTED PROJECTS-Current Year'!$R$2:$R$2525,"AUG")</f>
        <v>0</v>
      </c>
      <c r="L19" s="55"/>
      <c r="M19" s="141">
        <f>SUMIFS('QUOTED PROJECTS-Earlier Yr'!$O$2:$O$2598,'QUOTED PROJECTS-Earlier Yr'!$Q$2:$Q$2598,"WON",'QUOTED PROJECTS-Earlier Yr'!$K$2:$K$2598,"2750",'QUOTED PROJECTS-Earlier Yr'!$H$2:$H$2598,"MTU",'QUOTED PROJECTS-Earlier Yr'!$R$2:$R$2598,"SEPT")+SUMIFS('QUOTED PROJECTS-Current Year'!$O$2:$O$2525,'QUOTED PROJECTS-Current Year'!$Q$2:$Q$2525,"WON",'QUOTED PROJECTS-Current Year'!$K$2:$K$2525,"2750",'QUOTED PROJECTS-Current Year'!$H$2:$H$2525,"MTU",'QUOTED PROJECTS-Current Year'!$R$2:$R$2525,"SEPT")</f>
        <v>0</v>
      </c>
      <c r="N19" s="55"/>
      <c r="O19" s="141">
        <f>SUMIFS('QUOTED PROJECTS-Earlier Yr'!$O$2:$O$2598,'QUOTED PROJECTS-Earlier Yr'!$Q$2:$Q$2598,"WON",'QUOTED PROJECTS-Earlier Yr'!$K$2:$K$2598,"2750",'QUOTED PROJECTS-Earlier Yr'!$H$2:$H$2598,"MTU",'QUOTED PROJECTS-Earlier Yr'!$R$2:$R$2598,"OCT")+SUMIFS('QUOTED PROJECTS-Current Year'!$O$2:$O$2525,'QUOTED PROJECTS-Current Year'!$Q$2:$Q$2525,"WON",'QUOTED PROJECTS-Current Year'!$K$2:$K$2525,"2750",'QUOTED PROJECTS-Current Year'!$H$2:$H$2525,"MTU",'QUOTED PROJECTS-Current Year'!$R$2:$R$2525,"OCT")</f>
        <v>0</v>
      </c>
      <c r="P19" s="55"/>
      <c r="Q19" s="141">
        <f>SUMIFS('QUOTED PROJECTS-Earlier Yr'!$O$2:$O$2598,'QUOTED PROJECTS-Earlier Yr'!$Q$2:$Q$2598,"WON",'QUOTED PROJECTS-Earlier Yr'!$K$2:$K$2598,"2750",'QUOTED PROJECTS-Earlier Yr'!$H$2:$H$2598,"MTU",'QUOTED PROJECTS-Earlier Yr'!$R$2:$R$2598,"NOV")+SUMIFS('QUOTED PROJECTS-Current Year'!$O$2:$O$2525,'QUOTED PROJECTS-Current Year'!$Q$2:$Q$2525,"WON",'QUOTED PROJECTS-Current Year'!$K$2:$K$2525,"2750",'QUOTED PROJECTS-Current Year'!$H$2:$H$2525,"MTU",'QUOTED PROJECTS-Current Year'!$R$2:$R$2525,"NOV")</f>
        <v>0</v>
      </c>
      <c r="R19" s="55"/>
      <c r="S19" s="141">
        <f>SUMIFS('QUOTED PROJECTS-Earlier Yr'!$O$2:$O$2598,'QUOTED PROJECTS-Earlier Yr'!$Q$2:$Q$2598,"WON",'QUOTED PROJECTS-Earlier Yr'!$K$2:$K$2598,"2750",'QUOTED PROJECTS-Earlier Yr'!$H$2:$H$2598,"MTU",'QUOTED PROJECTS-Earlier Yr'!$R$2:$R$2598,"DEC")+SUMIFS('QUOTED PROJECTS-Current Year'!$O$2:$O$2525,'QUOTED PROJECTS-Current Year'!$Q$2:$Q$2525,"WON",'QUOTED PROJECTS-Current Year'!$K$2:$K$2525,"2750",'QUOTED PROJECTS-Current Year'!$H$2:$H$2525,"MTU",'QUOTED PROJECTS-Current Year'!$R$2:$R$2525,"DEC")</f>
        <v>0</v>
      </c>
      <c r="T19" s="55"/>
      <c r="U19" s="141">
        <f>SUMIFS('QUOTED PROJECTS-Earlier Yr'!$O$2:$O$2598,'QUOTED PROJECTS-Earlier Yr'!$Q$2:$Q$2598,"WON",'QUOTED PROJECTS-Earlier Yr'!$K$2:$K$2598,"2750",'QUOTED PROJECTS-Earlier Yr'!$H$2:$H$2598,"MTU",'QUOTED PROJECTS-Earlier Yr'!$R$2:$R$2598,"JAN")+SUMIFS('QUOTED PROJECTS-Current Year'!$O$2:$O$2525,'QUOTED PROJECTS-Current Year'!$Q$2:$Q$2525,"WON",'QUOTED PROJECTS-Current Year'!$K$2:$K$2525,"2750",'QUOTED PROJECTS-Current Year'!$H$2:$H$2525,"MTU",'QUOTED PROJECTS-Current Year'!$R$2:$R$2525,"JAN")</f>
        <v>0</v>
      </c>
      <c r="V19" s="55"/>
      <c r="W19" s="141">
        <f>SUMIFS('QUOTED PROJECTS-Earlier Yr'!$O$2:$O$2598,'QUOTED PROJECTS-Earlier Yr'!$Q$2:$Q$2598,"WON",'QUOTED PROJECTS-Earlier Yr'!$K$2:$K$2598,"2750",'QUOTED PROJECTS-Earlier Yr'!$H$2:$H$2598,"MTU",'QUOTED PROJECTS-Earlier Yr'!$R$2:$R$2598,"FEB")+SUMIFS('QUOTED PROJECTS-Current Year'!$O$2:$O$2525,'QUOTED PROJECTS-Current Year'!$Q$2:$Q$2525,"WON",'QUOTED PROJECTS-Current Year'!$K$2:$K$2525,"2750",'QUOTED PROJECTS-Current Year'!$H$2:$H$2525,"MTU",'QUOTED PROJECTS-Current Year'!$R$2:$R$2525,"FEB")</f>
        <v>0</v>
      </c>
      <c r="X19" s="55"/>
      <c r="Y19" s="141">
        <f>SUMIFS('QUOTED PROJECTS-Earlier Yr'!$O$2:$O$2598,'QUOTED PROJECTS-Earlier Yr'!$Q$2:$Q$2598,"WON",'QUOTED PROJECTS-Earlier Yr'!$K$2:$K$2598,"2750",'QUOTED PROJECTS-Earlier Yr'!$H$2:$H$2598,"MTU",'QUOTED PROJECTS-Earlier Yr'!$R$2:$R$2598,"MAR")+SUMIFS('QUOTED PROJECTS-Current Year'!$O$2:$O$2525,'QUOTED PROJECTS-Current Year'!$Q$2:$Q$2525,"WON",'QUOTED PROJECTS-Current Year'!$K$2:$K$2525,"2750",'QUOTED PROJECTS-Current Year'!$H$2:$H$2525,"MTU",'QUOTED PROJECTS-Current Year'!$R$2:$R$2525,"MAR")</f>
        <v>0</v>
      </c>
      <c r="Z19" s="57">
        <f t="shared" si="0"/>
        <v>0</v>
      </c>
      <c r="AA19" s="37">
        <f t="shared" si="1"/>
        <v>0</v>
      </c>
    </row>
    <row r="20" spans="1:27" ht="13.5" thickBot="1">
      <c r="A20" s="19">
        <v>3000</v>
      </c>
      <c r="B20" s="55"/>
      <c r="C20" s="141">
        <f>SUMIFS('QUOTED PROJECTS-Earlier Yr'!$O$2:$O$2598,'QUOTED PROJECTS-Earlier Yr'!$Q$2:$Q$2598,"WON",'QUOTED PROJECTS-Earlier Yr'!$K$2:$K$2598,"3000",'QUOTED PROJECTS-Earlier Yr'!$H$2:$H$2598,"MTU",'QUOTED PROJECTS-Earlier Yr'!$R$2:$R$2598,"APR")+SUMIFS('QUOTED PROJECTS-Current Year'!$O$2:$O$2525,'QUOTED PROJECTS-Current Year'!$Q$2:$Q$2525,"WON",'QUOTED PROJECTS-Current Year'!$K$2:$K$2525,"3000",'QUOTED PROJECTS-Current Year'!$H$2:$H$2525,"MTU",'QUOTED PROJECTS-Current Year'!$R$2:$R$2525,"APR")</f>
        <v>0</v>
      </c>
      <c r="D20" s="55"/>
      <c r="E20" s="141">
        <f>SUMIFS('QUOTED PROJECTS-Earlier Yr'!$O$2:$O$2598,'QUOTED PROJECTS-Earlier Yr'!$Q$2:$Q$2598,"WON",'QUOTED PROJECTS-Earlier Yr'!$K$2:$K$2598,"3000",'QUOTED PROJECTS-Earlier Yr'!$H$2:$H$2598,"MTU",'QUOTED PROJECTS-Earlier Yr'!$R$2:$R$2598,"MAY")+SUMIFS('QUOTED PROJECTS-Current Year'!$O$2:$O$2525,'QUOTED PROJECTS-Current Year'!$Q$2:$Q$2525,"WON",'QUOTED PROJECTS-Current Year'!$K$2:$K$2525,"3000",'QUOTED PROJECTS-Current Year'!$H$2:$H$2525,"MTU",'QUOTED PROJECTS-Current Year'!$R$2:$R$2525,"MAY")</f>
        <v>0</v>
      </c>
      <c r="F20" s="55"/>
      <c r="G20" s="141">
        <f>SUMIFS('QUOTED PROJECTS-Earlier Yr'!$O$2:$O$2598,'QUOTED PROJECTS-Earlier Yr'!$Q$2:$Q$2598,"WON",'QUOTED PROJECTS-Earlier Yr'!$K$2:$K$2598,"3000",'QUOTED PROJECTS-Earlier Yr'!$H$2:$H$2598,"MTU",'QUOTED PROJECTS-Earlier Yr'!$R$2:$R$2598,"JUN")+SUMIFS('QUOTED PROJECTS-Current Year'!$O$2:$O$2525,'QUOTED PROJECTS-Current Year'!$Q$2:$Q$2525,"WON",'QUOTED PROJECTS-Current Year'!$K$2:$K$2525,"3000",'QUOTED PROJECTS-Current Year'!$H$2:$H$2525,"MTU",'QUOTED PROJECTS-Current Year'!$R$2:$R$2525,"JUN")</f>
        <v>0</v>
      </c>
      <c r="H20" s="55"/>
      <c r="I20" s="141">
        <f>SUMIFS('QUOTED PROJECTS-Earlier Yr'!$O$2:$O$2598,'QUOTED PROJECTS-Earlier Yr'!$Q$2:$Q$2598,"WON",'QUOTED PROJECTS-Earlier Yr'!$K$2:$K$2598,"3000",'QUOTED PROJECTS-Earlier Yr'!$H$2:$H$2598,"MTU",'QUOTED PROJECTS-Earlier Yr'!$R$2:$R$2598,"JUL")+SUMIFS('QUOTED PROJECTS-Current Year'!$O$2:$O$2525,'QUOTED PROJECTS-Current Year'!$Q$2:$Q$2525,"WON",'QUOTED PROJECTS-Current Year'!$K$2:$K$2525,"3000",'QUOTED PROJECTS-Current Year'!$H$2:$H$2525,"MTU",'QUOTED PROJECTS-Current Year'!$R$2:$R$2525,"JUL")</f>
        <v>0</v>
      </c>
      <c r="J20" s="55"/>
      <c r="K20" s="141">
        <f>SUMIFS('QUOTED PROJECTS-Earlier Yr'!$O$2:$O$2598,'QUOTED PROJECTS-Earlier Yr'!$Q$2:$Q$2598,"WON",'QUOTED PROJECTS-Earlier Yr'!$K$2:$K$2598,"3000",'QUOTED PROJECTS-Earlier Yr'!$H$2:$H$2598,"MTU",'QUOTED PROJECTS-Earlier Yr'!$R$2:$R$2598,"AUG")+SUMIFS('QUOTED PROJECTS-Current Year'!$O$2:$O$2525,'QUOTED PROJECTS-Current Year'!$Q$2:$Q$2525,"WON",'QUOTED PROJECTS-Current Year'!$K$2:$K$2525,"3000",'QUOTED PROJECTS-Current Year'!$H$2:$H$2525,"MTU",'QUOTED PROJECTS-Current Year'!$R$2:$R$2525,"AUG")</f>
        <v>0</v>
      </c>
      <c r="L20" s="55"/>
      <c r="M20" s="141">
        <f>SUMIFS('QUOTED PROJECTS-Earlier Yr'!$O$2:$O$2598,'QUOTED PROJECTS-Earlier Yr'!$Q$2:$Q$2598,"WON",'QUOTED PROJECTS-Earlier Yr'!$K$2:$K$2598,"3000",'QUOTED PROJECTS-Earlier Yr'!$H$2:$H$2598,"MTU",'QUOTED PROJECTS-Earlier Yr'!$R$2:$R$2598,"SEPT")+SUMIFS('QUOTED PROJECTS-Current Year'!$O$2:$O$2525,'QUOTED PROJECTS-Current Year'!$Q$2:$Q$2525,"WON",'QUOTED PROJECTS-Current Year'!$K$2:$K$2525,"3000",'QUOTED PROJECTS-Current Year'!$H$2:$H$2525,"MTU",'QUOTED PROJECTS-Current Year'!$R$2:$R$2525,"SEPT")</f>
        <v>0</v>
      </c>
      <c r="N20" s="55"/>
      <c r="O20" s="141">
        <f>SUMIFS('QUOTED PROJECTS-Earlier Yr'!$O$2:$O$2598,'QUOTED PROJECTS-Earlier Yr'!$Q$2:$Q$2598,"WON",'QUOTED PROJECTS-Earlier Yr'!$K$2:$K$2598,"3000",'QUOTED PROJECTS-Earlier Yr'!$H$2:$H$2598,"MTU",'QUOTED PROJECTS-Earlier Yr'!$R$2:$R$2598,"OCT")+SUMIFS('QUOTED PROJECTS-Current Year'!$O$2:$O$2525,'QUOTED PROJECTS-Current Year'!$Q$2:$Q$2525,"WON",'QUOTED PROJECTS-Current Year'!$K$2:$K$2525,"3000",'QUOTED PROJECTS-Current Year'!$H$2:$H$2525,"MTU",'QUOTED PROJECTS-Current Year'!$R$2:$R$2525,"OCT")</f>
        <v>0</v>
      </c>
      <c r="P20" s="55"/>
      <c r="Q20" s="141">
        <f>SUMIFS('QUOTED PROJECTS-Earlier Yr'!$O$2:$O$2598,'QUOTED PROJECTS-Earlier Yr'!$Q$2:$Q$2598,"WON",'QUOTED PROJECTS-Earlier Yr'!$K$2:$K$2598,"3000",'QUOTED PROJECTS-Earlier Yr'!$H$2:$H$2598,"MTU",'QUOTED PROJECTS-Earlier Yr'!$R$2:$R$2598,"NOV")+SUMIFS('QUOTED PROJECTS-Current Year'!$O$2:$O$2525,'QUOTED PROJECTS-Current Year'!$Q$2:$Q$2525,"WON",'QUOTED PROJECTS-Current Year'!$K$2:$K$2525,"3000",'QUOTED PROJECTS-Current Year'!$H$2:$H$2525,"MTU",'QUOTED PROJECTS-Current Year'!$R$2:$R$2525,"NOV")</f>
        <v>0</v>
      </c>
      <c r="R20" s="55"/>
      <c r="S20" s="141">
        <f>SUMIFS('QUOTED PROJECTS-Earlier Yr'!$O$2:$O$2598,'QUOTED PROJECTS-Earlier Yr'!$Q$2:$Q$2598,"WON",'QUOTED PROJECTS-Earlier Yr'!$K$2:$K$2598,"3000",'QUOTED PROJECTS-Earlier Yr'!$H$2:$H$2598,"MTU",'QUOTED PROJECTS-Earlier Yr'!$R$2:$R$2598,"DEC")+SUMIFS('QUOTED PROJECTS-Current Year'!$O$2:$O$2525,'QUOTED PROJECTS-Current Year'!$Q$2:$Q$2525,"WON",'QUOTED PROJECTS-Current Year'!$K$2:$K$2525,"3000",'QUOTED PROJECTS-Current Year'!$H$2:$H$2525,"MTU",'QUOTED PROJECTS-Current Year'!$R$2:$R$2525,"DEC")</f>
        <v>0</v>
      </c>
      <c r="T20" s="55"/>
      <c r="U20" s="141">
        <f>SUMIFS('QUOTED PROJECTS-Earlier Yr'!$O$2:$O$2598,'QUOTED PROJECTS-Earlier Yr'!$Q$2:$Q$2598,"WON",'QUOTED PROJECTS-Earlier Yr'!$K$2:$K$2598,"3000",'QUOTED PROJECTS-Earlier Yr'!$H$2:$H$2598,"MTU",'QUOTED PROJECTS-Earlier Yr'!$R$2:$R$2598,"JAN")+SUMIFS('QUOTED PROJECTS-Current Year'!$O$2:$O$2525,'QUOTED PROJECTS-Current Year'!$Q$2:$Q$2525,"WON",'QUOTED PROJECTS-Current Year'!$K$2:$K$2525,"3000",'QUOTED PROJECTS-Current Year'!$H$2:$H$2525,"MTU",'QUOTED PROJECTS-Current Year'!$R$2:$R$2525,"JAN")</f>
        <v>0</v>
      </c>
      <c r="V20" s="55"/>
      <c r="W20" s="141">
        <f>SUMIFS('QUOTED PROJECTS-Earlier Yr'!$O$2:$O$2598,'QUOTED PROJECTS-Earlier Yr'!$Q$2:$Q$2598,"WON",'QUOTED PROJECTS-Earlier Yr'!$K$2:$K$2598,"3000",'QUOTED PROJECTS-Earlier Yr'!$H$2:$H$2598,"MTU",'QUOTED PROJECTS-Earlier Yr'!$R$2:$R$2598,"FEB")+SUMIFS('QUOTED PROJECTS-Current Year'!$O$2:$O$2525,'QUOTED PROJECTS-Current Year'!$Q$2:$Q$2525,"WON",'QUOTED PROJECTS-Current Year'!$K$2:$K$2525,"3000",'QUOTED PROJECTS-Current Year'!$H$2:$H$2525,"MTU",'QUOTED PROJECTS-Current Year'!$R$2:$R$2525,"FEB")</f>
        <v>0</v>
      </c>
      <c r="X20" s="55"/>
      <c r="Y20" s="141">
        <f>SUMIFS('QUOTED PROJECTS-Earlier Yr'!$O$2:$O$2598,'QUOTED PROJECTS-Earlier Yr'!$Q$2:$Q$2598,"WON",'QUOTED PROJECTS-Earlier Yr'!$K$2:$K$2598,"3000",'QUOTED PROJECTS-Earlier Yr'!$H$2:$H$2598,"MTU",'QUOTED PROJECTS-Earlier Yr'!$R$2:$R$2598,"MAR")+SUMIFS('QUOTED PROJECTS-Current Year'!$O$2:$O$2525,'QUOTED PROJECTS-Current Year'!$Q$2:$Q$2525,"WON",'QUOTED PROJECTS-Current Year'!$K$2:$K$2525,"3000",'QUOTED PROJECTS-Current Year'!$H$2:$H$2525,"MTU",'QUOTED PROJECTS-Current Year'!$R$2:$R$2525,"MAR")</f>
        <v>0</v>
      </c>
      <c r="Z20" s="58">
        <f t="shared" si="0"/>
        <v>0</v>
      </c>
      <c r="AA20" s="37">
        <f t="shared" si="1"/>
        <v>0</v>
      </c>
    </row>
    <row r="21" spans="1:27" s="20" customFormat="1" ht="14.25" thickTop="1" thickBot="1">
      <c r="A21" s="22" t="s">
        <v>64</v>
      </c>
      <c r="B21" s="51">
        <f t="shared" ref="B21:Y21" si="2">SUM(B10:B20)</f>
        <v>0</v>
      </c>
      <c r="C21" s="38">
        <f t="shared" si="2"/>
        <v>0</v>
      </c>
      <c r="D21" s="51">
        <f t="shared" si="2"/>
        <v>0</v>
      </c>
      <c r="E21" s="38">
        <f t="shared" si="2"/>
        <v>0</v>
      </c>
      <c r="F21" s="51">
        <f t="shared" si="2"/>
        <v>0</v>
      </c>
      <c r="G21" s="38">
        <f t="shared" si="2"/>
        <v>0</v>
      </c>
      <c r="H21" s="51">
        <f t="shared" si="2"/>
        <v>0</v>
      </c>
      <c r="I21" s="38">
        <f t="shared" si="2"/>
        <v>0</v>
      </c>
      <c r="J21" s="51">
        <f t="shared" si="2"/>
        <v>0</v>
      </c>
      <c r="K21" s="38">
        <f t="shared" si="2"/>
        <v>0</v>
      </c>
      <c r="L21" s="51">
        <f t="shared" si="2"/>
        <v>0</v>
      </c>
      <c r="M21" s="38">
        <f t="shared" si="2"/>
        <v>0</v>
      </c>
      <c r="N21" s="51">
        <f t="shared" si="2"/>
        <v>0</v>
      </c>
      <c r="O21" s="38">
        <f t="shared" si="2"/>
        <v>0</v>
      </c>
      <c r="P21" s="51">
        <f t="shared" si="2"/>
        <v>0</v>
      </c>
      <c r="Q21" s="38">
        <f t="shared" si="2"/>
        <v>0</v>
      </c>
      <c r="R21" s="51">
        <f t="shared" si="2"/>
        <v>0</v>
      </c>
      <c r="S21" s="38">
        <f t="shared" si="2"/>
        <v>0</v>
      </c>
      <c r="T21" s="51">
        <f t="shared" si="2"/>
        <v>0</v>
      </c>
      <c r="U21" s="38">
        <f t="shared" si="2"/>
        <v>0</v>
      </c>
      <c r="V21" s="51">
        <f t="shared" si="2"/>
        <v>0</v>
      </c>
      <c r="W21" s="38">
        <f t="shared" si="2"/>
        <v>0</v>
      </c>
      <c r="X21" s="51">
        <f t="shared" si="2"/>
        <v>0</v>
      </c>
      <c r="Y21" s="38">
        <f t="shared" si="2"/>
        <v>0</v>
      </c>
      <c r="Z21" s="59">
        <f t="shared" si="0"/>
        <v>0</v>
      </c>
      <c r="AA21" s="45">
        <f t="shared" si="1"/>
        <v>0</v>
      </c>
    </row>
    <row r="22" spans="1:27" ht="13.5" thickTop="1">
      <c r="A22" s="22" t="s">
        <v>5</v>
      </c>
      <c r="B22" s="195"/>
      <c r="C22" s="196"/>
      <c r="D22" s="197"/>
      <c r="E22" s="196"/>
      <c r="F22" s="197"/>
      <c r="G22" s="196"/>
      <c r="H22" s="195"/>
      <c r="I22" s="198"/>
      <c r="J22" s="195"/>
      <c r="K22" s="196"/>
      <c r="L22" s="197"/>
      <c r="M22" s="196"/>
      <c r="N22" s="195"/>
      <c r="O22" s="198"/>
      <c r="P22" s="195"/>
      <c r="Q22" s="196"/>
      <c r="R22" s="197"/>
      <c r="S22" s="196"/>
      <c r="T22" s="195"/>
      <c r="U22" s="198"/>
      <c r="V22" s="195"/>
      <c r="W22" s="196"/>
      <c r="X22" s="197"/>
      <c r="Y22" s="196"/>
      <c r="Z22" s="199"/>
      <c r="AA22" s="200"/>
    </row>
    <row r="23" spans="1:27">
      <c r="A23" s="19">
        <v>750</v>
      </c>
      <c r="B23" s="55"/>
      <c r="C23" s="141">
        <f>SUMIFS('QUOTED PROJECTS-Earlier Yr'!$O$2:$O$2598,'QUOTED PROJECTS-Earlier Yr'!$Q$2:$Q$2598,"WON",'QUOTED PROJECTS-Earlier Yr'!$K$2:$K$2598,"750",'QUOTED PROJECTS-Earlier Yr'!$H$2:$H$2598,"PERKINS",'QUOTED PROJECTS-Earlier Yr'!$R$2:$R$2598,"APR")+SUMIFS('QUOTED PROJECTS-Current Year'!$O$2:$O$2525,'QUOTED PROJECTS-Current Year'!$Q$2:$Q$2525,"WON",'QUOTED PROJECTS-Current Year'!$K$2:$K$2525,"750",'QUOTED PROJECTS-Current Year'!$H$2:$H$2525,"PERKINS",'QUOTED PROJECTS-Current Year'!$R$2:$R$2525,"APR")</f>
        <v>0</v>
      </c>
      <c r="D23" s="55"/>
      <c r="E23" s="141">
        <f>SUMIFS('QUOTED PROJECTS-Earlier Yr'!$O$2:$O$2598,'QUOTED PROJECTS-Earlier Yr'!$Q$2:$Q$2598,"WON",'QUOTED PROJECTS-Earlier Yr'!$K$2:$K$2598,"750",'QUOTED PROJECTS-Earlier Yr'!$H$2:$H$2598,"PERKINS",'QUOTED PROJECTS-Earlier Yr'!$R$2:$R$2598,"MAY")+SUMIFS('QUOTED PROJECTS-Current Year'!$O$2:$O$2525,'QUOTED PROJECTS-Current Year'!$Q$2:$Q$2525,"WON",'QUOTED PROJECTS-Current Year'!$K$2:$K$2525,"750",'QUOTED PROJECTS-Current Year'!$H$2:$H$2525,"PERKINS",'QUOTED PROJECTS-Current Year'!$R$2:$R$2525,"MAY")</f>
        <v>0</v>
      </c>
      <c r="F23" s="55"/>
      <c r="G23" s="141">
        <f>SUMIFS('QUOTED PROJECTS-Earlier Yr'!$O$2:$O$2598,'QUOTED PROJECTS-Earlier Yr'!$Q$2:$Q$2598,"WON",'QUOTED PROJECTS-Earlier Yr'!$K$2:$K$2598,"750",'QUOTED PROJECTS-Earlier Yr'!$H$2:$H$2598,"PERKINS",'QUOTED PROJECTS-Earlier Yr'!$R$2:$R$2598,"JUN")+SUMIFS('QUOTED PROJECTS-Current Year'!$O$2:$O$2525,'QUOTED PROJECTS-Current Year'!$Q$2:$Q$2525,"WON",'QUOTED PROJECTS-Current Year'!$K$2:$K$2525,"750",'QUOTED PROJECTS-Current Year'!$H$2:$H$2525,"PERKINS",'QUOTED PROJECTS-Current Year'!$R$2:$R$2525,"JUN")</f>
        <v>0</v>
      </c>
      <c r="H23" s="55"/>
      <c r="I23" s="141">
        <f>SUMIFS('QUOTED PROJECTS-Earlier Yr'!$O$2:$O$2598,'QUOTED PROJECTS-Earlier Yr'!$Q$2:$Q$2598,"WON",'QUOTED PROJECTS-Earlier Yr'!$K$2:$K$2598,"750",'QUOTED PROJECTS-Earlier Yr'!$H$2:$H$2598,"PERKINS",'QUOTED PROJECTS-Earlier Yr'!$R$2:$R$2598,"JUL")+SUMIFS('QUOTED PROJECTS-Current Year'!$O$2:$O$2525,'QUOTED PROJECTS-Current Year'!$Q$2:$Q$2525,"WON",'QUOTED PROJECTS-Current Year'!$K$2:$K$2525,"750",'QUOTED PROJECTS-Current Year'!$H$2:$H$2525,"PERKINS",'QUOTED PROJECTS-Current Year'!$R$2:$R$2525,"JUL")</f>
        <v>0</v>
      </c>
      <c r="J23" s="55"/>
      <c r="K23" s="141">
        <f>SUMIFS('QUOTED PROJECTS-Earlier Yr'!$O$2:$O$2598,'QUOTED PROJECTS-Earlier Yr'!$Q$2:$Q$2598,"WON",'QUOTED PROJECTS-Earlier Yr'!$K$2:$K$2598,"750",'QUOTED PROJECTS-Earlier Yr'!$H$2:$H$2598,"PERKINS",'QUOTED PROJECTS-Earlier Yr'!$R$2:$R$2598,"AUG")+SUMIFS('QUOTED PROJECTS-Current Year'!$O$2:$O$2525,'QUOTED PROJECTS-Current Year'!$Q$2:$Q$2525,"WON",'QUOTED PROJECTS-Current Year'!$K$2:$K$2525,"750",'QUOTED PROJECTS-Current Year'!$H$2:$H$2525,"PERKINS",'QUOTED PROJECTS-Current Year'!$R$2:$R$2525,"AUG")</f>
        <v>0</v>
      </c>
      <c r="L23" s="55"/>
      <c r="M23" s="141">
        <f>SUMIFS('QUOTED PROJECTS-Earlier Yr'!$O$2:$O$2598,'QUOTED PROJECTS-Earlier Yr'!$Q$2:$Q$2598,"WON",'QUOTED PROJECTS-Earlier Yr'!$K$2:$K$2598,"750",'QUOTED PROJECTS-Earlier Yr'!$H$2:$H$2598,"PERKINS",'QUOTED PROJECTS-Earlier Yr'!$R$2:$R$2598,"SEPT")+SUMIFS('QUOTED PROJECTS-Current Year'!$O$2:$O$2525,'QUOTED PROJECTS-Current Year'!$Q$2:$Q$2525,"WON",'QUOTED PROJECTS-Current Year'!$K$2:$K$2525,"750",'QUOTED PROJECTS-Current Year'!$H$2:$H$2525,"PERKINS",'QUOTED PROJECTS-Current Year'!$R$2:$R$2525,"SEPT")</f>
        <v>0</v>
      </c>
      <c r="N23" s="55"/>
      <c r="O23" s="141">
        <f>SUMIFS('QUOTED PROJECTS-Earlier Yr'!$O$2:$O$2598,'QUOTED PROJECTS-Earlier Yr'!$Q$2:$Q$2598,"WON",'QUOTED PROJECTS-Earlier Yr'!$K$2:$K$2598,"750",'QUOTED PROJECTS-Earlier Yr'!$H$2:$H$2598,"PERKINS",'QUOTED PROJECTS-Earlier Yr'!$R$2:$R$2598,"OCT")+SUMIFS('QUOTED PROJECTS-Current Year'!$O$2:$O$2525,'QUOTED PROJECTS-Current Year'!$Q$2:$Q$2525,"WON",'QUOTED PROJECTS-Current Year'!$K$2:$K$2525,"750",'QUOTED PROJECTS-Current Year'!$H$2:$H$2525,"PERKINS",'QUOTED PROJECTS-Current Year'!$R$2:$R$2525,"OCT")</f>
        <v>0</v>
      </c>
      <c r="P23" s="55"/>
      <c r="Q23" s="141">
        <f>SUMIFS('QUOTED PROJECTS-Earlier Yr'!$O$2:$O$2598,'QUOTED PROJECTS-Earlier Yr'!$Q$2:$Q$2598,"WON",'QUOTED PROJECTS-Earlier Yr'!$K$2:$K$2598,"750",'QUOTED PROJECTS-Earlier Yr'!$H$2:$H$2598,"PERKINS",'QUOTED PROJECTS-Earlier Yr'!$R$2:$R$2598,"NOV")+SUMIFS('QUOTED PROJECTS-Current Year'!$O$2:$O$2525,'QUOTED PROJECTS-Current Year'!$Q$2:$Q$2525,"WON",'QUOTED PROJECTS-Current Year'!$K$2:$K$2525,"750",'QUOTED PROJECTS-Current Year'!$H$2:$H$2525,"PERKINS",'QUOTED PROJECTS-Current Year'!$R$2:$R$2525,"NOV")</f>
        <v>0</v>
      </c>
      <c r="R23" s="55">
        <f>2*42</f>
        <v>84</v>
      </c>
      <c r="S23" s="141">
        <f>SUMIFS('QUOTED PROJECTS-Earlier Yr'!$O$2:$O$2598,'QUOTED PROJECTS-Earlier Yr'!$Q$2:$Q$2598,"WON",'QUOTED PROJECTS-Earlier Yr'!$K$2:$K$2598,"750",'QUOTED PROJECTS-Earlier Yr'!$H$2:$H$2598,"PERKINS",'QUOTED PROJECTS-Earlier Yr'!$R$2:$R$2598,"DEC")+SUMIFS('QUOTED PROJECTS-Current Year'!$O$2:$O$2525,'QUOTED PROJECTS-Current Year'!$Q$2:$Q$2525,"WON",'QUOTED PROJECTS-Current Year'!$K$2:$K$2525,"750",'QUOTED PROJECTS-Current Year'!$H$2:$H$2525,"PERKINS",'QUOTED PROJECTS-Current Year'!$R$2:$R$2525,"DEC")</f>
        <v>0</v>
      </c>
      <c r="T23" s="55"/>
      <c r="U23" s="141">
        <f>SUMIFS('QUOTED PROJECTS-Earlier Yr'!$O$2:$O$2598,'QUOTED PROJECTS-Earlier Yr'!$Q$2:$Q$2598,"WON",'QUOTED PROJECTS-Earlier Yr'!$K$2:$K$2598,"750",'QUOTED PROJECTS-Earlier Yr'!$H$2:$H$2598,"PERKINS",'QUOTED PROJECTS-Earlier Yr'!$R$2:$R$2598,"JAN")+SUMIFS('QUOTED PROJECTS-Current Year'!$O$2:$O$2525,'QUOTED PROJECTS-Current Year'!$Q$2:$Q$2525,"WON",'QUOTED PROJECTS-Current Year'!$K$2:$K$2525,"750",'QUOTED PROJECTS-Current Year'!$H$2:$H$2525,"PERKINS",'QUOTED PROJECTS-Current Year'!$R$2:$R$2525,"JAN")</f>
        <v>0</v>
      </c>
      <c r="V23" s="55"/>
      <c r="W23" s="141">
        <f>SUMIFS('QUOTED PROJECTS-Earlier Yr'!$O$2:$O$2598,'QUOTED PROJECTS-Earlier Yr'!$Q$2:$Q$2598,"WON",'QUOTED PROJECTS-Earlier Yr'!$K$2:$K$2598,"750",'QUOTED PROJECTS-Earlier Yr'!$H$2:$H$2598,"PERKINS",'QUOTED PROJECTS-Earlier Yr'!$R$2:$R$2598,"FEB")+SUMIFS('QUOTED PROJECTS-Current Year'!$O$2:$O$2525,'QUOTED PROJECTS-Current Year'!$Q$2:$Q$2525,"WON",'QUOTED PROJECTS-Current Year'!$K$2:$K$2525,"750",'QUOTED PROJECTS-Current Year'!$H$2:$H$2525,"PERKINS",'QUOTED PROJECTS-Current Year'!$R$2:$R$2525,"FEB")</f>
        <v>0</v>
      </c>
      <c r="X23" s="55">
        <f>3*42</f>
        <v>126</v>
      </c>
      <c r="Y23" s="141">
        <f>SUMIFS('QUOTED PROJECTS-Earlier Yr'!$O$2:$O$2598,'QUOTED PROJECTS-Earlier Yr'!$Q$2:$Q$2598,"WON",'QUOTED PROJECTS-Earlier Yr'!$K$2:$K$2598,"750",'QUOTED PROJECTS-Earlier Yr'!$H$2:$H$2598,"PERKINS",'QUOTED PROJECTS-Earlier Yr'!$R$2:$R$2598,"MAR")+SUMIFS('QUOTED PROJECTS-Current Year'!$O$2:$O$2525,'QUOTED PROJECTS-Current Year'!$Q$2:$Q$2525,"WON",'QUOTED PROJECTS-Current Year'!$K$2:$K$2525,"750",'QUOTED PROJECTS-Current Year'!$H$2:$H$2525,"PERKINS",'QUOTED PROJECTS-Current Year'!$R$2:$R$2525,"MAR")</f>
        <v>0</v>
      </c>
      <c r="Z23" s="57">
        <f t="shared" ref="Z23:AA30" si="3">B23+D23+F23+H23+J23+L23+N23+P23+R23+T23+V23+X23</f>
        <v>210</v>
      </c>
      <c r="AA23" s="37">
        <f t="shared" si="3"/>
        <v>0</v>
      </c>
    </row>
    <row r="24" spans="1:27">
      <c r="A24" s="19">
        <v>1010</v>
      </c>
      <c r="B24" s="55"/>
      <c r="C24" s="141">
        <f>SUMIFS('QUOTED PROJECTS-Earlier Yr'!$O$2:$O$2598,'QUOTED PROJECTS-Earlier Yr'!$Q$2:$Q$2598,"WON",'QUOTED PROJECTS-Earlier Yr'!$K$2:$K$2598,"1010",'QUOTED PROJECTS-Earlier Yr'!$H$2:$H$2598,"PERKINS",'QUOTED PROJECTS-Earlier Yr'!$R$2:$R$2598,"APR")+SUMIFS('QUOTED PROJECTS-Current Year'!$O$2:$O$2525,'QUOTED PROJECTS-Current Year'!$Q$2:$Q$2525,"WON",'QUOTED PROJECTS-Current Year'!$K$2:$K$2525,"1010",'QUOTED PROJECTS-Current Year'!$H$2:$H$2525,"PERKINS",'QUOTED PROJECTS-Current Year'!$R$2:$R$2525,"APR")</f>
        <v>0</v>
      </c>
      <c r="D24" s="55"/>
      <c r="E24" s="141">
        <f>SUMIFS('QUOTED PROJECTS-Earlier Yr'!$O$2:$O$2598,'QUOTED PROJECTS-Earlier Yr'!$Q$2:$Q$2598,"WON",'QUOTED PROJECTS-Earlier Yr'!$K$2:$K$2598,"1010",'QUOTED PROJECTS-Earlier Yr'!$H$2:$H$2598,"PERKINS",'QUOTED PROJECTS-Earlier Yr'!$R$2:$R$2598,"MAY")+SUMIFS('QUOTED PROJECTS-Current Year'!$O$2:$O$2525,'QUOTED PROJECTS-Current Year'!$Q$2:$Q$2525,"WON",'QUOTED PROJECTS-Current Year'!$K$2:$K$2525,"1010",'QUOTED PROJECTS-Current Year'!$H$2:$H$2525,"PERKINS",'QUOTED PROJECTS-Current Year'!$R$2:$R$2525,"MAY")</f>
        <v>0</v>
      </c>
      <c r="F24" s="55"/>
      <c r="G24" s="141">
        <f>SUMIFS('QUOTED PROJECTS-Earlier Yr'!$O$2:$O$2598,'QUOTED PROJECTS-Earlier Yr'!$Q$2:$Q$2598,"WON",'QUOTED PROJECTS-Earlier Yr'!$K$2:$K$2598,"1010",'QUOTED PROJECTS-Earlier Yr'!$H$2:$H$2598,"PERKINS",'QUOTED PROJECTS-Earlier Yr'!$R$2:$R$2598,"JUN")+SUMIFS('QUOTED PROJECTS-Current Year'!$O$2:$O$2525,'QUOTED PROJECTS-Current Year'!$Q$2:$Q$2525,"WON",'QUOTED PROJECTS-Current Year'!$K$2:$K$2525,"1010",'QUOTED PROJECTS-Current Year'!$H$2:$H$2525,"PERKINS",'QUOTED PROJECTS-Current Year'!$R$2:$R$2525,"JUN")</f>
        <v>0</v>
      </c>
      <c r="H24" s="55"/>
      <c r="I24" s="141">
        <f>SUMIFS('QUOTED PROJECTS-Earlier Yr'!$O$2:$O$2598,'QUOTED PROJECTS-Earlier Yr'!$Q$2:$Q$2598,"WON",'QUOTED PROJECTS-Earlier Yr'!$K$2:$K$2598,"1010",'QUOTED PROJECTS-Earlier Yr'!$H$2:$H$2598,"PERKINS",'QUOTED PROJECTS-Earlier Yr'!$R$2:$R$2598,"JUL")+SUMIFS('QUOTED PROJECTS-Current Year'!$O$2:$O$2525,'QUOTED PROJECTS-Current Year'!$Q$2:$Q$2525,"WON",'QUOTED PROJECTS-Current Year'!$K$2:$K$2525,"1010",'QUOTED PROJECTS-Current Year'!$H$2:$H$2525,"PERKINS",'QUOTED PROJECTS-Current Year'!$R$2:$R$2525,"JUL")</f>
        <v>108.05686601895735</v>
      </c>
      <c r="J24" s="55"/>
      <c r="K24" s="141">
        <f>SUMIFS('QUOTED PROJECTS-Earlier Yr'!$O$2:$O$2598,'QUOTED PROJECTS-Earlier Yr'!$Q$2:$Q$2598,"WON",'QUOTED PROJECTS-Earlier Yr'!$K$2:$K$2598,"1010",'QUOTED PROJECTS-Earlier Yr'!$H$2:$H$2598,"PERKINS",'QUOTED PROJECTS-Earlier Yr'!$R$2:$R$2598,"AUG")+SUMIFS('QUOTED PROJECTS-Current Year'!$O$2:$O$2525,'QUOTED PROJECTS-Current Year'!$Q$2:$Q$2525,"WON",'QUOTED PROJECTS-Current Year'!$K$2:$K$2525,"1010",'QUOTED PROJECTS-Current Year'!$H$2:$H$2525,"PERKINS",'QUOTED PROJECTS-Current Year'!$R$2:$R$2525,"AUG")</f>
        <v>0</v>
      </c>
      <c r="L24" s="55">
        <f>1*52</f>
        <v>52</v>
      </c>
      <c r="M24" s="141">
        <f>SUMIFS('QUOTED PROJECTS-Earlier Yr'!$O$2:$O$2598,'QUOTED PROJECTS-Earlier Yr'!$Q$2:$Q$2598,"WON",'QUOTED PROJECTS-Earlier Yr'!$K$2:$K$2598,"1010",'QUOTED PROJECTS-Earlier Yr'!$H$2:$H$2598,"PERKINS",'QUOTED PROJECTS-Earlier Yr'!$R$2:$R$2598,"SEPT")+SUMIFS('QUOTED PROJECTS-Current Year'!$O$2:$O$2525,'QUOTED PROJECTS-Current Year'!$Q$2:$Q$2525,"WON",'QUOTED PROJECTS-Current Year'!$K$2:$K$2525,"1010",'QUOTED PROJECTS-Current Year'!$H$2:$H$2525,"PERKINS",'QUOTED PROJECTS-Current Year'!$R$2:$R$2525,"SEPT")</f>
        <v>0</v>
      </c>
      <c r="N24" s="55"/>
      <c r="O24" s="141">
        <f>SUMIFS('QUOTED PROJECTS-Earlier Yr'!$O$2:$O$2598,'QUOTED PROJECTS-Earlier Yr'!$Q$2:$Q$2598,"WON",'QUOTED PROJECTS-Earlier Yr'!$K$2:$K$2598,"1010",'QUOTED PROJECTS-Earlier Yr'!$H$2:$H$2598,"PERKINS",'QUOTED PROJECTS-Earlier Yr'!$R$2:$R$2598,"OCT")+SUMIFS('QUOTED PROJECTS-Current Year'!$O$2:$O$2525,'QUOTED PROJECTS-Current Year'!$Q$2:$Q$2525,"WON",'QUOTED PROJECTS-Current Year'!$K$2:$K$2525,"1010",'QUOTED PROJECTS-Current Year'!$H$2:$H$2525,"PERKINS",'QUOTED PROJECTS-Current Year'!$R$2:$R$2525,"OCT")</f>
        <v>0</v>
      </c>
      <c r="P24" s="55"/>
      <c r="Q24" s="141">
        <f>SUMIFS('QUOTED PROJECTS-Earlier Yr'!$O$2:$O$2598,'QUOTED PROJECTS-Earlier Yr'!$Q$2:$Q$2598,"WON",'QUOTED PROJECTS-Earlier Yr'!$K$2:$K$2598,"1010",'QUOTED PROJECTS-Earlier Yr'!$H$2:$H$2598,"PERKINS",'QUOTED PROJECTS-Earlier Yr'!$R$2:$R$2598,"NOV")+SUMIFS('QUOTED PROJECTS-Current Year'!$O$2:$O$2525,'QUOTED PROJECTS-Current Year'!$Q$2:$Q$2525,"WON",'QUOTED PROJECTS-Current Year'!$K$2:$K$2525,"1010",'QUOTED PROJECTS-Current Year'!$H$2:$H$2525,"PERKINS",'QUOTED PROJECTS-Current Year'!$R$2:$R$2525,"NOV")</f>
        <v>0</v>
      </c>
      <c r="R24" s="55"/>
      <c r="S24" s="141">
        <f>SUMIFS('QUOTED PROJECTS-Earlier Yr'!$O$2:$O$2598,'QUOTED PROJECTS-Earlier Yr'!$Q$2:$Q$2598,"WON",'QUOTED PROJECTS-Earlier Yr'!$K$2:$K$2598,"1010",'QUOTED PROJECTS-Earlier Yr'!$H$2:$H$2598,"PERKINS",'QUOTED PROJECTS-Earlier Yr'!$R$2:$R$2598,"DEC")+SUMIFS('QUOTED PROJECTS-Current Year'!$O$2:$O$2525,'QUOTED PROJECTS-Current Year'!$Q$2:$Q$2525,"WON",'QUOTED PROJECTS-Current Year'!$K$2:$K$2525,"1010",'QUOTED PROJECTS-Current Year'!$H$2:$H$2525,"PERKINS",'QUOTED PROJECTS-Current Year'!$R$2:$R$2525,"DEC")</f>
        <v>0</v>
      </c>
      <c r="T24" s="55"/>
      <c r="U24" s="141">
        <f>SUMIFS('QUOTED PROJECTS-Earlier Yr'!$O$2:$O$2598,'QUOTED PROJECTS-Earlier Yr'!$Q$2:$Q$2598,"WON",'QUOTED PROJECTS-Earlier Yr'!$K$2:$K$2598,"1010",'QUOTED PROJECTS-Earlier Yr'!$H$2:$H$2598,"PERKINS",'QUOTED PROJECTS-Earlier Yr'!$R$2:$R$2598,"JAN")+SUMIFS('QUOTED PROJECTS-Current Year'!$O$2:$O$2525,'QUOTED PROJECTS-Current Year'!$Q$2:$Q$2525,"WON",'QUOTED PROJECTS-Current Year'!$K$2:$K$2525,"1010",'QUOTED PROJECTS-Current Year'!$H$2:$H$2525,"PERKINS",'QUOTED PROJECTS-Current Year'!$R$2:$R$2525,"JAN")</f>
        <v>0</v>
      </c>
      <c r="V24" s="55">
        <f>2*52</f>
        <v>104</v>
      </c>
      <c r="W24" s="141">
        <f>SUMIFS('QUOTED PROJECTS-Earlier Yr'!$O$2:$O$2598,'QUOTED PROJECTS-Earlier Yr'!$Q$2:$Q$2598,"WON",'QUOTED PROJECTS-Earlier Yr'!$K$2:$K$2598,"1010",'QUOTED PROJECTS-Earlier Yr'!$H$2:$H$2598,"PERKINS",'QUOTED PROJECTS-Earlier Yr'!$R$2:$R$2598,"FEB")+SUMIFS('QUOTED PROJECTS-Current Year'!$O$2:$O$2525,'QUOTED PROJECTS-Current Year'!$Q$2:$Q$2525,"WON",'QUOTED PROJECTS-Current Year'!$K$2:$K$2525,"1010",'QUOTED PROJECTS-Current Year'!$H$2:$H$2525,"PERKINS",'QUOTED PROJECTS-Current Year'!$R$2:$R$2525,"FEB")</f>
        <v>0</v>
      </c>
      <c r="X24" s="55"/>
      <c r="Y24" s="141">
        <f>SUMIFS('QUOTED PROJECTS-Earlier Yr'!$O$2:$O$2598,'QUOTED PROJECTS-Earlier Yr'!$Q$2:$Q$2598,"WON",'QUOTED PROJECTS-Earlier Yr'!$K$2:$K$2598,"1010",'QUOTED PROJECTS-Earlier Yr'!$H$2:$H$2598,"PERKINS",'QUOTED PROJECTS-Earlier Yr'!$R$2:$R$2598,"MAR")+SUMIFS('QUOTED PROJECTS-Current Year'!$O$2:$O$2525,'QUOTED PROJECTS-Current Year'!$Q$2:$Q$2525,"WON",'QUOTED PROJECTS-Current Year'!$K$2:$K$2525,"1010",'QUOTED PROJECTS-Current Year'!$H$2:$H$2525,"PERKINS",'QUOTED PROJECTS-Current Year'!$R$2:$R$2525,"MAR")</f>
        <v>0</v>
      </c>
      <c r="Z24" s="57">
        <f t="shared" si="3"/>
        <v>156</v>
      </c>
      <c r="AA24" s="37">
        <f t="shared" si="3"/>
        <v>108.05686601895735</v>
      </c>
    </row>
    <row r="25" spans="1:27">
      <c r="A25" s="19">
        <v>1250</v>
      </c>
      <c r="B25" s="55"/>
      <c r="C25" s="141">
        <f>SUMIFS('QUOTED PROJECTS-Earlier Yr'!$O$2:$O$2598,'QUOTED PROJECTS-Earlier Yr'!$Q$2:$Q$2598,"WON",'QUOTED PROJECTS-Earlier Yr'!$K$2:$K$2598,"1250",'QUOTED PROJECTS-Earlier Yr'!$H$2:$H$2598,"PERKINS",'QUOTED PROJECTS-Earlier Yr'!$R$2:$R$2598,"APR")+SUMIFS('QUOTED PROJECTS-Current Year'!$O$2:$O$2525,'QUOTED PROJECTS-Current Year'!$Q$2:$Q$2525,"WON",'QUOTED PROJECTS-Current Year'!$K$2:$K$2525,"1250",'QUOTED PROJECTS-Current Year'!$H$2:$H$2525,"PERKINS",'QUOTED PROJECTS-Current Year'!$R$2:$R$2525,"APR")</f>
        <v>0</v>
      </c>
      <c r="D25" s="55"/>
      <c r="E25" s="141">
        <f>SUMIFS('QUOTED PROJECTS-Earlier Yr'!$O$2:$O$2598,'QUOTED PROJECTS-Earlier Yr'!$Q$2:$Q$2598,"WON",'QUOTED PROJECTS-Earlier Yr'!$K$2:$K$2598,"1250",'QUOTED PROJECTS-Earlier Yr'!$H$2:$H$2598,"PERKINS",'QUOTED PROJECTS-Earlier Yr'!$R$2:$R$2598,"MAY")+SUMIFS('QUOTED PROJECTS-Current Year'!$O$2:$O$2525,'QUOTED PROJECTS-Current Year'!$Q$2:$Q$2525,"WON",'QUOTED PROJECTS-Current Year'!$K$2:$K$2525,"1250",'QUOTED PROJECTS-Current Year'!$H$2:$H$2525,"PERKINS",'QUOTED PROJECTS-Current Year'!$R$2:$R$2525,"MAY")</f>
        <v>0</v>
      </c>
      <c r="F25" s="55">
        <f>3*78</f>
        <v>234</v>
      </c>
      <c r="G25" s="141">
        <f>SUMIFS('QUOTED PROJECTS-Earlier Yr'!$O$2:$O$2598,'QUOTED PROJECTS-Earlier Yr'!$Q$2:$Q$2598,"WON",'QUOTED PROJECTS-Earlier Yr'!$K$2:$K$2598,"1250",'QUOTED PROJECTS-Earlier Yr'!$H$2:$H$2598,"PERKINS",'QUOTED PROJECTS-Earlier Yr'!$R$2:$R$2598,"JUN")+SUMIFS('QUOTED PROJECTS-Current Year'!$O$2:$O$2525,'QUOTED PROJECTS-Current Year'!$Q$2:$Q$2525,"WON",'QUOTED PROJECTS-Current Year'!$K$2:$K$2525,"1250",'QUOTED PROJECTS-Current Year'!$H$2:$H$2525,"PERKINS",'QUOTED PROJECTS-Current Year'!$R$2:$R$2525,"JUN")</f>
        <v>370.81849999999997</v>
      </c>
      <c r="H25" s="55"/>
      <c r="I25" s="141">
        <f>SUMIFS('QUOTED PROJECTS-Earlier Yr'!$O$2:$O$2598,'QUOTED PROJECTS-Earlier Yr'!$Q$2:$Q$2598,"WON",'QUOTED PROJECTS-Earlier Yr'!$K$2:$K$2598,"1250",'QUOTED PROJECTS-Earlier Yr'!$H$2:$H$2598,"PERKINS",'QUOTED PROJECTS-Earlier Yr'!$R$2:$R$2598,"JUL")+SUMIFS('QUOTED PROJECTS-Current Year'!$O$2:$O$2525,'QUOTED PROJECTS-Current Year'!$Q$2:$Q$2525,"WON",'QUOTED PROJECTS-Current Year'!$K$2:$K$2525,"1250",'QUOTED PROJECTS-Current Year'!$H$2:$H$2525,"PERKINS",'QUOTED PROJECTS-Current Year'!$R$2:$R$2525,"JUL")</f>
        <v>0</v>
      </c>
      <c r="J25" s="55">
        <f>1*78</f>
        <v>78</v>
      </c>
      <c r="K25" s="141">
        <f>SUMIFS('QUOTED PROJECTS-Earlier Yr'!$O$2:$O$2598,'QUOTED PROJECTS-Earlier Yr'!$Q$2:$Q$2598,"WON",'QUOTED PROJECTS-Earlier Yr'!$K$2:$K$2598,"1250",'QUOTED PROJECTS-Earlier Yr'!$H$2:$H$2598,"PERKINS",'QUOTED PROJECTS-Earlier Yr'!$R$2:$R$2598,"AUG")+SUMIFS('QUOTED PROJECTS-Current Year'!$O$2:$O$2525,'QUOTED PROJECTS-Current Year'!$Q$2:$Q$2525,"WON",'QUOTED PROJECTS-Current Year'!$K$2:$K$2525,"1250",'QUOTED PROJECTS-Current Year'!$H$2:$H$2525,"PERKINS",'QUOTED PROJECTS-Current Year'!$R$2:$R$2525,"AUG")</f>
        <v>0</v>
      </c>
      <c r="L25" s="55"/>
      <c r="M25" s="141">
        <f>SUMIFS('QUOTED PROJECTS-Earlier Yr'!$O$2:$O$2598,'QUOTED PROJECTS-Earlier Yr'!$Q$2:$Q$2598,"WON",'QUOTED PROJECTS-Earlier Yr'!$K$2:$K$2598,"1250",'QUOTED PROJECTS-Earlier Yr'!$H$2:$H$2598,"PERKINS",'QUOTED PROJECTS-Earlier Yr'!$R$2:$R$2598,"SEPT")+SUMIFS('QUOTED PROJECTS-Current Year'!$O$2:$O$2525,'QUOTED PROJECTS-Current Year'!$Q$2:$Q$2525,"WON",'QUOTED PROJECTS-Current Year'!$K$2:$K$2525,"1250",'QUOTED PROJECTS-Current Year'!$H$2:$H$2525,"PERKINS",'QUOTED PROJECTS-Current Year'!$R$2:$R$2525,"SEPT")</f>
        <v>0</v>
      </c>
      <c r="N25" s="55">
        <f>4*78</f>
        <v>312</v>
      </c>
      <c r="O25" s="141">
        <f>SUMIFS('QUOTED PROJECTS-Earlier Yr'!$O$2:$O$2598,'QUOTED PROJECTS-Earlier Yr'!$Q$2:$Q$2598,"WON",'QUOTED PROJECTS-Earlier Yr'!$K$2:$K$2598,"1250",'QUOTED PROJECTS-Earlier Yr'!$H$2:$H$2598,"PERKINS",'QUOTED PROJECTS-Earlier Yr'!$R$2:$R$2598,"OCT")+SUMIFS('QUOTED PROJECTS-Current Year'!$O$2:$O$2525,'QUOTED PROJECTS-Current Year'!$Q$2:$Q$2525,"WON",'QUOTED PROJECTS-Current Year'!$K$2:$K$2525,"1250",'QUOTED PROJECTS-Current Year'!$H$2:$H$2525,"PERKINS",'QUOTED PROJECTS-Current Year'!$R$2:$R$2525,"OCT")</f>
        <v>0</v>
      </c>
      <c r="P25" s="55"/>
      <c r="Q25" s="141">
        <f>SUMIFS('QUOTED PROJECTS-Earlier Yr'!$O$2:$O$2598,'QUOTED PROJECTS-Earlier Yr'!$Q$2:$Q$2598,"WON",'QUOTED PROJECTS-Earlier Yr'!$K$2:$K$2598,"1250",'QUOTED PROJECTS-Earlier Yr'!$H$2:$H$2598,"PERKINS",'QUOTED PROJECTS-Earlier Yr'!$R$2:$R$2598,"NOV")+SUMIFS('QUOTED PROJECTS-Current Year'!$O$2:$O$2525,'QUOTED PROJECTS-Current Year'!$Q$2:$Q$2525,"WON",'QUOTED PROJECTS-Current Year'!$K$2:$K$2525,"1250",'QUOTED PROJECTS-Current Year'!$H$2:$H$2525,"PERKINS",'QUOTED PROJECTS-Current Year'!$R$2:$R$2525,"NOV")</f>
        <v>0</v>
      </c>
      <c r="R25" s="55"/>
      <c r="S25" s="141">
        <f>SUMIFS('QUOTED PROJECTS-Earlier Yr'!$O$2:$O$2598,'QUOTED PROJECTS-Earlier Yr'!$Q$2:$Q$2598,"WON",'QUOTED PROJECTS-Earlier Yr'!$K$2:$K$2598,"1250",'QUOTED PROJECTS-Earlier Yr'!$H$2:$H$2598,"PERKINS",'QUOTED PROJECTS-Earlier Yr'!$R$2:$R$2598,"DEC")+SUMIFS('QUOTED PROJECTS-Current Year'!$O$2:$O$2525,'QUOTED PROJECTS-Current Year'!$Q$2:$Q$2525,"WON",'QUOTED PROJECTS-Current Year'!$K$2:$K$2525,"1250",'QUOTED PROJECTS-Current Year'!$H$2:$H$2525,"PERKINS",'QUOTED PROJECTS-Current Year'!$R$2:$R$2525,"DEC")</f>
        <v>0</v>
      </c>
      <c r="T25" s="55"/>
      <c r="U25" s="141">
        <f>SUMIFS('QUOTED PROJECTS-Earlier Yr'!$O$2:$O$2598,'QUOTED PROJECTS-Earlier Yr'!$Q$2:$Q$2598,"WON",'QUOTED PROJECTS-Earlier Yr'!$K$2:$K$2598,"1250",'QUOTED PROJECTS-Earlier Yr'!$H$2:$H$2598,"PERKINS",'QUOTED PROJECTS-Earlier Yr'!$R$2:$R$2598,"JAN")+SUMIFS('QUOTED PROJECTS-Current Year'!$O$2:$O$2525,'QUOTED PROJECTS-Current Year'!$Q$2:$Q$2525,"WON",'QUOTED PROJECTS-Current Year'!$K$2:$K$2525,"1250",'QUOTED PROJECTS-Current Year'!$H$2:$H$2525,"PERKINS",'QUOTED PROJECTS-Current Year'!$R$2:$R$2525,"JAN")</f>
        <v>0</v>
      </c>
      <c r="V25" s="55"/>
      <c r="W25" s="141">
        <f>SUMIFS('QUOTED PROJECTS-Earlier Yr'!$O$2:$O$2598,'QUOTED PROJECTS-Earlier Yr'!$Q$2:$Q$2598,"WON",'QUOTED PROJECTS-Earlier Yr'!$K$2:$K$2598,"1250",'QUOTED PROJECTS-Earlier Yr'!$H$2:$H$2598,"PERKINS",'QUOTED PROJECTS-Earlier Yr'!$R$2:$R$2598,"FEB")+SUMIFS('QUOTED PROJECTS-Current Year'!$O$2:$O$2525,'QUOTED PROJECTS-Current Year'!$Q$2:$Q$2525,"WON",'QUOTED PROJECTS-Current Year'!$K$2:$K$2525,"1250",'QUOTED PROJECTS-Current Year'!$H$2:$H$2525,"PERKINS",'QUOTED PROJECTS-Current Year'!$R$2:$R$2525,"FEB")</f>
        <v>0</v>
      </c>
      <c r="X25" s="55"/>
      <c r="Y25" s="141">
        <f>SUMIFS('QUOTED PROJECTS-Earlier Yr'!$O$2:$O$2598,'QUOTED PROJECTS-Earlier Yr'!$Q$2:$Q$2598,"WON",'QUOTED PROJECTS-Earlier Yr'!$K$2:$K$2598,"1250",'QUOTED PROJECTS-Earlier Yr'!$H$2:$H$2598,"PERKINS",'QUOTED PROJECTS-Earlier Yr'!$R$2:$R$2598,"MAR")+SUMIFS('QUOTED PROJECTS-Current Year'!$O$2:$O$2525,'QUOTED PROJECTS-Current Year'!$Q$2:$Q$2525,"WON",'QUOTED PROJECTS-Current Year'!$K$2:$K$2525,"1250",'QUOTED PROJECTS-Current Year'!$H$2:$H$2525,"PERKINS",'QUOTED PROJECTS-Current Year'!$R$2:$R$2525,"MAR")</f>
        <v>0</v>
      </c>
      <c r="Z25" s="57">
        <f t="shared" si="3"/>
        <v>624</v>
      </c>
      <c r="AA25" s="37">
        <f t="shared" si="3"/>
        <v>370.81849999999997</v>
      </c>
    </row>
    <row r="26" spans="1:27">
      <c r="A26" s="19">
        <v>1500</v>
      </c>
      <c r="B26" s="55"/>
      <c r="C26" s="141">
        <f>SUMIFS('QUOTED PROJECTS-Earlier Yr'!$O$2:$O$2598,'QUOTED PROJECTS-Earlier Yr'!$Q$2:$Q$2598,"WON",'QUOTED PROJECTS-Earlier Yr'!$K$2:$K$2598,"1500",'QUOTED PROJECTS-Earlier Yr'!$H$2:$H$2598,"PERKINS",'QUOTED PROJECTS-Earlier Yr'!$R$2:$R$2598,"APR")+SUMIFS('QUOTED PROJECTS-Current Year'!$O$2:$O$2525,'QUOTED PROJECTS-Current Year'!$Q$2:$Q$2525,"WON",'QUOTED PROJECTS-Current Year'!$K$2:$K$2525,"1500",'QUOTED PROJECTS-Current Year'!$H$2:$H$2525,"PERKINS",'QUOTED PROJECTS-Current Year'!$R$2:$R$2525,"APR")</f>
        <v>0</v>
      </c>
      <c r="D26" s="55"/>
      <c r="E26" s="141">
        <f>SUMIFS('QUOTED PROJECTS-Earlier Yr'!$O$2:$O$2598,'QUOTED PROJECTS-Earlier Yr'!$Q$2:$Q$2598,"WON",'QUOTED PROJECTS-Earlier Yr'!$K$2:$K$2598,"1500",'QUOTED PROJECTS-Earlier Yr'!$H$2:$H$2598,"PERKINS",'QUOTED PROJECTS-Earlier Yr'!$R$2:$R$2598,"MAY")+SUMIFS('QUOTED PROJECTS-Current Year'!$O$2:$O$2525,'QUOTED PROJECTS-Current Year'!$Q$2:$Q$2525,"WON",'QUOTED PROJECTS-Current Year'!$K$2:$K$2525,"1500",'QUOTED PROJECTS-Current Year'!$H$2:$H$2525,"PERKINS",'QUOTED PROJECTS-Current Year'!$R$2:$R$2525,"MAY")</f>
        <v>0</v>
      </c>
      <c r="F26" s="55"/>
      <c r="G26" s="141">
        <f>SUMIFS('QUOTED PROJECTS-Earlier Yr'!$O$2:$O$2598,'QUOTED PROJECTS-Earlier Yr'!$Q$2:$Q$2598,"WON",'QUOTED PROJECTS-Earlier Yr'!$K$2:$K$2598,"1500",'QUOTED PROJECTS-Earlier Yr'!$H$2:$H$2598,"PERKINS",'QUOTED PROJECTS-Earlier Yr'!$R$2:$R$2598,"JUN")+SUMIFS('QUOTED PROJECTS-Current Year'!$O$2:$O$2525,'QUOTED PROJECTS-Current Year'!$Q$2:$Q$2525,"WON",'QUOTED PROJECTS-Current Year'!$K$2:$K$2525,"1500",'QUOTED PROJECTS-Current Year'!$H$2:$H$2525,"PERKINS",'QUOTED PROJECTS-Current Year'!$R$2:$R$2525,"JUN")</f>
        <v>0</v>
      </c>
      <c r="H26" s="55"/>
      <c r="I26" s="141">
        <f>SUMIFS('QUOTED PROJECTS-Earlier Yr'!$O$2:$O$2598,'QUOTED PROJECTS-Earlier Yr'!$Q$2:$Q$2598,"WON",'QUOTED PROJECTS-Earlier Yr'!$K$2:$K$2598,"1500",'QUOTED PROJECTS-Earlier Yr'!$H$2:$H$2598,"PERKINS",'QUOTED PROJECTS-Earlier Yr'!$R$2:$R$2598,"JUL")+SUMIFS('QUOTED PROJECTS-Current Year'!$O$2:$O$2525,'QUOTED PROJECTS-Current Year'!$Q$2:$Q$2525,"WON",'QUOTED PROJECTS-Current Year'!$K$2:$K$2525,"1500",'QUOTED PROJECTS-Current Year'!$H$2:$H$2525,"PERKINS",'QUOTED PROJECTS-Current Year'!$R$2:$R$2525,"JUL")</f>
        <v>0</v>
      </c>
      <c r="J26" s="55"/>
      <c r="K26" s="141">
        <f>SUMIFS('QUOTED PROJECTS-Earlier Yr'!$O$2:$O$2598,'QUOTED PROJECTS-Earlier Yr'!$Q$2:$Q$2598,"WON",'QUOTED PROJECTS-Earlier Yr'!$K$2:$K$2598,"1500",'QUOTED PROJECTS-Earlier Yr'!$H$2:$H$2598,"PERKINS",'QUOTED PROJECTS-Earlier Yr'!$R$2:$R$2598,"AUG")+SUMIFS('QUOTED PROJECTS-Current Year'!$O$2:$O$2525,'QUOTED PROJECTS-Current Year'!$Q$2:$Q$2525,"WON",'QUOTED PROJECTS-Current Year'!$K$2:$K$2525,"1500",'QUOTED PROJECTS-Current Year'!$H$2:$H$2525,"PERKINS",'QUOTED PROJECTS-Current Year'!$R$2:$R$2525,"AUG")</f>
        <v>0</v>
      </c>
      <c r="L26" s="55"/>
      <c r="M26" s="141">
        <f>SUMIFS('QUOTED PROJECTS-Earlier Yr'!$O$2:$O$2598,'QUOTED PROJECTS-Earlier Yr'!$Q$2:$Q$2598,"WON",'QUOTED PROJECTS-Earlier Yr'!$K$2:$K$2598,"1500",'QUOTED PROJECTS-Earlier Yr'!$H$2:$H$2598,"PERKINS",'QUOTED PROJECTS-Earlier Yr'!$R$2:$R$2598,"SEPT")+SUMIFS('QUOTED PROJECTS-Current Year'!$O$2:$O$2525,'QUOTED PROJECTS-Current Year'!$Q$2:$Q$2525,"WON",'QUOTED PROJECTS-Current Year'!$K$2:$K$2525,"1500",'QUOTED PROJECTS-Current Year'!$H$2:$H$2525,"PERKINS",'QUOTED PROJECTS-Current Year'!$R$2:$R$2525,"SEPT")</f>
        <v>0</v>
      </c>
      <c r="N26" s="55"/>
      <c r="O26" s="141">
        <f>SUMIFS('QUOTED PROJECTS-Earlier Yr'!$O$2:$O$2598,'QUOTED PROJECTS-Earlier Yr'!$Q$2:$Q$2598,"WON",'QUOTED PROJECTS-Earlier Yr'!$K$2:$K$2598,"1500",'QUOTED PROJECTS-Earlier Yr'!$H$2:$H$2598,"PERKINS",'QUOTED PROJECTS-Earlier Yr'!$R$2:$R$2598,"OCT")+SUMIFS('QUOTED PROJECTS-Current Year'!$O$2:$O$2525,'QUOTED PROJECTS-Current Year'!$Q$2:$Q$2525,"WON",'QUOTED PROJECTS-Current Year'!$K$2:$K$2525,"1500",'QUOTED PROJECTS-Current Year'!$H$2:$H$2525,"PERKINS",'QUOTED PROJECTS-Current Year'!$R$2:$R$2525,"OCT")</f>
        <v>0</v>
      </c>
      <c r="P26" s="55">
        <f>3*82</f>
        <v>246</v>
      </c>
      <c r="Q26" s="141">
        <f>SUMIFS('QUOTED PROJECTS-Earlier Yr'!$O$2:$O$2598,'QUOTED PROJECTS-Earlier Yr'!$Q$2:$Q$2598,"WON",'QUOTED PROJECTS-Earlier Yr'!$K$2:$K$2598,"1500",'QUOTED PROJECTS-Earlier Yr'!$H$2:$H$2598,"PERKINS",'QUOTED PROJECTS-Earlier Yr'!$R$2:$R$2598,"NOV")+SUMIFS('QUOTED PROJECTS-Current Year'!$O$2:$O$2525,'QUOTED PROJECTS-Current Year'!$Q$2:$Q$2525,"WON",'QUOTED PROJECTS-Current Year'!$K$2:$K$2525,"1500",'QUOTED PROJECTS-Current Year'!$H$2:$H$2525,"PERKINS",'QUOTED PROJECTS-Current Year'!$R$2:$R$2525,"NOV")</f>
        <v>0</v>
      </c>
      <c r="R26" s="55"/>
      <c r="S26" s="141">
        <f>SUMIFS('QUOTED PROJECTS-Earlier Yr'!$O$2:$O$2598,'QUOTED PROJECTS-Earlier Yr'!$Q$2:$Q$2598,"WON",'QUOTED PROJECTS-Earlier Yr'!$K$2:$K$2598,"1500",'QUOTED PROJECTS-Earlier Yr'!$H$2:$H$2598,"PERKINS",'QUOTED PROJECTS-Earlier Yr'!$R$2:$R$2598,"DEC")+SUMIFS('QUOTED PROJECTS-Current Year'!$O$2:$O$2525,'QUOTED PROJECTS-Current Year'!$Q$2:$Q$2525,"WON",'QUOTED PROJECTS-Current Year'!$K$2:$K$2525,"1500",'QUOTED PROJECTS-Current Year'!$H$2:$H$2525,"PERKINS",'QUOTED PROJECTS-Current Year'!$R$2:$R$2525,"DEC")</f>
        <v>0</v>
      </c>
      <c r="T26" s="55"/>
      <c r="U26" s="141">
        <f>SUMIFS('QUOTED PROJECTS-Earlier Yr'!$O$2:$O$2598,'QUOTED PROJECTS-Earlier Yr'!$Q$2:$Q$2598,"WON",'QUOTED PROJECTS-Earlier Yr'!$K$2:$K$2598,"1500",'QUOTED PROJECTS-Earlier Yr'!$H$2:$H$2598,"PERKINS",'QUOTED PROJECTS-Earlier Yr'!$R$2:$R$2598,"JAN")+SUMIFS('QUOTED PROJECTS-Current Year'!$O$2:$O$2525,'QUOTED PROJECTS-Current Year'!$Q$2:$Q$2525,"WON",'QUOTED PROJECTS-Current Year'!$K$2:$K$2525,"1500",'QUOTED PROJECTS-Current Year'!$H$2:$H$2525,"PERKINS",'QUOTED PROJECTS-Current Year'!$R$2:$R$2525,"JAN")</f>
        <v>0</v>
      </c>
      <c r="V26" s="55"/>
      <c r="W26" s="141">
        <f>SUMIFS('QUOTED PROJECTS-Earlier Yr'!$O$2:$O$2598,'QUOTED PROJECTS-Earlier Yr'!$Q$2:$Q$2598,"WON",'QUOTED PROJECTS-Earlier Yr'!$K$2:$K$2598,"1500",'QUOTED PROJECTS-Earlier Yr'!$H$2:$H$2598,"PERKINS",'QUOTED PROJECTS-Earlier Yr'!$R$2:$R$2598,"FEB")+SUMIFS('QUOTED PROJECTS-Current Year'!$O$2:$O$2525,'QUOTED PROJECTS-Current Year'!$Q$2:$Q$2525,"WON",'QUOTED PROJECTS-Current Year'!$K$2:$K$2525,"1500",'QUOTED PROJECTS-Current Year'!$H$2:$H$2525,"PERKINS",'QUOTED PROJECTS-Current Year'!$R$2:$R$2525,"FEB")</f>
        <v>0</v>
      </c>
      <c r="X26" s="55"/>
      <c r="Y26" s="141">
        <f>SUMIFS('QUOTED PROJECTS-Earlier Yr'!$O$2:$O$2598,'QUOTED PROJECTS-Earlier Yr'!$Q$2:$Q$2598,"WON",'QUOTED PROJECTS-Earlier Yr'!$K$2:$K$2598,"1500",'QUOTED PROJECTS-Earlier Yr'!$H$2:$H$2598,"PERKINS",'QUOTED PROJECTS-Earlier Yr'!$R$2:$R$2598,"MAR")+SUMIFS('QUOTED PROJECTS-Current Year'!$O$2:$O$2525,'QUOTED PROJECTS-Current Year'!$Q$2:$Q$2525,"WON",'QUOTED PROJECTS-Current Year'!$K$2:$K$2525,"1500",'QUOTED PROJECTS-Current Year'!$H$2:$H$2525,"PERKINS",'QUOTED PROJECTS-Current Year'!$R$2:$R$2525,"MAR")</f>
        <v>0</v>
      </c>
      <c r="Z26" s="57">
        <f t="shared" si="3"/>
        <v>246</v>
      </c>
      <c r="AA26" s="37">
        <f t="shared" si="3"/>
        <v>0</v>
      </c>
    </row>
    <row r="27" spans="1:27">
      <c r="A27" s="19">
        <v>1800</v>
      </c>
      <c r="B27" s="55"/>
      <c r="C27" s="141">
        <f>SUMIFS('QUOTED PROJECTS-Earlier Yr'!$O$2:$O$2598,'QUOTED PROJECTS-Earlier Yr'!$Q$2:$Q$2598,"WON",'QUOTED PROJECTS-Earlier Yr'!$K$2:$K$2598,"1800",'QUOTED PROJECTS-Earlier Yr'!$H$2:$H$2598,"PERKINS",'QUOTED PROJECTS-Earlier Yr'!$R$2:$R$2598,"APR")+SUMIFS('QUOTED PROJECTS-Current Year'!$O$2:$O$2525,'QUOTED PROJECTS-Current Year'!$Q$2:$Q$2525,"WON",'QUOTED PROJECTS-Current Year'!$K$2:$K$2525,"1800",'QUOTED PROJECTS-Current Year'!$H$2:$H$2525,"PERKINS",'QUOTED PROJECTS-Current Year'!$R$2:$R$2525,"APR")</f>
        <v>0</v>
      </c>
      <c r="D27" s="55"/>
      <c r="E27" s="141">
        <f>SUMIFS('QUOTED PROJECTS-Earlier Yr'!$O$2:$O$2598,'QUOTED PROJECTS-Earlier Yr'!$Q$2:$Q$2598,"WON",'QUOTED PROJECTS-Earlier Yr'!$K$2:$K$2598,"1800",'QUOTED PROJECTS-Earlier Yr'!$H$2:$H$2598,"PERKINS",'QUOTED PROJECTS-Earlier Yr'!$R$2:$R$2598,"MAY")+SUMIFS('QUOTED PROJECTS-Current Year'!$O$2:$O$2525,'QUOTED PROJECTS-Current Year'!$Q$2:$Q$2525,"WON",'QUOTED PROJECTS-Current Year'!$K$2:$K$2525,"1800",'QUOTED PROJECTS-Current Year'!$H$2:$H$2525,"PERKINS",'QUOTED PROJECTS-Current Year'!$R$2:$R$2525,"MAY")</f>
        <v>0</v>
      </c>
      <c r="F27" s="55"/>
      <c r="G27" s="141">
        <f>SUMIFS('QUOTED PROJECTS-Earlier Yr'!$O$2:$O$2598,'QUOTED PROJECTS-Earlier Yr'!$Q$2:$Q$2598,"WON",'QUOTED PROJECTS-Earlier Yr'!$K$2:$K$2598,"1800",'QUOTED PROJECTS-Earlier Yr'!$H$2:$H$2598,"PERKINS",'QUOTED PROJECTS-Earlier Yr'!$R$2:$R$2598,"JUN")+SUMIFS('QUOTED PROJECTS-Current Year'!$O$2:$O$2525,'QUOTED PROJECTS-Current Year'!$Q$2:$Q$2525,"WON",'QUOTED PROJECTS-Current Year'!$K$2:$K$2525,"1800",'QUOTED PROJECTS-Current Year'!$H$2:$H$2525,"PERKINS",'QUOTED PROJECTS-Current Year'!$R$2:$R$2525,"JUN")</f>
        <v>0</v>
      </c>
      <c r="H27" s="55"/>
      <c r="I27" s="141">
        <f>SUMIFS('QUOTED PROJECTS-Earlier Yr'!$O$2:$O$2598,'QUOTED PROJECTS-Earlier Yr'!$Q$2:$Q$2598,"WON",'QUOTED PROJECTS-Earlier Yr'!$K$2:$K$2598,"1800",'QUOTED PROJECTS-Earlier Yr'!$H$2:$H$2598,"PERKINS",'QUOTED PROJECTS-Earlier Yr'!$R$2:$R$2598,"JUL")+SUMIFS('QUOTED PROJECTS-Current Year'!$O$2:$O$2525,'QUOTED PROJECTS-Current Year'!$Q$2:$Q$2525,"WON",'QUOTED PROJECTS-Current Year'!$K$2:$K$2525,"1800",'QUOTED PROJECTS-Current Year'!$H$2:$H$2525,"PERKINS",'QUOTED PROJECTS-Current Year'!$R$2:$R$2525,"JUL")</f>
        <v>0</v>
      </c>
      <c r="J27" s="55"/>
      <c r="K27" s="141">
        <f>SUMIFS('QUOTED PROJECTS-Earlier Yr'!$O$2:$O$2598,'QUOTED PROJECTS-Earlier Yr'!$Q$2:$Q$2598,"WON",'QUOTED PROJECTS-Earlier Yr'!$K$2:$K$2598,"1800",'QUOTED PROJECTS-Earlier Yr'!$H$2:$H$2598,"PERKINS",'QUOTED PROJECTS-Earlier Yr'!$R$2:$R$2598,"AUG")+SUMIFS('QUOTED PROJECTS-Current Year'!$O$2:$O$2525,'QUOTED PROJECTS-Current Year'!$Q$2:$Q$2525,"WON",'QUOTED PROJECTS-Current Year'!$K$2:$K$2525,"1800",'QUOTED PROJECTS-Current Year'!$H$2:$H$2525,"PERKINS",'QUOTED PROJECTS-Current Year'!$R$2:$R$2525,"AUG")</f>
        <v>0</v>
      </c>
      <c r="L27" s="55"/>
      <c r="M27" s="141">
        <f>SUMIFS('QUOTED PROJECTS-Earlier Yr'!$O$2:$O$2598,'QUOTED PROJECTS-Earlier Yr'!$Q$2:$Q$2598,"WON",'QUOTED PROJECTS-Earlier Yr'!$K$2:$K$2598,"1800",'QUOTED PROJECTS-Earlier Yr'!$H$2:$H$2598,"PERKINS",'QUOTED PROJECTS-Earlier Yr'!$R$2:$R$2598,"SEPT")+SUMIFS('QUOTED PROJECTS-Current Year'!$O$2:$O$2525,'QUOTED PROJECTS-Current Year'!$Q$2:$Q$2525,"WON",'QUOTED PROJECTS-Current Year'!$K$2:$K$2525,"1800",'QUOTED PROJECTS-Current Year'!$H$2:$H$2525,"PERKINS",'QUOTED PROJECTS-Current Year'!$R$2:$R$2525,"SEPT")</f>
        <v>0</v>
      </c>
      <c r="N27" s="55"/>
      <c r="O27" s="141">
        <f>SUMIFS('QUOTED PROJECTS-Earlier Yr'!$O$2:$O$2598,'QUOTED PROJECTS-Earlier Yr'!$Q$2:$Q$2598,"WON",'QUOTED PROJECTS-Earlier Yr'!$K$2:$K$2598,"1800",'QUOTED PROJECTS-Earlier Yr'!$H$2:$H$2598,"PERKINS",'QUOTED PROJECTS-Earlier Yr'!$R$2:$R$2598,"OCT")+SUMIFS('QUOTED PROJECTS-Current Year'!$O$2:$O$2525,'QUOTED PROJECTS-Current Year'!$Q$2:$Q$2525,"WON",'QUOTED PROJECTS-Current Year'!$K$2:$K$2525,"1800",'QUOTED PROJECTS-Current Year'!$H$2:$H$2525,"PERKINS",'QUOTED PROJECTS-Current Year'!$R$2:$R$2525,"OCT")</f>
        <v>0</v>
      </c>
      <c r="P27" s="55"/>
      <c r="Q27" s="141">
        <f>SUMIFS('QUOTED PROJECTS-Earlier Yr'!$O$2:$O$2598,'QUOTED PROJECTS-Earlier Yr'!$Q$2:$Q$2598,"WON",'QUOTED PROJECTS-Earlier Yr'!$K$2:$K$2598,"1800",'QUOTED PROJECTS-Earlier Yr'!$H$2:$H$2598,"PERKINS",'QUOTED PROJECTS-Earlier Yr'!$R$2:$R$2598,"NOV")+SUMIFS('QUOTED PROJECTS-Current Year'!$O$2:$O$2525,'QUOTED PROJECTS-Current Year'!$Q$2:$Q$2525,"WON",'QUOTED PROJECTS-Current Year'!$K$2:$K$2525,"1800",'QUOTED PROJECTS-Current Year'!$H$2:$H$2525,"PERKINS",'QUOTED PROJECTS-Current Year'!$R$2:$R$2525,"NOV")</f>
        <v>0</v>
      </c>
      <c r="R27" s="55"/>
      <c r="S27" s="141">
        <f>SUMIFS('QUOTED PROJECTS-Earlier Yr'!$O$2:$O$2598,'QUOTED PROJECTS-Earlier Yr'!$Q$2:$Q$2598,"WON",'QUOTED PROJECTS-Earlier Yr'!$K$2:$K$2598,"1800",'QUOTED PROJECTS-Earlier Yr'!$H$2:$H$2598,"PERKINS",'QUOTED PROJECTS-Earlier Yr'!$R$2:$R$2598,"DEC")+SUMIFS('QUOTED PROJECTS-Current Year'!$O$2:$O$2525,'QUOTED PROJECTS-Current Year'!$Q$2:$Q$2525,"WON",'QUOTED PROJECTS-Current Year'!$K$2:$K$2525,"1800",'QUOTED PROJECTS-Current Year'!$H$2:$H$2525,"PERKINS",'QUOTED PROJECTS-Current Year'!$R$2:$R$2525,"DEC")</f>
        <v>0</v>
      </c>
      <c r="T27" s="55"/>
      <c r="U27" s="141">
        <f>SUMIFS('QUOTED PROJECTS-Earlier Yr'!$O$2:$O$2598,'QUOTED PROJECTS-Earlier Yr'!$Q$2:$Q$2598,"WON",'QUOTED PROJECTS-Earlier Yr'!$K$2:$K$2598,"1800",'QUOTED PROJECTS-Earlier Yr'!$H$2:$H$2598,"PERKINS",'QUOTED PROJECTS-Earlier Yr'!$R$2:$R$2598,"JAN")+SUMIFS('QUOTED PROJECTS-Current Year'!$O$2:$O$2525,'QUOTED PROJECTS-Current Year'!$Q$2:$Q$2525,"WON",'QUOTED PROJECTS-Current Year'!$K$2:$K$2525,"1800",'QUOTED PROJECTS-Current Year'!$H$2:$H$2525,"PERKINS",'QUOTED PROJECTS-Current Year'!$R$2:$R$2525,"JAN")</f>
        <v>0</v>
      </c>
      <c r="V27" s="55"/>
      <c r="W27" s="141">
        <f>SUMIFS('QUOTED PROJECTS-Earlier Yr'!$O$2:$O$2598,'QUOTED PROJECTS-Earlier Yr'!$Q$2:$Q$2598,"WON",'QUOTED PROJECTS-Earlier Yr'!$K$2:$K$2598,"1800",'QUOTED PROJECTS-Earlier Yr'!$H$2:$H$2598,"PERKINS",'QUOTED PROJECTS-Earlier Yr'!$R$2:$R$2598,"FEB")+SUMIFS('QUOTED PROJECTS-Current Year'!$O$2:$O$2525,'QUOTED PROJECTS-Current Year'!$Q$2:$Q$2525,"WON",'QUOTED PROJECTS-Current Year'!$K$2:$K$2525,"1800",'QUOTED PROJECTS-Current Year'!$H$2:$H$2525,"PERKINS",'QUOTED PROJECTS-Current Year'!$R$2:$R$2525,"FEB")</f>
        <v>0</v>
      </c>
      <c r="X27" s="55"/>
      <c r="Y27" s="141">
        <f>SUMIFS('QUOTED PROJECTS-Earlier Yr'!$O$2:$O$2598,'QUOTED PROJECTS-Earlier Yr'!$Q$2:$Q$2598,"WON",'QUOTED PROJECTS-Earlier Yr'!$K$2:$K$2598,"1800",'QUOTED PROJECTS-Earlier Yr'!$H$2:$H$2598,"PERKINS",'QUOTED PROJECTS-Earlier Yr'!$R$2:$R$2598,"MAR")+SUMIFS('QUOTED PROJECTS-Current Year'!$O$2:$O$2525,'QUOTED PROJECTS-Current Year'!$Q$2:$Q$2525,"WON",'QUOTED PROJECTS-Current Year'!$K$2:$K$2525,"1800",'QUOTED PROJECTS-Current Year'!$H$2:$H$2525,"PERKINS",'QUOTED PROJECTS-Current Year'!$R$2:$R$2525,"MAR")</f>
        <v>0</v>
      </c>
      <c r="Z27" s="57">
        <f t="shared" si="3"/>
        <v>0</v>
      </c>
      <c r="AA27" s="37">
        <f t="shared" si="3"/>
        <v>0</v>
      </c>
    </row>
    <row r="28" spans="1:27" ht="13.5" thickBot="1">
      <c r="A28" s="19">
        <v>2000</v>
      </c>
      <c r="B28" s="55">
        <f>4*140</f>
        <v>560</v>
      </c>
      <c r="C28" s="141">
        <f>SUMIFS('QUOTED PROJECTS-Earlier Yr'!$O$2:$O$2598,'QUOTED PROJECTS-Earlier Yr'!$Q$2:$Q$2598,"WON",'QUOTED PROJECTS-Earlier Yr'!$K$2:$K$2598,"2000",'QUOTED PROJECTS-Earlier Yr'!$H$2:$H$2598,"PERKINS",'QUOTED PROJECTS-Earlier Yr'!$R$2:$R$2598,"APR")+SUMIFS('QUOTED PROJECTS-Current Year'!$O$2:$O$2525,'QUOTED PROJECTS-Current Year'!$Q$2:$Q$2525,"WON",'QUOTED PROJECTS-Current Year'!$K$2:$K$2525,"2000",'QUOTED PROJECTS-Current Year'!$H$2:$H$2525,"PERKINS",'QUOTED PROJECTS-Current Year'!$R$2:$R$2525,"APR")</f>
        <v>0</v>
      </c>
      <c r="D28" s="55"/>
      <c r="E28" s="141">
        <f>SUMIFS('QUOTED PROJECTS-Earlier Yr'!$O$2:$O$2598,'QUOTED PROJECTS-Earlier Yr'!$Q$2:$Q$2598,"WON",'QUOTED PROJECTS-Earlier Yr'!$K$2:$K$2598,"2000",'QUOTED PROJECTS-Earlier Yr'!$H$2:$H$2598,"PERKINS",'QUOTED PROJECTS-Earlier Yr'!$R$2:$R$2598,"MAY")+SUMIFS('QUOTED PROJECTS-Current Year'!$O$2:$O$2525,'QUOTED PROJECTS-Current Year'!$Q$2:$Q$2525,"WON",'QUOTED PROJECTS-Current Year'!$K$2:$K$2525,"2000",'QUOTED PROJECTS-Current Year'!$H$2:$H$2525,"PERKINS",'QUOTED PROJECTS-Current Year'!$R$2:$R$2525,"MAY")</f>
        <v>0</v>
      </c>
      <c r="F28" s="55"/>
      <c r="G28" s="141">
        <f>SUMIFS('QUOTED PROJECTS-Earlier Yr'!$O$2:$O$2598,'QUOTED PROJECTS-Earlier Yr'!$Q$2:$Q$2598,"WON",'QUOTED PROJECTS-Earlier Yr'!$K$2:$K$2598,"2000",'QUOTED PROJECTS-Earlier Yr'!$H$2:$H$2598,"PERKINS",'QUOTED PROJECTS-Earlier Yr'!$R$2:$R$2598,"JUN")+SUMIFS('QUOTED PROJECTS-Current Year'!$O$2:$O$2525,'QUOTED PROJECTS-Current Year'!$Q$2:$Q$2525,"WON",'QUOTED PROJECTS-Current Year'!$K$2:$K$2525,"2000",'QUOTED PROJECTS-Current Year'!$H$2:$H$2525,"PERKINS",'QUOTED PROJECTS-Current Year'!$R$2:$R$2525,"JUN")</f>
        <v>0</v>
      </c>
      <c r="H28" s="55">
        <f>4*145</f>
        <v>580</v>
      </c>
      <c r="I28" s="141">
        <f>SUMIFS('QUOTED PROJECTS-Earlier Yr'!$O$2:$O$2598,'QUOTED PROJECTS-Earlier Yr'!$Q$2:$Q$2598,"WON",'QUOTED PROJECTS-Earlier Yr'!$K$2:$K$2598,"2000",'QUOTED PROJECTS-Earlier Yr'!$H$2:$H$2598,"PERKINS",'QUOTED PROJECTS-Earlier Yr'!$R$2:$R$2598,"JUL")+SUMIFS('QUOTED PROJECTS-Current Year'!$O$2:$O$2525,'QUOTED PROJECTS-Current Year'!$Q$2:$Q$2525,"WON",'QUOTED PROJECTS-Current Year'!$K$2:$K$2525,"2000",'QUOTED PROJECTS-Current Year'!$H$2:$H$2525,"PERKINS",'QUOTED PROJECTS-Current Year'!$R$2:$R$2525,"JUL")</f>
        <v>0</v>
      </c>
      <c r="J28" s="55"/>
      <c r="K28" s="141">
        <f>SUMIFS('QUOTED PROJECTS-Earlier Yr'!$O$2:$O$2598,'QUOTED PROJECTS-Earlier Yr'!$Q$2:$Q$2598,"WON",'QUOTED PROJECTS-Earlier Yr'!$K$2:$K$2598,"2000",'QUOTED PROJECTS-Earlier Yr'!$H$2:$H$2598,"PERKINS",'QUOTED PROJECTS-Earlier Yr'!$R$2:$R$2598,"AUG")+SUMIFS('QUOTED PROJECTS-Current Year'!$O$2:$O$2525,'QUOTED PROJECTS-Current Year'!$Q$2:$Q$2525,"WON",'QUOTED PROJECTS-Current Year'!$K$2:$K$2525,"2000",'QUOTED PROJECTS-Current Year'!$H$2:$H$2525,"PERKINS",'QUOTED PROJECTS-Current Year'!$R$2:$R$2525,"AUG")</f>
        <v>1040.85436</v>
      </c>
      <c r="L28" s="55"/>
      <c r="M28" s="141">
        <f>SUMIFS('QUOTED PROJECTS-Earlier Yr'!$O$2:$O$2598,'QUOTED PROJECTS-Earlier Yr'!$Q$2:$Q$2598,"WON",'QUOTED PROJECTS-Earlier Yr'!$K$2:$K$2598,"2000",'QUOTED PROJECTS-Earlier Yr'!$H$2:$H$2598,"PERKINS",'QUOTED PROJECTS-Earlier Yr'!$R$2:$R$2598,"SEPT")+SUMIFS('QUOTED PROJECTS-Current Year'!$O$2:$O$2525,'QUOTED PROJECTS-Current Year'!$Q$2:$Q$2525,"WON",'QUOTED PROJECTS-Current Year'!$K$2:$K$2525,"2000",'QUOTED PROJECTS-Current Year'!$H$2:$H$2525,"PERKINS",'QUOTED PROJECTS-Current Year'!$R$2:$R$2525,"SEPT")</f>
        <v>0</v>
      </c>
      <c r="N28" s="55"/>
      <c r="O28" s="141">
        <f>SUMIFS('QUOTED PROJECTS-Earlier Yr'!$O$2:$O$2598,'QUOTED PROJECTS-Earlier Yr'!$Q$2:$Q$2598,"WON",'QUOTED PROJECTS-Earlier Yr'!$K$2:$K$2598,"2000",'QUOTED PROJECTS-Earlier Yr'!$H$2:$H$2598,"PERKINS",'QUOTED PROJECTS-Earlier Yr'!$R$2:$R$2598,"OCT")+SUMIFS('QUOTED PROJECTS-Current Year'!$O$2:$O$2525,'QUOTED PROJECTS-Current Year'!$Q$2:$Q$2525,"WON",'QUOTED PROJECTS-Current Year'!$K$2:$K$2525,"2000",'QUOTED PROJECTS-Current Year'!$H$2:$H$2525,"PERKINS",'QUOTED PROJECTS-Current Year'!$R$2:$R$2525,"OCT")</f>
        <v>0</v>
      </c>
      <c r="P28" s="55"/>
      <c r="Q28" s="141">
        <f>SUMIFS('QUOTED PROJECTS-Earlier Yr'!$O$2:$O$2598,'QUOTED PROJECTS-Earlier Yr'!$Q$2:$Q$2598,"WON",'QUOTED PROJECTS-Earlier Yr'!$K$2:$K$2598,"2000",'QUOTED PROJECTS-Earlier Yr'!$H$2:$H$2598,"PERKINS",'QUOTED PROJECTS-Earlier Yr'!$R$2:$R$2598,"NOV")+SUMIFS('QUOTED PROJECTS-Current Year'!$O$2:$O$2525,'QUOTED PROJECTS-Current Year'!$Q$2:$Q$2525,"WON",'QUOTED PROJECTS-Current Year'!$K$2:$K$2525,"2000",'QUOTED PROJECTS-Current Year'!$H$2:$H$2525,"PERKINS",'QUOTED PROJECTS-Current Year'!$R$2:$R$2525,"NOV")</f>
        <v>0</v>
      </c>
      <c r="R28" s="55"/>
      <c r="S28" s="141">
        <f>SUMIFS('QUOTED PROJECTS-Earlier Yr'!$O$2:$O$2598,'QUOTED PROJECTS-Earlier Yr'!$Q$2:$Q$2598,"WON",'QUOTED PROJECTS-Earlier Yr'!$K$2:$K$2598,"2000",'QUOTED PROJECTS-Earlier Yr'!$H$2:$H$2598,"PERKINS",'QUOTED PROJECTS-Earlier Yr'!$R$2:$R$2598,"DEC")+SUMIFS('QUOTED PROJECTS-Current Year'!$O$2:$O$2525,'QUOTED PROJECTS-Current Year'!$Q$2:$Q$2525,"WON",'QUOTED PROJECTS-Current Year'!$K$2:$K$2525,"2000",'QUOTED PROJECTS-Current Year'!$H$2:$H$2525,"PERKINS",'QUOTED PROJECTS-Current Year'!$R$2:$R$2525,"DEC")</f>
        <v>0</v>
      </c>
      <c r="T28" s="55">
        <f>4*151</f>
        <v>604</v>
      </c>
      <c r="U28" s="141">
        <f>SUMIFS('QUOTED PROJECTS-Earlier Yr'!$O$2:$O$2598,'QUOTED PROJECTS-Earlier Yr'!$Q$2:$Q$2598,"WON",'QUOTED PROJECTS-Earlier Yr'!$K$2:$K$2598,"2000",'QUOTED PROJECTS-Earlier Yr'!$H$2:$H$2598,"PERKINS",'QUOTED PROJECTS-Earlier Yr'!$R$2:$R$2598,"JAN")+SUMIFS('QUOTED PROJECTS-Current Year'!$O$2:$O$2525,'QUOTED PROJECTS-Current Year'!$Q$2:$Q$2525,"WON",'QUOTED PROJECTS-Current Year'!$K$2:$K$2525,"2000",'QUOTED PROJECTS-Current Year'!$H$2:$H$2525,"PERKINS",'QUOTED PROJECTS-Current Year'!$R$2:$R$2525,"JAN")</f>
        <v>0</v>
      </c>
      <c r="V28" s="55"/>
      <c r="W28" s="141">
        <f>SUMIFS('QUOTED PROJECTS-Earlier Yr'!$O$2:$O$2598,'QUOTED PROJECTS-Earlier Yr'!$Q$2:$Q$2598,"WON",'QUOTED PROJECTS-Earlier Yr'!$K$2:$K$2598,"2000",'QUOTED PROJECTS-Earlier Yr'!$H$2:$H$2598,"PERKINS",'QUOTED PROJECTS-Earlier Yr'!$R$2:$R$2598,"FEB")+SUMIFS('QUOTED PROJECTS-Current Year'!$O$2:$O$2525,'QUOTED PROJECTS-Current Year'!$Q$2:$Q$2525,"WON",'QUOTED PROJECTS-Current Year'!$K$2:$K$2525,"2000",'QUOTED PROJECTS-Current Year'!$H$2:$H$2525,"PERKINS",'QUOTED PROJECTS-Current Year'!$R$2:$R$2525,"FEB")</f>
        <v>0</v>
      </c>
      <c r="X28" s="55"/>
      <c r="Y28" s="141">
        <f>SUMIFS('QUOTED PROJECTS-Earlier Yr'!$O$2:$O$2598,'QUOTED PROJECTS-Earlier Yr'!$Q$2:$Q$2598,"WON",'QUOTED PROJECTS-Earlier Yr'!$K$2:$K$2598,"2000",'QUOTED PROJECTS-Earlier Yr'!$H$2:$H$2598,"PERKINS",'QUOTED PROJECTS-Earlier Yr'!$R$2:$R$2598,"MAR")+SUMIFS('QUOTED PROJECTS-Current Year'!$O$2:$O$2525,'QUOTED PROJECTS-Current Year'!$Q$2:$Q$2525,"WON",'QUOTED PROJECTS-Current Year'!$K$2:$K$2525,"2000",'QUOTED PROJECTS-Current Year'!$H$2:$H$2525,"PERKINS",'QUOTED PROJECTS-Current Year'!$R$2:$R$2525,"MAR")</f>
        <v>0</v>
      </c>
      <c r="Z28" s="57">
        <f t="shared" si="3"/>
        <v>1744</v>
      </c>
      <c r="AA28" s="39">
        <f t="shared" si="3"/>
        <v>1040.85436</v>
      </c>
    </row>
    <row r="29" spans="1:27" ht="14.25" thickTop="1" thickBot="1">
      <c r="A29" s="19">
        <v>2250</v>
      </c>
      <c r="B29" s="55"/>
      <c r="C29" s="141">
        <f>SUMIFS('QUOTED PROJECTS-Earlier Yr'!$O$2:$O$2598,'QUOTED PROJECTS-Earlier Yr'!$Q$2:$Q$2598,"WON",'QUOTED PROJECTS-Earlier Yr'!$K$2:$K$2598,"2250",'QUOTED PROJECTS-Earlier Yr'!$H$2:$H$2598,"PERKINS",'QUOTED PROJECTS-Earlier Yr'!$R$2:$R$2598,"APR")+SUMIFS('QUOTED PROJECTS-Current Year'!$O$2:$O$2525,'QUOTED PROJECTS-Current Year'!$Q$2:$Q$2525,"WON",'QUOTED PROJECTS-Current Year'!$K$2:$K$2525,"2250",'QUOTED PROJECTS-Current Year'!$H$2:$H$2525,"PERKINS",'QUOTED PROJECTS-Current Year'!$R$2:$R$2525,"APR")</f>
        <v>0</v>
      </c>
      <c r="D29" s="55">
        <f>2*155</f>
        <v>310</v>
      </c>
      <c r="E29" s="141">
        <f>SUMIFS('QUOTED PROJECTS-Earlier Yr'!$O$2:$O$2598,'QUOTED PROJECTS-Earlier Yr'!$Q$2:$Q$2598,"WON",'QUOTED PROJECTS-Earlier Yr'!$K$2:$K$2598,"2250",'QUOTED PROJECTS-Earlier Yr'!$H$2:$H$2598,"PERKINS",'QUOTED PROJECTS-Earlier Yr'!$R$2:$R$2598,"MAY")+SUMIFS('QUOTED PROJECTS-Current Year'!$O$2:$O$2525,'QUOTED PROJECTS-Current Year'!$Q$2:$Q$2525,"WON",'QUOTED PROJECTS-Current Year'!$K$2:$K$2525,"2250",'QUOTED PROJECTS-Current Year'!$H$2:$H$2525,"PERKINS",'QUOTED PROJECTS-Current Year'!$R$2:$R$2525,"MAY")</f>
        <v>0</v>
      </c>
      <c r="F29" s="55"/>
      <c r="G29" s="141">
        <f>SUMIFS('QUOTED PROJECTS-Earlier Yr'!$O$2:$O$2598,'QUOTED PROJECTS-Earlier Yr'!$Q$2:$Q$2598,"WON",'QUOTED PROJECTS-Earlier Yr'!$K$2:$K$2598,"2250",'QUOTED PROJECTS-Earlier Yr'!$H$2:$H$2598,"PERKINS",'QUOTED PROJECTS-Earlier Yr'!$R$2:$R$2598,"JUN")+SUMIFS('QUOTED PROJECTS-Current Year'!$O$2:$O$2525,'QUOTED PROJECTS-Current Year'!$Q$2:$Q$2525,"WON",'QUOTED PROJECTS-Current Year'!$K$2:$K$2525,"2250",'QUOTED PROJECTS-Current Year'!$H$2:$H$2525,"PERKINS",'QUOTED PROJECTS-Current Year'!$R$2:$R$2525,"JUN")</f>
        <v>0</v>
      </c>
      <c r="H29" s="55">
        <f>13*170</f>
        <v>2210</v>
      </c>
      <c r="I29" s="141">
        <f>SUMIFS('QUOTED PROJECTS-Earlier Yr'!$O$2:$O$2598,'QUOTED PROJECTS-Earlier Yr'!$Q$2:$Q$2598,"WON",'QUOTED PROJECTS-Earlier Yr'!$K$2:$K$2598,"2250",'QUOTED PROJECTS-Earlier Yr'!$H$2:$H$2598,"PERKINS",'QUOTED PROJECTS-Earlier Yr'!$R$2:$R$2598,"JUL")+SUMIFS('QUOTED PROJECTS-Current Year'!$O$2:$O$2525,'QUOTED PROJECTS-Current Year'!$Q$2:$Q$2525,"WON",'QUOTED PROJECTS-Current Year'!$K$2:$K$2525,"2250",'QUOTED PROJECTS-Current Year'!$H$2:$H$2525,"PERKINS",'QUOTED PROJECTS-Current Year'!$R$2:$R$2525,"JUL")</f>
        <v>0</v>
      </c>
      <c r="J29" s="55"/>
      <c r="K29" s="141">
        <f>SUMIFS('QUOTED PROJECTS-Earlier Yr'!$O$2:$O$2598,'QUOTED PROJECTS-Earlier Yr'!$Q$2:$Q$2598,"WON",'QUOTED PROJECTS-Earlier Yr'!$K$2:$K$2598,"2250",'QUOTED PROJECTS-Earlier Yr'!$H$2:$H$2598,"PERKINS",'QUOTED PROJECTS-Earlier Yr'!$R$2:$R$2598,"AUG")+SUMIFS('QUOTED PROJECTS-Current Year'!$O$2:$O$2525,'QUOTED PROJECTS-Current Year'!$Q$2:$Q$2525,"WON",'QUOTED PROJECTS-Current Year'!$K$2:$K$2525,"2250",'QUOTED PROJECTS-Current Year'!$H$2:$H$2525,"PERKINS",'QUOTED PROJECTS-Current Year'!$R$2:$R$2525,"AUG")</f>
        <v>0</v>
      </c>
      <c r="L29" s="55"/>
      <c r="M29" s="141">
        <f>SUMIFS('QUOTED PROJECTS-Earlier Yr'!$O$2:$O$2598,'QUOTED PROJECTS-Earlier Yr'!$Q$2:$Q$2598,"WON",'QUOTED PROJECTS-Earlier Yr'!$K$2:$K$2598,"2250",'QUOTED PROJECTS-Earlier Yr'!$H$2:$H$2598,"PERKINS",'QUOTED PROJECTS-Earlier Yr'!$R$2:$R$2598,"SEPT")+SUMIFS('QUOTED PROJECTS-Current Year'!$O$2:$O$2525,'QUOTED PROJECTS-Current Year'!$Q$2:$Q$2525,"WON",'QUOTED PROJECTS-Current Year'!$K$2:$K$2525,"2250",'QUOTED PROJECTS-Current Year'!$H$2:$H$2525,"PERKINS",'QUOTED PROJECTS-Current Year'!$R$2:$R$2525,"SEPT")</f>
        <v>0</v>
      </c>
      <c r="N29" s="55"/>
      <c r="O29" s="141">
        <f>SUMIFS('QUOTED PROJECTS-Earlier Yr'!$O$2:$O$2598,'QUOTED PROJECTS-Earlier Yr'!$Q$2:$Q$2598,"WON",'QUOTED PROJECTS-Earlier Yr'!$K$2:$K$2598,"2250",'QUOTED PROJECTS-Earlier Yr'!$H$2:$H$2598,"PERKINS",'QUOTED PROJECTS-Earlier Yr'!$R$2:$R$2598,"OCT")+SUMIFS('QUOTED PROJECTS-Current Year'!$O$2:$O$2525,'QUOTED PROJECTS-Current Year'!$Q$2:$Q$2525,"WON",'QUOTED PROJECTS-Current Year'!$K$2:$K$2525,"2250",'QUOTED PROJECTS-Current Year'!$H$2:$H$2525,"PERKINS",'QUOTED PROJECTS-Current Year'!$R$2:$R$2525,"OCT")</f>
        <v>0</v>
      </c>
      <c r="P29" s="55"/>
      <c r="Q29" s="141">
        <f>SUMIFS('QUOTED PROJECTS-Earlier Yr'!$O$2:$O$2598,'QUOTED PROJECTS-Earlier Yr'!$Q$2:$Q$2598,"WON",'QUOTED PROJECTS-Earlier Yr'!$K$2:$K$2598,"2250",'QUOTED PROJECTS-Earlier Yr'!$H$2:$H$2598,"PERKINS",'QUOTED PROJECTS-Earlier Yr'!$R$2:$R$2598,"NOV")+SUMIFS('QUOTED PROJECTS-Current Year'!$O$2:$O$2525,'QUOTED PROJECTS-Current Year'!$Q$2:$Q$2525,"WON",'QUOTED PROJECTS-Current Year'!$K$2:$K$2525,"2250",'QUOTED PROJECTS-Current Year'!$H$2:$H$2525,"PERKINS",'QUOTED PROJECTS-Current Year'!$R$2:$R$2525,"NOV")</f>
        <v>0</v>
      </c>
      <c r="R29" s="55"/>
      <c r="S29" s="141">
        <f>SUMIFS('QUOTED PROJECTS-Earlier Yr'!$O$2:$O$2598,'QUOTED PROJECTS-Earlier Yr'!$Q$2:$Q$2598,"WON",'QUOTED PROJECTS-Earlier Yr'!$K$2:$K$2598,"2250",'QUOTED PROJECTS-Earlier Yr'!$H$2:$H$2598,"PERKINS",'QUOTED PROJECTS-Earlier Yr'!$R$2:$R$2598,"DEC")+SUMIFS('QUOTED PROJECTS-Current Year'!$O$2:$O$2525,'QUOTED PROJECTS-Current Year'!$Q$2:$Q$2525,"WON",'QUOTED PROJECTS-Current Year'!$K$2:$K$2525,"2250",'QUOTED PROJECTS-Current Year'!$H$2:$H$2525,"PERKINS",'QUOTED PROJECTS-Current Year'!$R$2:$R$2525,"DEC")</f>
        <v>0</v>
      </c>
      <c r="T29" s="55"/>
      <c r="U29" s="141">
        <f>SUMIFS('QUOTED PROJECTS-Earlier Yr'!$O$2:$O$2598,'QUOTED PROJECTS-Earlier Yr'!$Q$2:$Q$2598,"WON",'QUOTED PROJECTS-Earlier Yr'!$K$2:$K$2598,"2250",'QUOTED PROJECTS-Earlier Yr'!$H$2:$H$2598,"PERKINS",'QUOTED PROJECTS-Earlier Yr'!$R$2:$R$2598,"JAN")+SUMIFS('QUOTED PROJECTS-Current Year'!$O$2:$O$2525,'QUOTED PROJECTS-Current Year'!$Q$2:$Q$2525,"WON",'QUOTED PROJECTS-Current Year'!$K$2:$K$2525,"2250",'QUOTED PROJECTS-Current Year'!$H$2:$H$2525,"PERKINS",'QUOTED PROJECTS-Current Year'!$R$2:$R$2525,"JAN")</f>
        <v>0</v>
      </c>
      <c r="V29" s="55"/>
      <c r="W29" s="141">
        <f>SUMIFS('QUOTED PROJECTS-Earlier Yr'!$O$2:$O$2598,'QUOTED PROJECTS-Earlier Yr'!$Q$2:$Q$2598,"WON",'QUOTED PROJECTS-Earlier Yr'!$K$2:$K$2598,"2250",'QUOTED PROJECTS-Earlier Yr'!$H$2:$H$2598,"PERKINS",'QUOTED PROJECTS-Earlier Yr'!$R$2:$R$2598,"FEB")+SUMIFS('QUOTED PROJECTS-Current Year'!$O$2:$O$2525,'QUOTED PROJECTS-Current Year'!$Q$2:$Q$2525,"WON",'QUOTED PROJECTS-Current Year'!$K$2:$K$2525,"2250",'QUOTED PROJECTS-Current Year'!$H$2:$H$2525,"PERKINS",'QUOTED PROJECTS-Current Year'!$R$2:$R$2525,"FEB")</f>
        <v>0</v>
      </c>
      <c r="X29" s="55"/>
      <c r="Y29" s="141">
        <f>SUMIFS('QUOTED PROJECTS-Earlier Yr'!$O$2:$O$2598,'QUOTED PROJECTS-Earlier Yr'!$Q$2:$Q$2598,"WON",'QUOTED PROJECTS-Earlier Yr'!$K$2:$K$2598,"2250",'QUOTED PROJECTS-Earlier Yr'!$H$2:$H$2598,"PERKINS",'QUOTED PROJECTS-Earlier Yr'!$R$2:$R$2598,"MAR")+SUMIFS('QUOTED PROJECTS-Current Year'!$O$2:$O$2525,'QUOTED PROJECTS-Current Year'!$Q$2:$Q$2525,"WON",'QUOTED PROJECTS-Current Year'!$K$2:$K$2525,"2250",'QUOTED PROJECTS-Current Year'!$H$2:$H$2525,"PERKINS",'QUOTED PROJECTS-Current Year'!$R$2:$R$2525,"MAR")</f>
        <v>0</v>
      </c>
      <c r="Z29" s="57">
        <f t="shared" si="3"/>
        <v>2520</v>
      </c>
      <c r="AA29" s="39">
        <f t="shared" si="3"/>
        <v>0</v>
      </c>
    </row>
    <row r="30" spans="1:27" s="20" customFormat="1" ht="14.25" thickTop="1" thickBot="1">
      <c r="A30" s="20" t="s">
        <v>65</v>
      </c>
      <c r="B30" s="61">
        <f t="shared" ref="B30:H30" si="4">SUM(B23:B29)</f>
        <v>560</v>
      </c>
      <c r="C30" s="40">
        <f t="shared" si="4"/>
        <v>0</v>
      </c>
      <c r="D30" s="61">
        <f t="shared" si="4"/>
        <v>310</v>
      </c>
      <c r="E30" s="40">
        <f t="shared" si="4"/>
        <v>0</v>
      </c>
      <c r="F30" s="61">
        <f t="shared" si="4"/>
        <v>234</v>
      </c>
      <c r="G30" s="40">
        <f t="shared" si="4"/>
        <v>370.81849999999997</v>
      </c>
      <c r="H30" s="61">
        <f t="shared" si="4"/>
        <v>2790</v>
      </c>
      <c r="I30" s="40">
        <f t="shared" ref="I30:O30" si="5">SUM(I23:I29)</f>
        <v>108.05686601895735</v>
      </c>
      <c r="J30" s="61">
        <f t="shared" si="5"/>
        <v>78</v>
      </c>
      <c r="K30" s="40">
        <f t="shared" si="5"/>
        <v>1040.85436</v>
      </c>
      <c r="L30" s="61">
        <f t="shared" si="5"/>
        <v>52</v>
      </c>
      <c r="M30" s="40">
        <f t="shared" si="5"/>
        <v>0</v>
      </c>
      <c r="N30" s="61">
        <f t="shared" si="5"/>
        <v>312</v>
      </c>
      <c r="O30" s="40">
        <f t="shared" si="5"/>
        <v>0</v>
      </c>
      <c r="P30" s="61">
        <f>SUM(P23:P28)</f>
        <v>246</v>
      </c>
      <c r="Q30" s="40">
        <f>SUM(Q23:Q29)</f>
        <v>0</v>
      </c>
      <c r="R30" s="61">
        <f>SUM(R23:R28)</f>
        <v>84</v>
      </c>
      <c r="S30" s="40">
        <f>SUM(S23:S29)</f>
        <v>0</v>
      </c>
      <c r="T30" s="61">
        <f>SUM(T23:T28)</f>
        <v>604</v>
      </c>
      <c r="U30" s="40">
        <f>SUM(U23:U29)</f>
        <v>0</v>
      </c>
      <c r="V30" s="61">
        <f>SUM(V23:V28)</f>
        <v>104</v>
      </c>
      <c r="W30" s="40">
        <f>SUM(W23:W29)</f>
        <v>0</v>
      </c>
      <c r="X30" s="61">
        <f>SUM(X23:X28)</f>
        <v>126</v>
      </c>
      <c r="Y30" s="40">
        <f>SUM(Y23:Y29)</f>
        <v>0</v>
      </c>
      <c r="Z30" s="59">
        <f t="shared" si="3"/>
        <v>5500</v>
      </c>
      <c r="AA30" s="42">
        <f t="shared" si="3"/>
        <v>1519.7297260189573</v>
      </c>
    </row>
    <row r="31" spans="1:27" ht="14.25" thickTop="1" thickBot="1">
      <c r="B31" s="219"/>
      <c r="C31" s="220"/>
      <c r="D31" s="221"/>
      <c r="E31" s="220"/>
      <c r="F31" s="221"/>
      <c r="G31" s="220"/>
      <c r="H31" s="221"/>
      <c r="I31" s="222"/>
      <c r="J31" s="223"/>
      <c r="K31" s="220"/>
      <c r="L31" s="221"/>
      <c r="M31" s="220"/>
      <c r="N31" s="221"/>
      <c r="O31" s="222"/>
      <c r="P31" s="223"/>
      <c r="Q31" s="220"/>
      <c r="R31" s="221"/>
      <c r="S31" s="220"/>
      <c r="T31" s="221"/>
      <c r="U31" s="222"/>
      <c r="V31" s="223"/>
      <c r="W31" s="220"/>
      <c r="X31" s="221"/>
      <c r="Y31" s="220"/>
      <c r="Z31" s="204"/>
      <c r="AA31" s="224"/>
    </row>
    <row r="32" spans="1:27" s="20" customFormat="1" ht="14.25" thickTop="1" thickBot="1">
      <c r="A32" s="20" t="s">
        <v>2</v>
      </c>
      <c r="B32" s="53">
        <f t="shared" ref="B32:AA32" si="6">B30+B21</f>
        <v>560</v>
      </c>
      <c r="C32" s="43">
        <f t="shared" si="6"/>
        <v>0</v>
      </c>
      <c r="D32" s="53">
        <f t="shared" si="6"/>
        <v>310</v>
      </c>
      <c r="E32" s="43">
        <f t="shared" si="6"/>
        <v>0</v>
      </c>
      <c r="F32" s="53">
        <f t="shared" si="6"/>
        <v>234</v>
      </c>
      <c r="G32" s="43">
        <f t="shared" si="6"/>
        <v>370.81849999999997</v>
      </c>
      <c r="H32" s="53">
        <f t="shared" si="6"/>
        <v>2790</v>
      </c>
      <c r="I32" s="43">
        <f t="shared" si="6"/>
        <v>108.05686601895735</v>
      </c>
      <c r="J32" s="53">
        <f t="shared" si="6"/>
        <v>78</v>
      </c>
      <c r="K32" s="43">
        <f t="shared" si="6"/>
        <v>1040.85436</v>
      </c>
      <c r="L32" s="53">
        <f t="shared" si="6"/>
        <v>52</v>
      </c>
      <c r="M32" s="43">
        <f t="shared" si="6"/>
        <v>0</v>
      </c>
      <c r="N32" s="53">
        <f t="shared" si="6"/>
        <v>312</v>
      </c>
      <c r="O32" s="43">
        <f t="shared" si="6"/>
        <v>0</v>
      </c>
      <c r="P32" s="53">
        <f t="shared" si="6"/>
        <v>246</v>
      </c>
      <c r="Q32" s="43">
        <f t="shared" si="6"/>
        <v>0</v>
      </c>
      <c r="R32" s="53">
        <f t="shared" si="6"/>
        <v>84</v>
      </c>
      <c r="S32" s="43">
        <f t="shared" si="6"/>
        <v>0</v>
      </c>
      <c r="T32" s="53">
        <f t="shared" si="6"/>
        <v>604</v>
      </c>
      <c r="U32" s="43">
        <f t="shared" si="6"/>
        <v>0</v>
      </c>
      <c r="V32" s="53">
        <f t="shared" si="6"/>
        <v>104</v>
      </c>
      <c r="W32" s="43">
        <f t="shared" si="6"/>
        <v>0</v>
      </c>
      <c r="X32" s="53">
        <f t="shared" si="6"/>
        <v>126</v>
      </c>
      <c r="Y32" s="43">
        <f t="shared" si="6"/>
        <v>0</v>
      </c>
      <c r="Z32" s="53">
        <f t="shared" si="6"/>
        <v>5500</v>
      </c>
      <c r="AA32" s="43">
        <f t="shared" si="6"/>
        <v>1519.7297260189573</v>
      </c>
    </row>
    <row r="33" spans="1:2" ht="13.5" thickTop="1"/>
    <row r="35" spans="1:2">
      <c r="A35" s="18" t="s">
        <v>67</v>
      </c>
      <c r="B35" s="64">
        <f>B32+D32+F32+H32+J32+L32+N32+P32+R32+T32+V32+X32</f>
        <v>5500</v>
      </c>
    </row>
    <row r="36" spans="1:2">
      <c r="A36" s="18" t="s">
        <v>68</v>
      </c>
      <c r="B36" s="64">
        <f>C32+E32+G32+I32+K32+M32+O32+Q32+S32+U32+W32+Y32</f>
        <v>1519.7297260189573</v>
      </c>
    </row>
    <row r="38" spans="1:2">
      <c r="A38" s="142" t="s">
        <v>234</v>
      </c>
    </row>
  </sheetData>
  <protectedRanges>
    <protectedRange sqref="B23 B27:B29" name="Range2_3"/>
    <protectedRange sqref="B24:B26" name="Range2_1_2"/>
  </protectedRanges>
  <mergeCells count="23">
    <mergeCell ref="A1:AA1"/>
    <mergeCell ref="X4:Y4"/>
    <mergeCell ref="B3:G3"/>
    <mergeCell ref="H3:M3"/>
    <mergeCell ref="N3:S3"/>
    <mergeCell ref="T3:Y3"/>
    <mergeCell ref="Z3:AA3"/>
    <mergeCell ref="H4:I4"/>
    <mergeCell ref="J4:K4"/>
    <mergeCell ref="B8:AA8"/>
    <mergeCell ref="L4:M4"/>
    <mergeCell ref="N4:O4"/>
    <mergeCell ref="P4:Q4"/>
    <mergeCell ref="R4:S4"/>
    <mergeCell ref="T4:U4"/>
    <mergeCell ref="V4:W4"/>
    <mergeCell ref="B4:C4"/>
    <mergeCell ref="D4:E4"/>
    <mergeCell ref="F4:G4"/>
    <mergeCell ref="B7:G7"/>
    <mergeCell ref="H7:M7"/>
    <mergeCell ref="N7:S7"/>
    <mergeCell ref="T7:Y7"/>
  </mergeCells>
  <phoneticPr fontId="8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15"/>
  <sheetViews>
    <sheetView zoomScale="85" zoomScaleNormal="85" workbookViewId="0">
      <selection activeCell="M3" sqref="M3:M14"/>
    </sheetView>
  </sheetViews>
  <sheetFormatPr defaultRowHeight="12.75"/>
  <cols>
    <col min="1" max="1" width="6.85546875" style="19" bestFit="1" customWidth="1" collapsed="1"/>
    <col min="2" max="2" width="8.5703125" style="19" bestFit="1" customWidth="1" collapsed="1"/>
    <col min="3" max="3" width="4.7109375" style="19" bestFit="1" customWidth="1" collapsed="1"/>
    <col min="4" max="4" width="5.7109375" style="19" bestFit="1" customWidth="1" collapsed="1"/>
    <col min="5" max="5" width="8.140625" style="19" bestFit="1" customWidth="1" collapsed="1"/>
    <col min="6" max="6" width="6.85546875" style="19" bestFit="1" customWidth="1" collapsed="1"/>
    <col min="7" max="7" width="5.5703125" style="19" bestFit="1" customWidth="1" collapsed="1"/>
    <col min="8" max="8" width="8.42578125" style="19" bestFit="1" customWidth="1" collapsed="1"/>
    <col min="9" max="16384" width="9.140625" style="19" collapsed="1"/>
  </cols>
  <sheetData>
    <row r="1" spans="1:13" ht="25.5">
      <c r="A1" s="160" t="s">
        <v>0</v>
      </c>
      <c r="B1" s="160" t="s">
        <v>169</v>
      </c>
      <c r="C1" s="160" t="s">
        <v>168</v>
      </c>
      <c r="D1" s="160" t="s">
        <v>329</v>
      </c>
      <c r="E1" s="160" t="s">
        <v>336</v>
      </c>
      <c r="F1" s="160" t="s">
        <v>337</v>
      </c>
      <c r="G1" s="160" t="s">
        <v>29</v>
      </c>
      <c r="H1" s="160" t="s">
        <v>338</v>
      </c>
    </row>
    <row r="2" spans="1:13">
      <c r="A2" s="225"/>
      <c r="B2" s="225"/>
      <c r="C2" s="225"/>
      <c r="D2" s="225"/>
      <c r="E2" s="225"/>
      <c r="F2" s="225"/>
      <c r="G2" s="225"/>
      <c r="H2" s="225"/>
    </row>
    <row r="3" spans="1:13">
      <c r="A3" s="226">
        <v>750</v>
      </c>
      <c r="B3" s="261">
        <v>72</v>
      </c>
      <c r="C3" s="286">
        <v>19</v>
      </c>
      <c r="D3" s="227"/>
      <c r="E3" s="227">
        <v>1</v>
      </c>
      <c r="F3" s="227"/>
      <c r="G3" s="227">
        <f>SUM(B3:F3)</f>
        <v>92</v>
      </c>
      <c r="H3" s="227">
        <f>E3/G3*100</f>
        <v>1.0869565217391304</v>
      </c>
      <c r="J3" s="19">
        <v>45</v>
      </c>
      <c r="L3" s="19">
        <v>36</v>
      </c>
      <c r="M3" s="19">
        <f>ROUND(G3*0.95,)</f>
        <v>87</v>
      </c>
    </row>
    <row r="4" spans="1:13">
      <c r="A4" s="160">
        <v>1010</v>
      </c>
      <c r="B4" s="261">
        <v>65</v>
      </c>
      <c r="C4" s="287">
        <v>20</v>
      </c>
      <c r="D4" s="227"/>
      <c r="E4" s="287">
        <f>4+1</f>
        <v>5</v>
      </c>
      <c r="F4" s="227"/>
      <c r="G4" s="227">
        <f t="shared" ref="G4:G14" si="0">SUM(B4:F4)</f>
        <v>90</v>
      </c>
      <c r="H4" s="227">
        <f>E4/G4*100</f>
        <v>5.5555555555555554</v>
      </c>
      <c r="J4" s="19">
        <v>60</v>
      </c>
      <c r="L4" s="19">
        <v>48</v>
      </c>
      <c r="M4" s="19">
        <f t="shared" ref="M4:M14" si="1">ROUND(G4*0.95,)</f>
        <v>86</v>
      </c>
    </row>
    <row r="5" spans="1:13">
      <c r="A5" s="160">
        <v>1250</v>
      </c>
      <c r="B5" s="261">
        <v>3</v>
      </c>
      <c r="C5" s="227"/>
      <c r="D5" s="227"/>
      <c r="E5" s="227"/>
      <c r="F5" s="227"/>
      <c r="G5" s="227">
        <f t="shared" si="0"/>
        <v>3</v>
      </c>
      <c r="H5" s="227"/>
      <c r="J5" s="19">
        <v>10</v>
      </c>
      <c r="L5" s="19">
        <v>8</v>
      </c>
      <c r="M5" s="19">
        <f t="shared" si="1"/>
        <v>3</v>
      </c>
    </row>
    <row r="6" spans="1:13">
      <c r="A6" s="160">
        <v>1500</v>
      </c>
      <c r="B6" s="261">
        <v>51</v>
      </c>
      <c r="C6" s="287">
        <v>6</v>
      </c>
      <c r="D6" s="287"/>
      <c r="E6" s="287">
        <f>11+5</f>
        <v>16</v>
      </c>
      <c r="F6" s="227"/>
      <c r="G6" s="227">
        <f t="shared" si="0"/>
        <v>73</v>
      </c>
      <c r="H6" s="227">
        <f>E6/G6*100</f>
        <v>21.917808219178081</v>
      </c>
      <c r="J6" s="19">
        <v>80</v>
      </c>
      <c r="L6" s="19">
        <v>64</v>
      </c>
      <c r="M6" s="19">
        <f t="shared" si="1"/>
        <v>69</v>
      </c>
    </row>
    <row r="7" spans="1:13">
      <c r="A7" s="226">
        <v>1650</v>
      </c>
      <c r="B7" s="261"/>
      <c r="C7" s="227"/>
      <c r="D7" s="227"/>
      <c r="E7" s="227"/>
      <c r="F7" s="227"/>
      <c r="G7" s="227">
        <f t="shared" si="0"/>
        <v>0</v>
      </c>
      <c r="H7" s="227"/>
      <c r="M7" s="19">
        <f t="shared" si="1"/>
        <v>0</v>
      </c>
    </row>
    <row r="8" spans="1:13">
      <c r="A8" s="226">
        <v>1750</v>
      </c>
      <c r="B8" s="261"/>
      <c r="C8" s="227"/>
      <c r="D8" s="227"/>
      <c r="E8" s="227"/>
      <c r="F8" s="227"/>
      <c r="G8" s="227">
        <f t="shared" si="0"/>
        <v>0</v>
      </c>
      <c r="H8" s="227"/>
      <c r="M8" s="19">
        <f t="shared" si="1"/>
        <v>0</v>
      </c>
    </row>
    <row r="9" spans="1:13">
      <c r="A9" s="226">
        <v>1850</v>
      </c>
      <c r="B9" s="261"/>
      <c r="C9" s="227"/>
      <c r="D9" s="286"/>
      <c r="E9" s="227"/>
      <c r="F9" s="227"/>
      <c r="G9" s="227">
        <f t="shared" si="0"/>
        <v>0</v>
      </c>
      <c r="H9" s="227"/>
      <c r="M9" s="19">
        <f t="shared" si="1"/>
        <v>0</v>
      </c>
    </row>
    <row r="10" spans="1:13">
      <c r="A10" s="226">
        <v>2000</v>
      </c>
      <c r="B10" s="261">
        <v>17</v>
      </c>
      <c r="C10" s="286">
        <v>5</v>
      </c>
      <c r="D10" s="286">
        <f>3+2+5</f>
        <v>10</v>
      </c>
      <c r="E10" s="286">
        <v>6</v>
      </c>
      <c r="F10" s="227">
        <f>1+6</f>
        <v>7</v>
      </c>
      <c r="G10" s="227">
        <f t="shared" si="0"/>
        <v>45</v>
      </c>
      <c r="H10" s="227">
        <f>E10/G10*100</f>
        <v>13.333333333333334</v>
      </c>
      <c r="J10" s="19">
        <v>50</v>
      </c>
      <c r="L10" s="19">
        <v>40</v>
      </c>
      <c r="M10" s="19">
        <f t="shared" si="1"/>
        <v>43</v>
      </c>
    </row>
    <row r="11" spans="1:13">
      <c r="A11" s="226">
        <v>2250</v>
      </c>
      <c r="B11" s="261"/>
      <c r="C11" s="286"/>
      <c r="D11" s="227"/>
      <c r="E11" s="227"/>
      <c r="F11" s="227"/>
      <c r="G11" s="227">
        <f t="shared" si="0"/>
        <v>0</v>
      </c>
      <c r="H11" s="227"/>
      <c r="J11" s="19">
        <v>6</v>
      </c>
      <c r="L11" s="19">
        <v>6</v>
      </c>
      <c r="M11" s="19">
        <f t="shared" si="1"/>
        <v>0</v>
      </c>
    </row>
    <row r="12" spans="1:13">
      <c r="A12" s="226">
        <v>2500</v>
      </c>
      <c r="B12" s="261"/>
      <c r="C12" s="227"/>
      <c r="D12" s="227"/>
      <c r="E12" s="227"/>
      <c r="F12" s="227"/>
      <c r="G12" s="227">
        <f t="shared" si="0"/>
        <v>0</v>
      </c>
      <c r="H12" s="227"/>
      <c r="M12" s="19">
        <f t="shared" si="1"/>
        <v>0</v>
      </c>
    </row>
    <row r="13" spans="1:13">
      <c r="A13" s="160">
        <v>2750</v>
      </c>
      <c r="B13" s="261"/>
      <c r="C13" s="227"/>
      <c r="D13" s="227"/>
      <c r="E13" s="227"/>
      <c r="F13" s="227"/>
      <c r="G13" s="227">
        <f t="shared" si="0"/>
        <v>0</v>
      </c>
      <c r="H13" s="227"/>
      <c r="M13" s="19">
        <f t="shared" si="1"/>
        <v>0</v>
      </c>
    </row>
    <row r="14" spans="1:13">
      <c r="A14" s="226">
        <v>3000</v>
      </c>
      <c r="B14" s="261"/>
      <c r="C14" s="227">
        <v>1</v>
      </c>
      <c r="D14" s="227"/>
      <c r="E14" s="286"/>
      <c r="F14" s="227"/>
      <c r="G14" s="227">
        <f t="shared" si="0"/>
        <v>1</v>
      </c>
      <c r="H14" s="227">
        <f>E14/G14*100</f>
        <v>0</v>
      </c>
      <c r="J14" s="19">
        <v>6</v>
      </c>
      <c r="M14" s="19">
        <f t="shared" si="1"/>
        <v>1</v>
      </c>
    </row>
    <row r="15" spans="1:13">
      <c r="A15" s="160" t="s">
        <v>29</v>
      </c>
      <c r="B15" s="227">
        <f t="shared" ref="B15:G15" si="2">SUM(B3:B14)</f>
        <v>208</v>
      </c>
      <c r="C15" s="227">
        <f t="shared" si="2"/>
        <v>51</v>
      </c>
      <c r="D15" s="227">
        <f t="shared" si="2"/>
        <v>10</v>
      </c>
      <c r="E15" s="227">
        <f t="shared" si="2"/>
        <v>28</v>
      </c>
      <c r="F15" s="227">
        <f t="shared" si="2"/>
        <v>7</v>
      </c>
      <c r="G15" s="227">
        <f t="shared" si="2"/>
        <v>304</v>
      </c>
      <c r="H15" s="227">
        <f>E15/G15*100</f>
        <v>9.2105263157894726</v>
      </c>
      <c r="J15" s="19">
        <f>SUM(J3:J14)</f>
        <v>257</v>
      </c>
      <c r="L15" s="19">
        <v>202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 filterMode="1"/>
  <dimension ref="A1:V2763"/>
  <sheetViews>
    <sheetView tabSelected="1" view="pageBreakPreview" zoomScaleSheetLayoutView="100" workbookViewId="0">
      <pane xSplit="2" ySplit="1" topLeftCell="C2" activePane="bottomRight" state="frozen"/>
      <selection activeCell="J11" sqref="J11"/>
      <selection pane="topRight" activeCell="J11" sqref="J11"/>
      <selection pane="bottomLeft" activeCell="J11" sqref="J11"/>
      <selection pane="bottomRight" activeCell="J33" sqref="J33"/>
    </sheetView>
  </sheetViews>
  <sheetFormatPr defaultRowHeight="12.75"/>
  <cols>
    <col min="1" max="1" width="12.28515625" style="106" customWidth="1" collapsed="1"/>
    <col min="2" max="2" width="43.5703125" style="97" customWidth="1" collapsed="1"/>
    <col min="3" max="3" width="15.140625" style="98" bestFit="1" customWidth="1" collapsed="1"/>
    <col min="4" max="4" width="10.5703125" style="94" customWidth="1" collapsed="1"/>
    <col min="5" max="5" width="16.85546875" style="78" customWidth="1" collapsed="1"/>
    <col min="6" max="6" width="11" style="78" customWidth="1" collapsed="1"/>
    <col min="7" max="7" width="9" style="78" customWidth="1" collapsed="1"/>
    <col min="8" max="8" width="14" style="78" customWidth="1" collapsed="1"/>
    <col min="9" max="10" width="16.140625" style="98" customWidth="1" collapsed="1"/>
    <col min="11" max="11" width="13.28515625" style="106" bestFit="1" customWidth="1" collapsed="1"/>
    <col min="12" max="12" width="24.85546875" style="100" customWidth="1" collapsed="1"/>
    <col min="13" max="13" width="28.7109375" style="19" customWidth="1" collapsed="1"/>
    <col min="14" max="14" width="18.7109375" style="19" bestFit="1" customWidth="1" collapsed="1"/>
    <col min="15" max="15" width="13" style="19" customWidth="1" collapsed="1"/>
    <col min="16" max="16" width="14.5703125" style="19" customWidth="1" collapsed="1"/>
    <col min="17" max="17" width="9.140625" style="19" collapsed="1"/>
    <col min="18" max="18" width="12.28515625" style="19" customWidth="1" collapsed="1"/>
    <col min="19" max="19" width="10" style="19" customWidth="1" collapsed="1"/>
    <col min="20" max="21" width="13" style="19" customWidth="1" collapsed="1"/>
    <col min="22" max="22" width="10.140625" style="19" customWidth="1" collapsed="1"/>
    <col min="23" max="16384" width="9.140625" style="19" collapsed="1"/>
  </cols>
  <sheetData>
    <row r="1" spans="1:22" s="87" customFormat="1" ht="51">
      <c r="A1" s="86" t="s">
        <v>92</v>
      </c>
      <c r="B1" s="86" t="s">
        <v>82</v>
      </c>
      <c r="C1" s="86" t="s">
        <v>176</v>
      </c>
      <c r="D1" s="86" t="s">
        <v>70</v>
      </c>
      <c r="E1" s="86" t="s">
        <v>22</v>
      </c>
      <c r="F1" s="86" t="s">
        <v>21</v>
      </c>
      <c r="G1" s="86" t="s">
        <v>10</v>
      </c>
      <c r="H1" s="86" t="s">
        <v>81</v>
      </c>
      <c r="I1" s="86" t="s">
        <v>154</v>
      </c>
      <c r="J1" s="86" t="s">
        <v>155</v>
      </c>
      <c r="K1" s="86" t="s">
        <v>148</v>
      </c>
      <c r="L1" s="86" t="s">
        <v>20</v>
      </c>
      <c r="M1" s="86" t="s">
        <v>76</v>
      </c>
      <c r="N1" s="86" t="s">
        <v>9</v>
      </c>
      <c r="O1" s="86" t="s">
        <v>71</v>
      </c>
      <c r="P1" s="86" t="s">
        <v>77</v>
      </c>
      <c r="Q1" s="86" t="s">
        <v>72</v>
      </c>
      <c r="R1" s="86" t="s">
        <v>78</v>
      </c>
      <c r="S1" s="86" t="s">
        <v>77</v>
      </c>
      <c r="T1" s="86" t="s">
        <v>79</v>
      </c>
      <c r="U1" s="86" t="s">
        <v>80</v>
      </c>
      <c r="V1" s="86" t="s">
        <v>77</v>
      </c>
    </row>
    <row r="2763" spans="5:8">
      <c r="E2763" s="101"/>
      <c r="F2763" s="101"/>
      <c r="H2763" s="99"/>
    </row>
  </sheetData>
  <autoFilter ref="A1:V2762">
    <filterColumn colId="8">
      <filters>
        <filter val="P"/>
      </filters>
    </filterColumn>
    <filterColumn colId="9">
      <filters>
        <filter val="Y"/>
      </filters>
    </filterColumn>
  </autoFilter>
  <dataConsolidate/>
  <phoneticPr fontId="8" type="noConversion"/>
  <dataValidations count="4">
    <dataValidation type="list" showInputMessage="1" showErrorMessage="1" errorTitle="Invalid Entry" error="Please choose from the Drop Box" sqref="E2:E2761">
      <formula1>"MTU,PERKINS,VOLVO,MAXFORCE"</formula1>
    </dataValidation>
    <dataValidation type="list" showInputMessage="1" showErrorMessage="1" errorTitle="Invalid Entry" error="Please Select From the Drop Box" sqref="I2:I2761">
      <formula1>"R,P"</formula1>
    </dataValidation>
    <dataValidation type="list" showInputMessage="1" showErrorMessage="1" errorTitle="Invalid Entry" error="Please Select From the Drop Box" sqref="J2:J2761">
      <formula1>"R,Y,G"</formula1>
    </dataValidation>
    <dataValidation type="list" showInputMessage="1" showErrorMessage="1" errorTitle="Invalid Entry" error="Please select from the Drop Box" sqref="F2:F2761">
      <formula1>"125,140,160,180,200,250,275,300,320,350,360,380,400,450,500,590,600,630,650,750,1010,1250,1500,1650,1850,2000,2250,2500,2750,3000"</formula1>
    </dataValidation>
  </dataValidations>
  <pageMargins left="0.16" right="0.42" top="0.48" bottom="0.4" header="0.23" footer="0.2"/>
  <pageSetup paperSize="8" scale="92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29"/>
  <dimension ref="A1:K10"/>
  <sheetViews>
    <sheetView zoomScale="160" zoomScaleNormal="160" workbookViewId="0">
      <selection activeCell="A19" sqref="A19:XFD19"/>
    </sheetView>
  </sheetViews>
  <sheetFormatPr defaultRowHeight="12.75"/>
  <cols>
    <col min="1" max="1" width="10" style="106" bestFit="1" customWidth="1" collapsed="1"/>
    <col min="2" max="2" width="5.28515625" style="106" customWidth="1" collapsed="1"/>
    <col min="3" max="3" width="6.7109375" style="106" bestFit="1" customWidth="1" collapsed="1"/>
    <col min="4" max="4" width="4.5703125" style="106" bestFit="1" customWidth="1" collapsed="1"/>
    <col min="5" max="5" width="6.7109375" style="106" bestFit="1" customWidth="1" collapsed="1"/>
    <col min="6" max="6" width="4.5703125" style="106" bestFit="1" customWidth="1" collapsed="1"/>
    <col min="7" max="7" width="4.28515625" style="106" bestFit="1" customWidth="1" collapsed="1"/>
    <col min="8" max="8" width="4.5703125" style="106" bestFit="1" customWidth="1" collapsed="1"/>
    <col min="9" max="10" width="5.140625" style="106" bestFit="1" customWidth="1" collapsed="1"/>
    <col min="11" max="11" width="8.42578125" style="106" customWidth="1" collapsed="1"/>
    <col min="12" max="16384" width="9.140625" style="106" collapsed="1"/>
  </cols>
  <sheetData>
    <row r="1" spans="1:11">
      <c r="A1" s="329" t="s">
        <v>1</v>
      </c>
      <c r="B1" s="331" t="s">
        <v>23</v>
      </c>
      <c r="C1" s="332"/>
      <c r="D1" s="331" t="s">
        <v>89</v>
      </c>
      <c r="E1" s="332"/>
      <c r="F1" s="331" t="s">
        <v>24</v>
      </c>
      <c r="G1" s="332"/>
      <c r="H1" s="371" t="s">
        <v>73</v>
      </c>
      <c r="I1" s="372"/>
      <c r="J1" s="331" t="s">
        <v>25</v>
      </c>
      <c r="K1" s="332"/>
    </row>
    <row r="2" spans="1:11">
      <c r="A2" s="330"/>
      <c r="B2" s="244" t="s">
        <v>157</v>
      </c>
      <c r="C2" s="244" t="s">
        <v>3</v>
      </c>
      <c r="D2" s="244" t="s">
        <v>157</v>
      </c>
      <c r="E2" s="244" t="s">
        <v>3</v>
      </c>
      <c r="F2" s="244" t="s">
        <v>157</v>
      </c>
      <c r="G2" s="244" t="s">
        <v>3</v>
      </c>
      <c r="H2" s="244" t="s">
        <v>157</v>
      </c>
      <c r="I2" s="244" t="s">
        <v>3</v>
      </c>
      <c r="J2" s="244" t="s">
        <v>157</v>
      </c>
      <c r="K2" s="244" t="s">
        <v>3</v>
      </c>
    </row>
    <row r="3" spans="1:11">
      <c r="A3" s="172"/>
      <c r="B3" s="172"/>
      <c r="C3" s="172"/>
      <c r="D3" s="172"/>
      <c r="E3" s="172"/>
      <c r="F3" s="172"/>
      <c r="G3" s="172"/>
      <c r="H3" s="172"/>
      <c r="I3" s="172"/>
      <c r="J3" s="172"/>
      <c r="K3" s="172"/>
    </row>
    <row r="4" spans="1:11">
      <c r="A4" s="171" t="s">
        <v>26</v>
      </c>
      <c r="B4" s="122">
        <f>SUMIFS('QUOTED PROJECTS-Earlier Yr'!$L$2:$L$2598,'QUOTED PROJECTS-Earlier Yr'!$H$2:$H$2598,"PERKINS",'QUOTED PROJECTS-Earlier Yr'!$Q$2:$Q$2598,"PENDING",'QUOTED PROJECTS-Earlier Yr'!$J$2:$J$2598,"R",'QUOTED PROJECTS-Earlier Yr'!$T$2:$T$2598,"R")+SUMIFS('UPCOMNG PROJETCS'!$G$2:$G$2761,'UPCOMNG PROJETCS'!$E$2:$E$2761,"PERKINS",'UPCOMNG PROJETCS'!$I$2:$I$2761,"R",'UPCOMNG PROJETCS'!$J$2:$J$2761,"R")+SUMIFS('QUOTED PROJECTS-Current Year'!$L$2:$L$2525,'QUOTED PROJECTS-Current Year'!$H$2:$H$2525,"PERKINS",'QUOTED PROJECTS-Current Year'!$Q$2:$Q$2525,"PENDING",'QUOTED PROJECTS-Current Year'!$J$2:$J$2525,"R",'QUOTED PROJECTS-Current Year'!$T$2:$T$2525,"R")</f>
        <v>90</v>
      </c>
      <c r="C4" s="122">
        <f>SUMIFS('QUOTED PROJECTS-Earlier Yr'!$O$2:$O$2598,'QUOTED PROJECTS-Earlier Yr'!$H$2:$H$2598,"PERKINS",'QUOTED PROJECTS-Earlier Yr'!$Q$2:$Q$2598,"PENDING",'QUOTED PROJECTS-Earlier Yr'!$J$2:$J$2598,"R",'QUOTED PROJECTS-Earlier Yr'!$T$2:$T$2598,"R")+SUMIFS('UPCOMNG PROJETCS'!$H$2:$H$2761,'UPCOMNG PROJETCS'!$E$2:$E$2761,"PERKINS",'UPCOMNG PROJETCS'!$I$2:$I$2761,"R",'UPCOMNG PROJETCS'!$J$2:$J$2761,"R")+SUMIFS('QUOTED PROJECTS-Current Year'!$O$2:$O$2525,'QUOTED PROJECTS-Current Year'!$H$2:$H$2525,"PERKINS",'QUOTED PROJECTS-Current Year'!$Q$2:$Q$2525,"PENDING",'QUOTED PROJECTS-Current Year'!$J$2:$J$2525,"R",'QUOTED PROJECTS-Current Year'!$T$2:$T$2525,"R")</f>
        <v>3548.9571100000003</v>
      </c>
      <c r="D4" s="122">
        <f>SUMIFS('QUOTED PROJECTS-Earlier Yr'!$L$2:$L$2598,'QUOTED PROJECTS-Earlier Yr'!$H$2:$H$2598,"VOLVO",'QUOTED PROJECTS-Earlier Yr'!$Q$2:$Q$2598,"PENDING",'QUOTED PROJECTS-Earlier Yr'!$J$2:$J$2598,"R",'QUOTED PROJECTS-Earlier Yr'!$T$2:$T$2598,"R")+SUMIFS('UPCOMNG PROJETCS'!$G$2:$G$2761,'UPCOMNG PROJETCS'!$E$2:$E$2761,"VOLVO",'UPCOMNG PROJETCS'!$I$2:$I$2761,"R",'UPCOMNG PROJETCS'!$J$2:$J$2761,"R")+SUMIFS('QUOTED PROJECTS-Current Year'!$L$2:$L$2525,'QUOTED PROJECTS-Current Year'!$H$2:$H$2525,"VOLVO",'QUOTED PROJECTS-Current Year'!$Q$2:$Q$2525,"PENDING",'QUOTED PROJECTS-Current Year'!$J$2:$J$2525,"R",'QUOTED PROJECTS-Current Year'!$T$2:$T$2525,"R")</f>
        <v>93</v>
      </c>
      <c r="E4" s="122">
        <f>SUMIFS('QUOTED PROJECTS-Earlier Yr'!$O$2:$O$2598,'QUOTED PROJECTS-Earlier Yr'!$H$2:$H$2598,"VOLVO",'QUOTED PROJECTS-Earlier Yr'!$Q$2:$Q$2598,"PENDING",'QUOTED PROJECTS-Earlier Yr'!$J$2:$J$2598,"R",'QUOTED PROJECTS-Earlier Yr'!$T$2:$T$2598,"R")+SUMIFS('UPCOMNG PROJETCS'!$H$2:$H$2761,'UPCOMNG PROJETCS'!$E$2:$E$2761,"VOLVO",'UPCOMNG PROJETCS'!$I$2:$I$2761,"R",'UPCOMNG PROJETCS'!$J$2:$J$2761,"R")+SUMIFS('QUOTED PROJECTS-Current Year'!$O$2:$O$2525,'QUOTED PROJECTS-Current Year'!$H$2:$H$2525,"VOLVO",'QUOTED PROJECTS-Current Year'!$Q$2:$Q$2525,"PENDING",'QUOTED PROJECTS-Current Year'!$J$2:$J$2525,"R",'QUOTED PROJECTS-Current Year'!$T$2:$T$2525,"R")</f>
        <v>4344.4153499999993</v>
      </c>
      <c r="F4" s="122">
        <f>SUMIFS('QUOTED PROJECTS-Earlier Yr'!$L$2:$L$2598,'QUOTED PROJECTS-Earlier Yr'!$H$2:$H$2598,"MTU",'QUOTED PROJECTS-Earlier Yr'!$Q$2:$Q$2598,"PENDING",'QUOTED PROJECTS-Earlier Yr'!$J$2:$J$2598,"R",'QUOTED PROJECTS-Earlier Yr'!$T$2:$T$2598,"R")+SUMIFS('UPCOMNG PROJETCS'!$G$2:$G$2761,'UPCOMNG PROJETCS'!$E$2:$E$2761,"MTU",'UPCOMNG PROJETCS'!$I$2:$I$2761,"R",'UPCOMNG PROJETCS'!$J$2:$J$2761,"R")+SUMIFS('QUOTED PROJECTS-Current Year'!$L$2:$L$2525,'QUOTED PROJECTS-Current Year'!$H$2:$H$2525,"MTU",'QUOTED PROJECTS-Current Year'!$Q$2:$Q$2525,"PENDING",'QUOTED PROJECTS-Current Year'!$J$2:$J$2525,"R",'QUOTED PROJECTS-Current Year'!$T$2:$T$2525,"R")</f>
        <v>2</v>
      </c>
      <c r="G4" s="122">
        <f>SUMIFS('QUOTED PROJECTS-Earlier Yr'!$O$2:$O$2598,'QUOTED PROJECTS-Earlier Yr'!$H$2:$H$2598,"MTU",'QUOTED PROJECTS-Earlier Yr'!$Q$2:$Q$2598,"PENDING",'QUOTED PROJECTS-Earlier Yr'!$J$2:$J$2598,"R",'QUOTED PROJECTS-Earlier Yr'!$T$2:$T$2598,"R")+SUMIFS('UPCOMNG PROJETCS'!$H$2:$H$2761,'UPCOMNG PROJETCS'!$E$2:$E$2761,"MTU",'UPCOMNG PROJETCS'!$I$2:$I$2761,"R",'UPCOMNG PROJETCS'!$J$2:$J$2761,"R")+SUMIFS('QUOTED PROJECTS-Current Year'!$O$2:$O$2525,'QUOTED PROJECTS-Current Year'!$H$2:$H$2525,"MTU",'QUOTED PROJECTS-Current Year'!$Q$2:$Q$2525,"PENDING",'QUOTED PROJECTS-Current Year'!$J$2:$J$2525,"R",'QUOTED PROJECTS-Current Year'!$T$2:$T$2525,"R")</f>
        <v>84.039999999999992</v>
      </c>
      <c r="H4" s="122">
        <f>SUMIFS('QUOTED PROJECTS-Earlier Yr'!$L$2:$L$2598,'QUOTED PROJECTS-Earlier Yr'!$H$2:$H$2598,"MAXFORCE",'QUOTED PROJECTS-Earlier Yr'!$Q$2:$Q$2598,"PENDING",'QUOTED PROJECTS-Earlier Yr'!$J$2:$J$2598,"R",'QUOTED PROJECTS-Earlier Yr'!$T$2:$T$2598,"R")+SUMIFS('UPCOMNG PROJETCS'!$G$2:$G$2761,'UPCOMNG PROJETCS'!$E$2:$E$2761,"MAXFORCE",'UPCOMNG PROJETCS'!$I$2:$I$2761,"R",'UPCOMNG PROJETCS'!$J$2:$J$2761,"R")+SUMIFS('QUOTED PROJECTS-Current Year'!$L$2:$L$2525,'QUOTED PROJECTS-Current Year'!$H$2:$H$2525,"MAXFORCE",'QUOTED PROJECTS-Current Year'!$Q$2:$Q$2525,"PENDING",'QUOTED PROJECTS-Current Year'!$J$2:$J$2525,"R",'QUOTED PROJECTS-Current Year'!$T$2:$T$2525,"R")</f>
        <v>20</v>
      </c>
      <c r="I4" s="122">
        <f>SUMIFS('QUOTED PROJECTS-Earlier Yr'!$O$2:$O$2598,'QUOTED PROJECTS-Earlier Yr'!$H$2:$H$2598,"MAXFORCE",'QUOTED PROJECTS-Earlier Yr'!$Q$2:$Q$2598,"PENDING",'QUOTED PROJECTS-Earlier Yr'!$J$2:$J$2598,"R",'QUOTED PROJECTS-Earlier Yr'!$T$2:$T$2598,"R")+SUMIFS('UPCOMNG PROJETCS'!$H$2:$H$2761,'UPCOMNG PROJETCS'!$E$2:$E$2761,"MAXFORCE",'UPCOMNG PROJETCS'!$I$2:$I$2761,"R",'UPCOMNG PROJETCS'!$J$2:$J$2761,"R")+SUMIFS('QUOTED PROJECTS-Current Year'!$O$2:$O$2525,'QUOTED PROJECTS-Current Year'!$H$2:$H$2525,"MAXFORCE",'QUOTED PROJECTS-Current Year'!$Q$2:$Q$2525,"PENDING",'QUOTED PROJECTS-Current Year'!$J$2:$J$2525,"R",'QUOTED PROJECTS-Current Year'!$T$2:$T$2525,"R")</f>
        <v>215.01499999999996</v>
      </c>
      <c r="J4" s="122">
        <f>B4+D4+F4+H4</f>
        <v>205</v>
      </c>
      <c r="K4" s="122">
        <f>C4+E4+G4+I4</f>
        <v>8192.427459999999</v>
      </c>
    </row>
    <row r="5" spans="1:11">
      <c r="A5" s="172"/>
      <c r="B5" s="122"/>
      <c r="C5" s="122"/>
      <c r="D5" s="122"/>
      <c r="E5" s="122"/>
      <c r="F5" s="122"/>
      <c r="G5" s="122"/>
      <c r="H5" s="122"/>
      <c r="I5" s="122"/>
      <c r="J5" s="122"/>
      <c r="K5" s="122"/>
    </row>
    <row r="6" spans="1:11">
      <c r="A6" s="173" t="s">
        <v>27</v>
      </c>
      <c r="B6" s="122">
        <f>SUMIFS('QUOTED PROJECTS-Earlier Yr'!$L$2:$L$2598,'QUOTED PROJECTS-Earlier Yr'!$H$2:$H$2598,"PERKINS",'QUOTED PROJECTS-Earlier Yr'!$Q$2:$Q$2598,"PENDING",'QUOTED PROJECTS-Earlier Yr'!$J$2:$J$2598,"R",'QUOTED PROJECTS-Earlier Yr'!$T$2:$T$2598,"Y")+SUMIFS('UPCOMNG PROJETCS'!$G$2:$G$2761,'UPCOMNG PROJETCS'!$E$2:$E$2761,"PERKINS",'UPCOMNG PROJETCS'!$I$2:$I$2761,"R",'UPCOMNG PROJETCS'!$J$2:$J$2761,"y")+SUMIFS('QUOTED PROJECTS-Current Year'!$L$2:$L$2525,'QUOTED PROJECTS-Current Year'!$H$2:$H$2525,"PERKINS",'QUOTED PROJECTS-Current Year'!$Q$2:$Q$2525,"PENDING",'QUOTED PROJECTS-Current Year'!$J$2:$J$2525,"R",'QUOTED PROJECTS-Current Year'!$T$2:$T$2525,"y")</f>
        <v>22</v>
      </c>
      <c r="C6" s="122">
        <f>SUMIFS('QUOTED PROJECTS-Earlier Yr'!$O$2:$O$2598,'QUOTED PROJECTS-Earlier Yr'!$H$2:$H$2598,"PERKINS",'QUOTED PROJECTS-Earlier Yr'!$Q$2:$Q$2598,"PENDING",'QUOTED PROJECTS-Earlier Yr'!$J$2:$J$2598,"R",'QUOTED PROJECTS-Earlier Yr'!$T$2:$T$2598,"Y")+SUMIFS('UPCOMNG PROJETCS'!$H$2:$H$2761,'UPCOMNG PROJETCS'!$E$2:$E$2761,"PERKINS",'UPCOMNG PROJETCS'!$I$2:$I$2761,"R",'UPCOMNG PROJETCS'!$J$2:$J$2761,"y")+SUMIFS('QUOTED PROJECTS-Current Year'!$O$2:$O$2525,'QUOTED PROJECTS-Current Year'!$H$2:$H$2525,"PERKINS",'QUOTED PROJECTS-Current Year'!$Q$2:$Q$2525,"PENDING",'QUOTED PROJECTS-Current Year'!$J$2:$J$2525,"R",'QUOTED PROJECTS-Current Year'!$T$2:$T$2525,"y")</f>
        <v>932.51</v>
      </c>
      <c r="D6" s="122">
        <f>SUMIFS('QUOTED PROJECTS-Earlier Yr'!$L$2:$L$2598,'QUOTED PROJECTS-Earlier Yr'!$H$2:$H$2598,"VOLVO",'QUOTED PROJECTS-Earlier Yr'!$Q$2:$Q$2598,"PENDING",'QUOTED PROJECTS-Earlier Yr'!$J$2:$J$2598,"R",'QUOTED PROJECTS-Earlier Yr'!$T$2:$T$2598,"Y")+SUMIFS('UPCOMNG PROJETCS'!$G$2:$G$2761,'UPCOMNG PROJETCS'!$E$2:$E$2761,"VOLVO",'UPCOMNG PROJETCS'!$I$2:$I$2761,"R",'UPCOMNG PROJETCS'!$J$2:$J$2761,"y")+SUMIFS('QUOTED PROJECTS-Current Year'!$L$2:$L$2525,'QUOTED PROJECTS-Current Year'!$H$2:$H$2525,"VOLVO",'QUOTED PROJECTS-Current Year'!$Q$2:$Q$2525,"PENDING",'QUOTED PROJECTS-Current Year'!$J$2:$J$2525,"R",'QUOTED PROJECTS-Current Year'!$T$2:$T$2525,"y")</f>
        <v>67</v>
      </c>
      <c r="E6" s="122">
        <f>SUMIFS('QUOTED PROJECTS-Earlier Yr'!$O$2:$O$2598,'QUOTED PROJECTS-Earlier Yr'!$H$2:$H$2598,"VOLVO",'QUOTED PROJECTS-Earlier Yr'!$Q$2:$Q$2598,"PENDING",'QUOTED PROJECTS-Earlier Yr'!$J$2:$J$2598,"R",'QUOTED PROJECTS-Earlier Yr'!$T$2:$T$2598,"Y")+SUMIFS('UPCOMNG PROJETCS'!$H$2:$H$2761,'UPCOMNG PROJETCS'!$E$2:$E$2761,"VOLVO",'UPCOMNG PROJETCS'!$I$2:$I$2761,"R",'UPCOMNG PROJETCS'!$J$2:$J$2761,"y")+SUMIFS('QUOTED PROJECTS-Current Year'!$O$2:$O$2525,'QUOTED PROJECTS-Current Year'!$H$2:$H$2525,"VOLVO",'QUOTED PROJECTS-Current Year'!$Q$2:$Q$2525,"PENDING",'QUOTED PROJECTS-Current Year'!$J$2:$J$2525,"R",'QUOTED PROJECTS-Current Year'!$T$2:$T$2525,"y")</f>
        <v>2495.1400000000003</v>
      </c>
      <c r="F6" s="122">
        <f>SUMIFS('QUOTED PROJECTS-Earlier Yr'!$L$2:$L$2598,'QUOTED PROJECTS-Earlier Yr'!$H$2:$H$2598,"MTU",'QUOTED PROJECTS-Earlier Yr'!$Q$2:$Q$2598,"PENDING",'QUOTED PROJECTS-Earlier Yr'!$J$2:$J$2598,"R",'QUOTED PROJECTS-Earlier Yr'!$T$2:$T$2598,"Y")+SUMIFS('UPCOMNG PROJETCS'!$G$2:$G$2761,'UPCOMNG PROJETCS'!$E$2:$E$2761,"MTU",'UPCOMNG PROJETCS'!$I$2:$I$2761,"R",'UPCOMNG PROJETCS'!$J$2:$J$2761,"y")+SUMIFS('QUOTED PROJECTS-Current Year'!$L$2:$L$2525,'QUOTED PROJECTS-Current Year'!$H$2:$H$2525,"MTU",'QUOTED PROJECTS-Current Year'!$Q$2:$Q$2525,"PENDING",'QUOTED PROJECTS-Current Year'!$J$2:$J$2525,"R",'QUOTED PROJECTS-Current Year'!$T$2:$T$2525,"y")</f>
        <v>0</v>
      </c>
      <c r="G6" s="122">
        <f>SUMIFS('QUOTED PROJECTS-Earlier Yr'!$O$2:$O$2598,'QUOTED PROJECTS-Earlier Yr'!$H$2:$H$2598,"MTU",'QUOTED PROJECTS-Earlier Yr'!$Q$2:$Q$2598,"PENDING",'QUOTED PROJECTS-Earlier Yr'!$J$2:$J$2598,"R",'QUOTED PROJECTS-Earlier Yr'!$T$2:$T$2598,"Y")+SUMIFS('UPCOMNG PROJETCS'!$H$2:$H$2761,'UPCOMNG PROJETCS'!$E$2:$E$2761,"MTU",'UPCOMNG PROJETCS'!$I$2:$I$2761,"R",'UPCOMNG PROJETCS'!$J$2:$J$2761,"y")+SUMIFS('QUOTED PROJECTS-Current Year'!$O$2:$O$2525,'QUOTED PROJECTS-Current Year'!$H$2:$H$2525,"MTU",'QUOTED PROJECTS-Current Year'!$Q$2:$Q$2525,"PENDING",'QUOTED PROJECTS-Current Year'!$J$2:$J$2525,"R",'QUOTED PROJECTS-Current Year'!$T$2:$T$2525,"y")</f>
        <v>0</v>
      </c>
      <c r="H6" s="122">
        <f>SUMIFS('QUOTED PROJECTS-Earlier Yr'!$L$2:$L$2598,'QUOTED PROJECTS-Earlier Yr'!$H$2:$H$2598,"MAXFORCE",'QUOTED PROJECTS-Earlier Yr'!$Q$2:$Q$2598,"PENDING",'QUOTED PROJECTS-Earlier Yr'!$J$2:$J$2598,"R",'QUOTED PROJECTS-Earlier Yr'!$T$2:$T$2598,"Y")+SUMIFS('UPCOMNG PROJETCS'!$G$2:$G$2761,'UPCOMNG PROJETCS'!$E$2:$E$2761,"MAXFORCE",'UPCOMNG PROJETCS'!$I$2:$I$2761,"R",'UPCOMNG PROJETCS'!$J$2:$J$2761,"y")+SUMIFS('QUOTED PROJECTS-Current Year'!$L$2:$L$2525,'QUOTED PROJECTS-Current Year'!$H$2:$H$2525,"MAXFORCE",'QUOTED PROJECTS-Current Year'!$Q$2:$Q$2525,"PENDING",'QUOTED PROJECTS-Current Year'!$J$2:$J$2525,"R",'QUOTED PROJECTS-Current Year'!$T$2:$T$2525,"y")</f>
        <v>61</v>
      </c>
      <c r="I6" s="122">
        <f>SUMIFS('QUOTED PROJECTS-Earlier Yr'!$O$2:$O$2598,'QUOTED PROJECTS-Earlier Yr'!$H$2:$H$2598,"MAXFORCE",'QUOTED PROJECTS-Earlier Yr'!$Q$2:$Q$2598,"PENDING",'QUOTED PROJECTS-Earlier Yr'!$J$2:$J$2598,"R",'QUOTED PROJECTS-Earlier Yr'!$T$2:$T$2598,"Y")+SUMIFS('UPCOMNG PROJETCS'!$H$2:$H$2761,'UPCOMNG PROJETCS'!$E$2:$E$2761,"MAXFORCE",'UPCOMNG PROJETCS'!$I$2:$I$2761,"R",'UPCOMNG PROJETCS'!$J$2:$J$2761,"y")+SUMIFS('QUOTED PROJECTS-Current Year'!$O$2:$O$2525,'QUOTED PROJECTS-Current Year'!$H$2:$H$2525,"MAXFORCE",'QUOTED PROJECTS-Current Year'!$Q$2:$Q$2525,"PENDING",'QUOTED PROJECTS-Current Year'!$J$2:$J$2525,"R",'QUOTED PROJECTS-Current Year'!$T$2:$T$2525,"y")</f>
        <v>939.49499999999989</v>
      </c>
      <c r="J6" s="122">
        <f>B6+D6+F6+H6</f>
        <v>150</v>
      </c>
      <c r="K6" s="122">
        <f>C6+E6+G6+I6</f>
        <v>4367.1450000000004</v>
      </c>
    </row>
    <row r="7" spans="1:11">
      <c r="A7" s="172"/>
      <c r="B7" s="122"/>
      <c r="C7" s="122"/>
      <c r="D7" s="122"/>
      <c r="E7" s="122"/>
      <c r="F7" s="122"/>
      <c r="G7" s="122"/>
      <c r="H7" s="122"/>
      <c r="I7" s="122"/>
      <c r="J7" s="122"/>
      <c r="K7" s="122"/>
    </row>
    <row r="8" spans="1:11">
      <c r="A8" s="245" t="s">
        <v>28</v>
      </c>
      <c r="B8" s="122">
        <f>SUMIFS('QUOTED PROJECTS-Earlier Yr'!$L$2:$L$2598,'QUOTED PROJECTS-Earlier Yr'!$H$2:$H$2598,"PERKINS",'QUOTED PROJECTS-Earlier Yr'!$Q$2:$Q$2598,"PENDING",'QUOTED PROJECTS-Earlier Yr'!$J$2:$J$2598,"R",'QUOTED PROJECTS-Earlier Yr'!$T$2:$T$2598,"G")+SUMIFS('UPCOMNG PROJETCS'!$G$2:$G$2761,'UPCOMNG PROJETCS'!$E$2:$E$2761,"PERKINS",'UPCOMNG PROJETCS'!$I$2:$I$2761,"R",'UPCOMNG PROJETCS'!$J$2:$J$2761,"G")+SUMIFS('QUOTED PROJECTS-Current Year'!$L$2:$L$2525,'QUOTED PROJECTS-Current Year'!$H$2:$H$2525,"PERKINS",'QUOTED PROJECTS-Current Year'!$Q$2:$Q$2525,"PENDING",'QUOTED PROJECTS-Current Year'!$J$2:$J$2525,"R",'QUOTED PROJECTS-Current Year'!$T$2:$T$2525,"G")</f>
        <v>9</v>
      </c>
      <c r="C8" s="122">
        <f>SUMIFS('QUOTED PROJECTS-Earlier Yr'!$O$2:$O$2598,'QUOTED PROJECTS-Earlier Yr'!$H$2:$H$2598,"PERKINS",'QUOTED PROJECTS-Earlier Yr'!$Q$2:$Q$2598,"PENDING",'QUOTED PROJECTS-Earlier Yr'!$J$2:$J$2598,"R",'QUOTED PROJECTS-Earlier Yr'!$T$2:$T$2598,"G")+SUMIFS('UPCOMNG PROJETCS'!$H$2:$H$2761,'UPCOMNG PROJETCS'!$E$2:$E$2761,"PERKINS",'UPCOMNG PROJETCS'!$I$2:$I$2761,"R",'UPCOMNG PROJETCS'!$J$2:$J$2761,"G")+SUMIFS('QUOTED PROJECTS-Current Year'!$O$2:$O$2525,'QUOTED PROJECTS-Current Year'!$H$2:$H$2525,"PERKINS",'QUOTED PROJECTS-Current Year'!$Q$2:$Q$2525,"PENDING",'QUOTED PROJECTS-Current Year'!$J$2:$J$2525,"R",'QUOTED PROJECTS-Current Year'!$T$2:$T$2525,"G")</f>
        <v>449.35</v>
      </c>
      <c r="D8" s="122">
        <f>SUMIFS('QUOTED PROJECTS-Earlier Yr'!$L$2:$L$2598,'QUOTED PROJECTS-Earlier Yr'!$H$2:$H$2598,"VOLVO",'QUOTED PROJECTS-Earlier Yr'!$Q$2:$Q$2598,"PENDING",'QUOTED PROJECTS-Earlier Yr'!$J$2:$J$2598,"R",'QUOTED PROJECTS-Earlier Yr'!$T$2:$T$2598,"G")+SUMIFS('UPCOMNG PROJETCS'!$G$2:$G$2761,'UPCOMNG PROJETCS'!$E$2:$E$2761,"VOLVO",'UPCOMNG PROJETCS'!$I$2:$I$2761,"R",'UPCOMNG PROJETCS'!$J$2:$J$2761,"G")+SUMIFS('QUOTED PROJECTS-Current Year'!$L$2:$L$2525,'QUOTED PROJECTS-Current Year'!$H$2:$H$2525,"VOLVO",'QUOTED PROJECTS-Current Year'!$Q$2:$Q$2525,"PENDING",'QUOTED PROJECTS-Current Year'!$J$2:$J$2525,"R",'QUOTED PROJECTS-Current Year'!$T$2:$T$2525,"G")</f>
        <v>0</v>
      </c>
      <c r="E8" s="122">
        <f>SUMIFS('QUOTED PROJECTS-Earlier Yr'!$O$2:$O$2598,'QUOTED PROJECTS-Earlier Yr'!$H$2:$H$2598,"VOLVO",'QUOTED PROJECTS-Earlier Yr'!$Q$2:$Q$2598,"PENDING",'QUOTED PROJECTS-Earlier Yr'!$J$2:$J$2598,"R",'QUOTED PROJECTS-Earlier Yr'!$T$2:$T$2598,"G")+SUMIFS('UPCOMNG PROJETCS'!$H$2:$H$2761,'UPCOMNG PROJETCS'!$E$2:$E$2761,"VOLVO",'UPCOMNG PROJETCS'!$I$2:$I$2761,"R",'UPCOMNG PROJETCS'!$J$2:$J$2761,"G")+SUMIFS('QUOTED PROJECTS-Current Year'!$O$2:$O$2525,'QUOTED PROJECTS-Current Year'!$H$2:$H$2525,"VOLVO",'QUOTED PROJECTS-Current Year'!$Q$2:$Q$2525,"PENDING",'QUOTED PROJECTS-Current Year'!$J$2:$J$2525,"R",'QUOTED PROJECTS-Current Year'!$T$2:$T$2525,"G")</f>
        <v>0</v>
      </c>
      <c r="F8" s="122">
        <f>SUMIFS('QUOTED PROJECTS-Earlier Yr'!$L$2:$L$2598,'QUOTED PROJECTS-Earlier Yr'!$H$2:$H$2598,"MTU",'QUOTED PROJECTS-Earlier Yr'!$Q$2:$Q$2598,"PENDING",'QUOTED PROJECTS-Earlier Yr'!$J$2:$J$2598,"R",'QUOTED PROJECTS-Earlier Yr'!$T$2:$T$2598,"G")+SUMIFS('UPCOMNG PROJETCS'!$G$2:$G$2761,'UPCOMNG PROJETCS'!$E$2:$E$2761,"MTU",'UPCOMNG PROJETCS'!$I$2:$I$2761,"R",'UPCOMNG PROJETCS'!$J$2:$J$2761,"G")+SUMIFS('QUOTED PROJECTS-Current Year'!$L$2:$L$2525,'QUOTED PROJECTS-Current Year'!$H$2:$H$2525,"MTU",'QUOTED PROJECTS-Current Year'!$Q$2:$Q$2525,"PENDING",'QUOTED PROJECTS-Current Year'!$J$2:$J$2525,"R",'QUOTED PROJECTS-Current Year'!$T$2:$T$2525,"G")</f>
        <v>0</v>
      </c>
      <c r="G8" s="122">
        <f>SUMIFS('QUOTED PROJECTS-Earlier Yr'!$O$2:$O$2598,'QUOTED PROJECTS-Earlier Yr'!$H$2:$H$2598,"MTU",'QUOTED PROJECTS-Earlier Yr'!$Q$2:$Q$2598,"PENDING",'QUOTED PROJECTS-Earlier Yr'!$J$2:$J$2598,"R",'QUOTED PROJECTS-Earlier Yr'!$T$2:$T$2598,"G")+SUMIFS('UPCOMNG PROJETCS'!$H$2:$H$2761,'UPCOMNG PROJETCS'!$E$2:$E$2761,"MTU",'UPCOMNG PROJETCS'!$I$2:$I$2761,"R",'UPCOMNG PROJETCS'!$J$2:$J$2761,"G")+SUMIFS('QUOTED PROJECTS-Current Year'!$O$2:$O$2525,'QUOTED PROJECTS-Current Year'!$H$2:$H$2525,"MTU",'QUOTED PROJECTS-Current Year'!$Q$2:$Q$2525,"PENDING",'QUOTED PROJECTS-Current Year'!$J$2:$J$2525,"R",'QUOTED PROJECTS-Current Year'!$T$2:$T$2525,"G")</f>
        <v>0</v>
      </c>
      <c r="H8" s="122">
        <f>SUMIFS('QUOTED PROJECTS-Earlier Yr'!$L$2:$L$2598,'QUOTED PROJECTS-Earlier Yr'!$H$2:$H$2598,"MAXFORCE",'QUOTED PROJECTS-Earlier Yr'!$Q$2:$Q$2598,"PENDING",'QUOTED PROJECTS-Earlier Yr'!$J$2:$J$2598,"R",'QUOTED PROJECTS-Earlier Yr'!$T$2:$T$2598,"G")+SUMIFS('UPCOMNG PROJETCS'!$G$2:$G$2761,'UPCOMNG PROJETCS'!$E$2:$E$2761,"MAXFORCE",'UPCOMNG PROJETCS'!$I$2:$I$2761,"R",'UPCOMNG PROJETCS'!$J$2:$J$2761,"G")+SUMIFS('QUOTED PROJECTS-Current Year'!$L$2:$L$2525,'QUOTED PROJECTS-Current Year'!$H$2:$H$2525,"MAXFORCE",'QUOTED PROJECTS-Current Year'!$Q$2:$Q$2525,"PENDING",'QUOTED PROJECTS-Current Year'!$J$2:$J$2525,"R",'QUOTED PROJECTS-Current Year'!$T$2:$T$2525,"G")</f>
        <v>1</v>
      </c>
      <c r="I8" s="122">
        <f>SUMIFS('QUOTED PROJECTS-Earlier Yr'!$O$2:$O$2598,'QUOTED PROJECTS-Earlier Yr'!$H$2:$H$2598,"MAXFORCE",'QUOTED PROJECTS-Earlier Yr'!$Q$2:$Q$2598,"PENDING",'QUOTED PROJECTS-Earlier Yr'!$J$2:$J$2598,"R",'QUOTED PROJECTS-Earlier Yr'!$T$2:$T$2598,"G")+SUMIFS('UPCOMNG PROJETCS'!$H$2:$H$2761,'UPCOMNG PROJETCS'!$E$2:$E$2761,"MAXFORCE",'UPCOMNG PROJETCS'!$I$2:$I$2761,"R",'UPCOMNG PROJETCS'!$J$2:$J$2761,"G")+SUMIFS('QUOTED PROJECTS-Current Year'!$O$2:$O$2525,'QUOTED PROJECTS-Current Year'!$H$2:$H$2525,"MAXFORCE",'QUOTED PROJECTS-Current Year'!$Q$2:$Q$2525,"PENDING",'QUOTED PROJECTS-Current Year'!$J$2:$J$2525,"R",'QUOTED PROJECTS-Current Year'!$T$2:$T$2525,"G")</f>
        <v>12.75</v>
      </c>
      <c r="J8" s="122">
        <f>B8+D8+F8+H8</f>
        <v>10</v>
      </c>
      <c r="K8" s="122">
        <f>C8+E8+G8+I8</f>
        <v>462.1</v>
      </c>
    </row>
    <row r="9" spans="1:11">
      <c r="A9" s="172"/>
      <c r="B9" s="122"/>
      <c r="C9" s="122"/>
      <c r="D9" s="122"/>
      <c r="E9" s="122"/>
      <c r="F9" s="122"/>
      <c r="G9" s="122"/>
      <c r="H9" s="122"/>
      <c r="I9" s="122"/>
      <c r="J9" s="122"/>
      <c r="K9" s="122"/>
    </row>
    <row r="10" spans="1:11">
      <c r="A10" s="246" t="s">
        <v>29</v>
      </c>
      <c r="B10" s="247">
        <f t="shared" ref="B10:K10" si="0">SUM(B4:B8)</f>
        <v>121</v>
      </c>
      <c r="C10" s="247">
        <f t="shared" si="0"/>
        <v>4930.8171100000009</v>
      </c>
      <c r="D10" s="247">
        <f t="shared" si="0"/>
        <v>160</v>
      </c>
      <c r="E10" s="247">
        <f t="shared" si="0"/>
        <v>6839.5553499999996</v>
      </c>
      <c r="F10" s="247">
        <f t="shared" si="0"/>
        <v>2</v>
      </c>
      <c r="G10" s="247">
        <f t="shared" si="0"/>
        <v>84.039999999999992</v>
      </c>
      <c r="H10" s="247">
        <f t="shared" si="0"/>
        <v>82</v>
      </c>
      <c r="I10" s="247">
        <f t="shared" si="0"/>
        <v>1167.2599999999998</v>
      </c>
      <c r="J10" s="247">
        <f t="shared" si="0"/>
        <v>365</v>
      </c>
      <c r="K10" s="247">
        <f t="shared" si="0"/>
        <v>13021.67246</v>
      </c>
    </row>
  </sheetData>
  <mergeCells count="6">
    <mergeCell ref="A1:A2"/>
    <mergeCell ref="F1:G1"/>
    <mergeCell ref="H1:I1"/>
    <mergeCell ref="J1:K1"/>
    <mergeCell ref="D1:E1"/>
    <mergeCell ref="B1:C1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0"/>
  <dimension ref="A1:H21"/>
  <sheetViews>
    <sheetView view="pageBreakPreview" zoomScale="115" zoomScaleSheetLayoutView="115" workbookViewId="0">
      <selection activeCell="G14" sqref="G14"/>
    </sheetView>
  </sheetViews>
  <sheetFormatPr defaultRowHeight="12.75"/>
  <cols>
    <col min="1" max="1" width="9.5703125" style="19" bestFit="1" customWidth="1" collapsed="1"/>
    <col min="2" max="2" width="35.42578125" style="19" customWidth="1" collapsed="1"/>
    <col min="3" max="3" width="10.85546875" style="19" bestFit="1" customWidth="1" collapsed="1"/>
    <col min="4" max="4" width="12.28515625" style="19" customWidth="1" collapsed="1"/>
    <col min="5" max="5" width="8.5703125" style="19" customWidth="1" collapsed="1"/>
    <col min="6" max="6" width="10" style="19" customWidth="1" collapsed="1"/>
    <col min="7" max="7" width="12" style="19" customWidth="1" collapsed="1"/>
    <col min="8" max="8" width="15.85546875" style="19" customWidth="1" collapsed="1"/>
    <col min="9" max="16384" width="9.140625" style="19" collapsed="1"/>
  </cols>
  <sheetData>
    <row r="1" spans="1:8" ht="13.5" thickBot="1">
      <c r="A1" s="321" t="s">
        <v>217</v>
      </c>
      <c r="B1" s="321"/>
      <c r="C1" s="321"/>
      <c r="D1" s="321"/>
      <c r="E1" s="321"/>
      <c r="F1" s="321"/>
      <c r="G1" s="321"/>
      <c r="H1" s="321"/>
    </row>
    <row r="2" spans="1:8" s="249" customFormat="1">
      <c r="A2" s="234" t="s">
        <v>360</v>
      </c>
      <c r="B2" s="234" t="s">
        <v>361</v>
      </c>
      <c r="C2" s="234" t="s">
        <v>362</v>
      </c>
      <c r="D2" s="234" t="s">
        <v>358</v>
      </c>
      <c r="E2" s="234" t="s">
        <v>363</v>
      </c>
      <c r="F2" s="234" t="s">
        <v>345</v>
      </c>
      <c r="G2" s="234" t="s">
        <v>364</v>
      </c>
      <c r="H2" s="234" t="s">
        <v>365</v>
      </c>
    </row>
    <row r="3" spans="1:8" ht="15.75" customHeight="1">
      <c r="A3" s="120">
        <v>1</v>
      </c>
      <c r="B3" s="180" t="s">
        <v>400</v>
      </c>
      <c r="C3" s="120"/>
      <c r="D3" s="120"/>
      <c r="E3" s="120"/>
      <c r="F3" s="306"/>
      <c r="G3" s="306">
        <v>200</v>
      </c>
      <c r="H3" s="125">
        <v>18</v>
      </c>
    </row>
    <row r="4" spans="1:8">
      <c r="A4" s="120">
        <f>+A3+1</f>
        <v>2</v>
      </c>
      <c r="B4" s="180" t="s">
        <v>401</v>
      </c>
      <c r="C4" s="120" t="s">
        <v>48</v>
      </c>
      <c r="D4" s="120">
        <v>1250</v>
      </c>
      <c r="E4" s="120">
        <v>1</v>
      </c>
      <c r="F4" s="306">
        <v>231.28784999999999</v>
      </c>
      <c r="G4" s="306">
        <v>139.53065000000001</v>
      </c>
      <c r="H4" s="307"/>
    </row>
    <row r="5" spans="1:8" ht="13.5">
      <c r="A5" s="294">
        <f t="shared" ref="A5:A18" si="0">+A4+1</f>
        <v>3</v>
      </c>
      <c r="B5" s="180" t="s">
        <v>401</v>
      </c>
      <c r="C5" s="294" t="s">
        <v>48</v>
      </c>
      <c r="D5" s="294">
        <v>1010</v>
      </c>
      <c r="E5" s="294">
        <v>1</v>
      </c>
      <c r="F5" s="308"/>
      <c r="G5" s="306"/>
      <c r="H5" s="307"/>
    </row>
    <row r="6" spans="1:8">
      <c r="A6" s="294">
        <f t="shared" si="0"/>
        <v>4</v>
      </c>
      <c r="B6" s="180" t="s">
        <v>401</v>
      </c>
      <c r="C6" s="294" t="s">
        <v>48</v>
      </c>
      <c r="D6" s="294">
        <v>750</v>
      </c>
      <c r="E6" s="294">
        <v>2</v>
      </c>
      <c r="F6" s="306"/>
      <c r="G6" s="306"/>
      <c r="H6" s="125"/>
    </row>
    <row r="7" spans="1:8">
      <c r="A7" s="294">
        <f t="shared" si="0"/>
        <v>5</v>
      </c>
      <c r="B7" s="180" t="s">
        <v>402</v>
      </c>
      <c r="C7" s="294" t="s">
        <v>48</v>
      </c>
      <c r="D7" s="120">
        <v>500</v>
      </c>
      <c r="E7" s="120">
        <v>6</v>
      </c>
      <c r="F7" s="306">
        <v>189.54509999999999</v>
      </c>
      <c r="G7" s="306">
        <v>103.43995</v>
      </c>
      <c r="H7" s="125"/>
    </row>
    <row r="8" spans="1:8">
      <c r="A8" s="294">
        <f t="shared" si="0"/>
        <v>6</v>
      </c>
      <c r="B8" s="180" t="s">
        <v>404</v>
      </c>
      <c r="C8" s="294" t="s">
        <v>48</v>
      </c>
      <c r="D8" s="120">
        <v>2000</v>
      </c>
      <c r="E8" s="120">
        <v>4</v>
      </c>
      <c r="F8" s="250">
        <v>453.92320000000001</v>
      </c>
      <c r="G8" s="250">
        <v>139.72872000000001</v>
      </c>
      <c r="H8" s="296"/>
    </row>
    <row r="9" spans="1:8">
      <c r="A9" s="294">
        <f t="shared" si="0"/>
        <v>7</v>
      </c>
      <c r="B9" s="180" t="s">
        <v>403</v>
      </c>
      <c r="C9" s="294" t="s">
        <v>89</v>
      </c>
      <c r="D9" s="294">
        <v>500</v>
      </c>
      <c r="E9" s="294">
        <v>0.5</v>
      </c>
      <c r="F9" s="250">
        <f>29.43066/2</f>
        <v>14.71533</v>
      </c>
      <c r="G9" s="250">
        <f>26.1003/2</f>
        <v>13.05015</v>
      </c>
      <c r="H9" s="296"/>
    </row>
    <row r="10" spans="1:8" s="259" customFormat="1" ht="33">
      <c r="A10" s="294">
        <f t="shared" si="0"/>
        <v>8</v>
      </c>
      <c r="B10" s="257" t="s">
        <v>405</v>
      </c>
      <c r="C10" s="258" t="s">
        <v>48</v>
      </c>
      <c r="D10" s="258">
        <v>1010</v>
      </c>
      <c r="E10" s="258">
        <v>1</v>
      </c>
      <c r="F10" s="260">
        <f>57/1.055</f>
        <v>54.02843601895735</v>
      </c>
      <c r="G10" s="260">
        <f>39.16056/2</f>
        <v>19.580279999999998</v>
      </c>
      <c r="H10" s="297"/>
    </row>
    <row r="11" spans="1:8" s="259" customFormat="1" ht="16.5">
      <c r="A11" s="294">
        <f t="shared" si="0"/>
        <v>9</v>
      </c>
      <c r="B11" s="257" t="s">
        <v>406</v>
      </c>
      <c r="C11" s="258" t="s">
        <v>48</v>
      </c>
      <c r="D11" s="258">
        <v>1010</v>
      </c>
      <c r="E11" s="258">
        <v>1</v>
      </c>
      <c r="F11" s="260">
        <v>54.02843</v>
      </c>
      <c r="G11" s="260">
        <v>0</v>
      </c>
      <c r="H11" s="297"/>
    </row>
    <row r="12" spans="1:8" s="259" customFormat="1" ht="16.5">
      <c r="A12" s="294">
        <f t="shared" si="0"/>
        <v>10</v>
      </c>
      <c r="B12" s="257" t="s">
        <v>407</v>
      </c>
      <c r="C12" s="258" t="s">
        <v>48</v>
      </c>
      <c r="D12" s="258">
        <v>600</v>
      </c>
      <c r="E12" s="258">
        <v>1</v>
      </c>
      <c r="F12" s="258">
        <v>36.018949999999997</v>
      </c>
      <c r="G12" s="258">
        <v>0</v>
      </c>
      <c r="H12" s="295"/>
    </row>
    <row r="13" spans="1:8" s="259" customFormat="1" ht="16.5">
      <c r="A13" s="294">
        <f t="shared" si="0"/>
        <v>11</v>
      </c>
      <c r="B13" s="257" t="s">
        <v>408</v>
      </c>
      <c r="C13" s="294" t="s">
        <v>48</v>
      </c>
      <c r="D13" s="294">
        <v>2000</v>
      </c>
      <c r="E13" s="294">
        <v>3</v>
      </c>
      <c r="F13" s="260">
        <v>364.53098999999997</v>
      </c>
      <c r="G13" s="260">
        <v>82.671449999999993</v>
      </c>
      <c r="H13" s="297"/>
    </row>
    <row r="14" spans="1:8" s="259" customFormat="1" ht="16.5">
      <c r="A14" s="294">
        <f t="shared" si="0"/>
        <v>12</v>
      </c>
      <c r="B14" s="317" t="s">
        <v>450</v>
      </c>
      <c r="C14" s="318" t="s">
        <v>48</v>
      </c>
      <c r="D14" s="318">
        <v>500</v>
      </c>
      <c r="E14" s="318">
        <v>2</v>
      </c>
      <c r="F14" s="258">
        <v>50</v>
      </c>
      <c r="G14" s="260">
        <v>15</v>
      </c>
      <c r="H14" s="297"/>
    </row>
    <row r="15" spans="1:8" s="259" customFormat="1" ht="16.5">
      <c r="A15" s="294">
        <f t="shared" si="0"/>
        <v>13</v>
      </c>
      <c r="B15" s="317" t="s">
        <v>451</v>
      </c>
      <c r="C15" s="318" t="s">
        <v>48</v>
      </c>
      <c r="D15" s="318">
        <v>2250</v>
      </c>
      <c r="E15" s="318">
        <v>1</v>
      </c>
      <c r="F15" s="258">
        <v>159.16999999999999</v>
      </c>
      <c r="G15" s="260">
        <v>82.98</v>
      </c>
      <c r="H15" s="318">
        <v>10.050000000000001</v>
      </c>
    </row>
    <row r="16" spans="1:8" s="259" customFormat="1" ht="16.5">
      <c r="A16" s="294">
        <f t="shared" si="0"/>
        <v>14</v>
      </c>
      <c r="B16" s="317" t="s">
        <v>451</v>
      </c>
      <c r="C16" s="318" t="s">
        <v>48</v>
      </c>
      <c r="D16" s="318">
        <v>2000</v>
      </c>
      <c r="E16" s="318">
        <v>1</v>
      </c>
      <c r="F16" s="258">
        <v>149.93</v>
      </c>
      <c r="G16" s="260" t="s">
        <v>18</v>
      </c>
      <c r="H16" s="318"/>
    </row>
    <row r="17" spans="1:8" s="259" customFormat="1" ht="16.5">
      <c r="A17" s="294">
        <f t="shared" si="0"/>
        <v>15</v>
      </c>
      <c r="B17" s="317" t="s">
        <v>451</v>
      </c>
      <c r="C17" s="318" t="s">
        <v>48</v>
      </c>
      <c r="D17" s="318">
        <v>1010</v>
      </c>
      <c r="E17" s="318">
        <v>1</v>
      </c>
      <c r="F17" s="258">
        <v>57.94</v>
      </c>
      <c r="G17" s="260" t="s">
        <v>18</v>
      </c>
      <c r="H17" s="318"/>
    </row>
    <row r="18" spans="1:8" s="259" customFormat="1" ht="16.5">
      <c r="A18" s="294">
        <f t="shared" si="0"/>
        <v>16</v>
      </c>
      <c r="B18" s="317" t="s">
        <v>452</v>
      </c>
      <c r="C18" s="318" t="s">
        <v>372</v>
      </c>
      <c r="D18" s="318">
        <v>250</v>
      </c>
      <c r="E18" s="318">
        <v>2</v>
      </c>
      <c r="F18" s="258">
        <v>42.2</v>
      </c>
      <c r="G18" s="260">
        <v>21.138999999999999</v>
      </c>
      <c r="H18" s="318">
        <v>10.19</v>
      </c>
    </row>
    <row r="19" spans="1:8" s="259" customFormat="1" ht="16.5">
      <c r="A19" s="256"/>
      <c r="B19" s="257"/>
      <c r="C19" s="294"/>
      <c r="D19" s="294"/>
      <c r="E19" s="294"/>
      <c r="F19" s="260"/>
      <c r="G19" s="260"/>
      <c r="H19" s="297"/>
    </row>
    <row r="20" spans="1:8">
      <c r="A20" s="251"/>
      <c r="B20" s="252" t="s">
        <v>2</v>
      </c>
      <c r="C20" s="251"/>
      <c r="D20" s="251"/>
      <c r="E20" s="252">
        <f>SUM(E3:E13)</f>
        <v>20.5</v>
      </c>
      <c r="F20" s="309">
        <f>SUM(F3:F19)</f>
        <v>1857.3182860189575</v>
      </c>
      <c r="G20" s="309">
        <f>SUM(G3:G19)</f>
        <v>817.12020000000018</v>
      </c>
      <c r="H20" s="251"/>
    </row>
    <row r="21" spans="1:8">
      <c r="F21" s="319">
        <f>+SUM(F20:G20)</f>
        <v>2674.4384860189575</v>
      </c>
      <c r="G21" s="320"/>
    </row>
  </sheetData>
  <mergeCells count="2">
    <mergeCell ref="F21:G21"/>
    <mergeCell ref="A1:H1"/>
  </mergeCells>
  <pageMargins left="0.7" right="0.7" top="0.75" bottom="0.75" header="0.3" footer="0.3"/>
  <pageSetup scale="8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34"/>
  <dimension ref="A1:Q16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:Q16"/>
    </sheetView>
  </sheetViews>
  <sheetFormatPr defaultRowHeight="12.75"/>
  <cols>
    <col min="1" max="1" width="12.28515625" style="113" customWidth="1" collapsed="1"/>
    <col min="2" max="2" width="15.5703125" style="263" customWidth="1" collapsed="1"/>
    <col min="3" max="6" width="9.28515625" style="263" bestFit="1" customWidth="1" collapsed="1"/>
    <col min="7" max="7" width="10" style="263" bestFit="1" customWidth="1" collapsed="1"/>
    <col min="8" max="9" width="9.28515625" style="263" bestFit="1" customWidth="1" collapsed="1"/>
    <col min="10" max="10" width="10" style="263" bestFit="1" customWidth="1" collapsed="1"/>
    <col min="11" max="11" width="9.28515625" style="263" bestFit="1" customWidth="1" collapsed="1"/>
    <col min="12" max="15" width="10" style="263" bestFit="1" customWidth="1" collapsed="1"/>
    <col min="16" max="16" width="9.28515625" style="263" bestFit="1" customWidth="1" collapsed="1"/>
    <col min="17" max="17" width="10" style="263" bestFit="1" customWidth="1" collapsed="1"/>
    <col min="18" max="16384" width="9.140625" style="113" collapsed="1"/>
  </cols>
  <sheetData>
    <row r="1" spans="1:17" ht="26.25" customHeight="1">
      <c r="A1" s="375" t="s">
        <v>0</v>
      </c>
      <c r="B1" s="377" t="s">
        <v>40</v>
      </c>
      <c r="C1" s="379" t="s">
        <v>23</v>
      </c>
      <c r="D1" s="380"/>
      <c r="E1" s="380"/>
      <c r="F1" s="380"/>
      <c r="G1" s="381"/>
      <c r="H1" s="379" t="s">
        <v>6</v>
      </c>
      <c r="I1" s="380"/>
      <c r="J1" s="380"/>
      <c r="K1" s="380"/>
      <c r="L1" s="381"/>
      <c r="M1" s="379" t="s">
        <v>41</v>
      </c>
      <c r="N1" s="380"/>
      <c r="O1" s="380"/>
      <c r="P1" s="380"/>
      <c r="Q1" s="381"/>
    </row>
    <row r="2" spans="1:17">
      <c r="A2" s="376"/>
      <c r="B2" s="378"/>
      <c r="C2" s="262" t="s">
        <v>42</v>
      </c>
      <c r="D2" s="262" t="s">
        <v>43</v>
      </c>
      <c r="E2" s="262" t="s">
        <v>44</v>
      </c>
      <c r="F2" s="262" t="s">
        <v>45</v>
      </c>
      <c r="G2" s="262" t="s">
        <v>46</v>
      </c>
      <c r="H2" s="262" t="s">
        <v>42</v>
      </c>
      <c r="I2" s="262" t="s">
        <v>43</v>
      </c>
      <c r="J2" s="262" t="s">
        <v>44</v>
      </c>
      <c r="K2" s="262" t="s">
        <v>45</v>
      </c>
      <c r="L2" s="262" t="s">
        <v>46</v>
      </c>
      <c r="M2" s="262" t="s">
        <v>42</v>
      </c>
      <c r="N2" s="262" t="s">
        <v>43</v>
      </c>
      <c r="O2" s="262" t="s">
        <v>44</v>
      </c>
      <c r="P2" s="262" t="s">
        <v>45</v>
      </c>
      <c r="Q2" s="262" t="s">
        <v>46</v>
      </c>
    </row>
    <row r="3" spans="1:17">
      <c r="A3" s="373"/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</row>
    <row r="4" spans="1:17">
      <c r="A4" s="182">
        <v>750</v>
      </c>
      <c r="B4" s="261">
        <v>87</v>
      </c>
      <c r="C4" s="261">
        <f>'Booking-QTY-WRK-P'!B23+'Booking-QTY-WRK-P'!D23+'Booking-QTY-WRK-P'!F23</f>
        <v>0</v>
      </c>
      <c r="D4" s="261">
        <f>'Booking-QTY-WRK-P'!H23+'Booking-QTY-WRK-P'!J23+'Booking-QTY-WRK-P'!L23</f>
        <v>0</v>
      </c>
      <c r="E4" s="261">
        <f>'Booking-QTY-WRK-P'!N23+'Booking-QTY-WRK-P'!P23+'Booking-QTY-WRK-P'!R23</f>
        <v>2</v>
      </c>
      <c r="F4" s="261">
        <f>'Booking-QTY-WRK-P'!T23+'Booking-QTY-WRK-P'!V23+'Booking-QTY-WRK-P'!X23</f>
        <v>3</v>
      </c>
      <c r="G4" s="261">
        <f>SUM(C4:F4)</f>
        <v>5</v>
      </c>
      <c r="H4" s="261">
        <f>'Booking-QTY-WRK-P'!B10+'Booking-QTY-WRK-P'!D10+'Booking-QTY-WRK-P'!F10</f>
        <v>0</v>
      </c>
      <c r="I4" s="261">
        <f>'Booking-QTY-WRK-P'!H10+'Booking-QTY-WRK-P'!J10+'Booking-QTY-WRK-P'!L10</f>
        <v>0</v>
      </c>
      <c r="J4" s="261">
        <f>'Booking-QTY-WRK-P'!N10+'Booking-QTY-WRK-P'!P10+'Booking-QTY-WRK-P'!R10</f>
        <v>0</v>
      </c>
      <c r="K4" s="261">
        <f>'Booking-QTY-WRK-P'!T10+'Booking-QTY-WRK-P'!V10+'Booking-QTY-WRK-P'!X10</f>
        <v>0</v>
      </c>
      <c r="L4" s="261">
        <f>SUM(H4:K4)</f>
        <v>0</v>
      </c>
      <c r="M4" s="261">
        <f t="shared" ref="M4:P5" si="0">C4+H4</f>
        <v>0</v>
      </c>
      <c r="N4" s="261">
        <f t="shared" si="0"/>
        <v>0</v>
      </c>
      <c r="O4" s="261">
        <f t="shared" si="0"/>
        <v>2</v>
      </c>
      <c r="P4" s="261">
        <f t="shared" si="0"/>
        <v>3</v>
      </c>
      <c r="Q4" s="261">
        <f>SUM(M4:P4)</f>
        <v>5</v>
      </c>
    </row>
    <row r="5" spans="1:17">
      <c r="A5" s="182">
        <v>1010</v>
      </c>
      <c r="B5" s="261">
        <v>86</v>
      </c>
      <c r="C5" s="261">
        <f>'Booking-QTY-WRK-P'!B24+'Booking-QTY-WRK-P'!D24+'Booking-QTY-WRK-P'!F24</f>
        <v>0</v>
      </c>
      <c r="D5" s="261">
        <f>'Booking-QTY-WRK-P'!H24+'Booking-QTY-WRK-P'!J24+'Booking-QTY-WRK-P'!L24</f>
        <v>1</v>
      </c>
      <c r="E5" s="261">
        <f>'Booking-QTY-WRK-P'!N24+'Booking-QTY-WRK-P'!P24+'Booking-QTY-WRK-P'!R24</f>
        <v>0</v>
      </c>
      <c r="F5" s="261">
        <f>'Booking-QTY-WRK-P'!T24+'Booking-QTY-WRK-P'!V24+'Booking-QTY-WRK-P'!X24</f>
        <v>2</v>
      </c>
      <c r="G5" s="261">
        <f>SUM(C5:F5)</f>
        <v>3</v>
      </c>
      <c r="H5" s="261">
        <f>'Booking-QTY-WRK-P'!B11+'Booking-QTY-WRK-P'!D11+'Booking-QTY-WRK-P'!F11+'Booking-QTY-WRK-P'!B12+'Booking-QTY-WRK-P'!D12+'Booking-QTY-WRK-P'!F12</f>
        <v>0</v>
      </c>
      <c r="I5" s="261">
        <f>'Booking-QTY-WRK-P'!H11+'Booking-QTY-WRK-P'!J11+'Booking-QTY-WRK-P'!L11+'Booking-QTY-WRK-P'!H12+'Booking-QTY-WRK-P'!J12+'Booking-QTY-WRK-P'!L12</f>
        <v>0</v>
      </c>
      <c r="J5" s="261">
        <f>'Booking-QTY-WRK-P'!N11+'Booking-QTY-WRK-P'!P11+'Booking-QTY-WRK-P'!R11+'Booking-QTY-WRK-P'!N12+'Booking-QTY-WRK-P'!P12+'Booking-QTY-WRK-P'!R12</f>
        <v>0</v>
      </c>
      <c r="K5" s="261">
        <f>'Booking-QTY-WRK-P'!T11+'Booking-QTY-WRK-P'!V11+'Booking-QTY-WRK-P'!X11+'Booking-QTY-WRK-P'!T12+'Booking-QTY-WRK-P'!V12+'Booking-QTY-WRK-P'!X12</f>
        <v>0</v>
      </c>
      <c r="L5" s="261">
        <f>SUM(H5:K5)</f>
        <v>0</v>
      </c>
      <c r="M5" s="261">
        <f t="shared" si="0"/>
        <v>0</v>
      </c>
      <c r="N5" s="261">
        <f t="shared" si="0"/>
        <v>1</v>
      </c>
      <c r="O5" s="261">
        <f t="shared" si="0"/>
        <v>0</v>
      </c>
      <c r="P5" s="261">
        <f t="shared" si="0"/>
        <v>2</v>
      </c>
      <c r="Q5" s="261">
        <f>SUM(M5:P5)</f>
        <v>3</v>
      </c>
    </row>
    <row r="6" spans="1:17">
      <c r="A6" s="182">
        <v>1250</v>
      </c>
      <c r="B6" s="261">
        <v>4</v>
      </c>
      <c r="C6" s="261">
        <f>'Booking-QTY-WRK-P'!B25+'Booking-QTY-WRK-P'!D25+'Booking-QTY-WRK-P'!F25</f>
        <v>3</v>
      </c>
      <c r="D6" s="261">
        <f>'Booking-QTY-WRK-P'!H25+'Booking-QTY-WRK-P'!J25+'Booking-QTY-WRK-P'!L25</f>
        <v>1</v>
      </c>
      <c r="E6" s="261">
        <f>'Booking-QTY-WRK-P'!N25+'Booking-QTY-WRK-P'!P25+'Booking-QTY-WRK-P'!R25</f>
        <v>4</v>
      </c>
      <c r="F6" s="261">
        <f>'Booking-QTY-WRK-P'!T25+'Booking-QTY-WRK-P'!V25+'Booking-QTY-WRK-P'!X25</f>
        <v>0</v>
      </c>
      <c r="G6" s="261">
        <f>SUM(C6:F6)</f>
        <v>8</v>
      </c>
      <c r="H6" s="261">
        <f>'Booking-QTY-WRK-P'!B13+'Booking-QTY-WRK-P'!D13+'Booking-QTY-WRK-P'!F13</f>
        <v>0</v>
      </c>
      <c r="I6" s="261">
        <f>'Booking-QTY-WRK-P'!H13+'Booking-QTY-WRK-P'!J13+'Booking-QTY-WRK-P'!L13</f>
        <v>0</v>
      </c>
      <c r="J6" s="261">
        <f>'Booking-QTY-WRK-P'!N13+'Booking-QTY-WRK-P'!P13+'Booking-QTY-WRK-P'!R13</f>
        <v>0</v>
      </c>
      <c r="K6" s="261">
        <f>'Booking-QTY-WRK-P'!T13+'Booking-QTY-WRK-P'!V13+'Booking-QTY-WRK-P'!X13</f>
        <v>0</v>
      </c>
      <c r="L6" s="261">
        <f>SUM(H6:K6)</f>
        <v>0</v>
      </c>
      <c r="M6" s="261">
        <f t="shared" ref="M6:M15" si="1">C6+H6</f>
        <v>3</v>
      </c>
      <c r="N6" s="261">
        <f t="shared" ref="N6:N15" si="2">D6+I6</f>
        <v>1</v>
      </c>
      <c r="O6" s="261">
        <f t="shared" ref="O6:O15" si="3">E6+J6</f>
        <v>4</v>
      </c>
      <c r="P6" s="261">
        <f t="shared" ref="P6:P15" si="4">F6+K6</f>
        <v>0</v>
      </c>
      <c r="Q6" s="261">
        <f t="shared" ref="Q6:Q15" si="5">SUM(M6:P6)</f>
        <v>8</v>
      </c>
    </row>
    <row r="7" spans="1:17">
      <c r="A7" s="182">
        <v>1500</v>
      </c>
      <c r="B7" s="261">
        <v>69</v>
      </c>
      <c r="C7" s="261">
        <f>'Booking-QTY-WRK-P'!B26+'Booking-QTY-WRK-P'!D26+'Booking-QTY-WRK-P'!F26</f>
        <v>0</v>
      </c>
      <c r="D7" s="261">
        <f>'Booking-QTY-WRK-P'!H26+'Booking-QTY-WRK-P'!J26+'Booking-QTY-WRK-P'!L26</f>
        <v>0</v>
      </c>
      <c r="E7" s="261">
        <f>'Booking-QTY-WRK-P'!N26+'Booking-QTY-WRK-P'!P26+'Booking-QTY-WRK-P'!R26</f>
        <v>3</v>
      </c>
      <c r="F7" s="261">
        <f>'Booking-QTY-WRK-P'!T26+'Booking-QTY-WRK-P'!V26+'Booking-QTY-WRK-P'!X26</f>
        <v>0</v>
      </c>
      <c r="G7" s="261">
        <f>SUM(C7:F7)</f>
        <v>3</v>
      </c>
      <c r="H7" s="261"/>
      <c r="I7" s="261"/>
      <c r="J7" s="261"/>
      <c r="K7" s="261"/>
      <c r="L7" s="261"/>
      <c r="M7" s="261">
        <f t="shared" si="1"/>
        <v>0</v>
      </c>
      <c r="N7" s="261">
        <f t="shared" si="2"/>
        <v>0</v>
      </c>
      <c r="O7" s="261">
        <f t="shared" si="3"/>
        <v>3</v>
      </c>
      <c r="P7" s="261">
        <f t="shared" si="4"/>
        <v>0</v>
      </c>
      <c r="Q7" s="261">
        <f t="shared" si="5"/>
        <v>3</v>
      </c>
    </row>
    <row r="8" spans="1:17">
      <c r="A8" s="182">
        <v>1650</v>
      </c>
      <c r="B8" s="261">
        <v>0</v>
      </c>
      <c r="C8" s="261"/>
      <c r="D8" s="261"/>
      <c r="E8" s="261"/>
      <c r="F8" s="261"/>
      <c r="G8" s="261"/>
      <c r="H8" s="261">
        <f>'Booking-QTY-WRK-P'!B14+'Booking-QTY-WRK-P'!D14+'Booking-QTY-WRK-P'!F14</f>
        <v>0</v>
      </c>
      <c r="I8" s="261">
        <f>'Booking-QTY-WRK-P'!H14+'Booking-QTY-WRK-P'!J14+'Booking-QTY-WRK-P'!L14</f>
        <v>0</v>
      </c>
      <c r="J8" s="261">
        <f>'Booking-QTY-WRK-P'!N14+'Booking-QTY-WRK-P'!P14+'Booking-QTY-WRK-P'!R14</f>
        <v>0</v>
      </c>
      <c r="K8" s="261">
        <f>'Booking-QTY-WRK-P'!T14+'Booking-QTY-WRK-P'!V14+'Booking-QTY-WRK-P'!X14</f>
        <v>0</v>
      </c>
      <c r="L8" s="261">
        <f>SUM(H8:K8)</f>
        <v>0</v>
      </c>
      <c r="M8" s="261">
        <f t="shared" si="1"/>
        <v>0</v>
      </c>
      <c r="N8" s="261">
        <f t="shared" si="2"/>
        <v>0</v>
      </c>
      <c r="O8" s="261">
        <f t="shared" si="3"/>
        <v>0</v>
      </c>
      <c r="P8" s="261">
        <f t="shared" si="4"/>
        <v>0</v>
      </c>
      <c r="Q8" s="261">
        <f t="shared" si="5"/>
        <v>0</v>
      </c>
    </row>
    <row r="9" spans="1:17">
      <c r="A9" s="182">
        <v>1750</v>
      </c>
      <c r="B9" s="261">
        <v>0</v>
      </c>
      <c r="C9" s="261"/>
      <c r="D9" s="261"/>
      <c r="E9" s="261"/>
      <c r="F9" s="261"/>
      <c r="G9" s="261"/>
      <c r="H9" s="261"/>
      <c r="I9" s="261"/>
      <c r="J9" s="261"/>
      <c r="K9" s="261"/>
      <c r="L9" s="261"/>
      <c r="M9" s="261">
        <f t="shared" si="1"/>
        <v>0</v>
      </c>
      <c r="N9" s="261">
        <f t="shared" si="2"/>
        <v>0</v>
      </c>
      <c r="O9" s="261">
        <f t="shared" si="3"/>
        <v>0</v>
      </c>
      <c r="P9" s="261">
        <f t="shared" si="4"/>
        <v>0</v>
      </c>
      <c r="Q9" s="261">
        <f t="shared" si="5"/>
        <v>0</v>
      </c>
    </row>
    <row r="10" spans="1:17">
      <c r="A10" s="182">
        <v>1850</v>
      </c>
      <c r="B10" s="261">
        <v>0</v>
      </c>
      <c r="C10" s="261">
        <f>'Booking-QTY-WRK-P'!B27+'Booking-QTY-WRK-P'!D27+'Booking-QTY-WRK-P'!F27</f>
        <v>0</v>
      </c>
      <c r="D10" s="261">
        <f>'Booking-QTY-WRK-P'!H27+'Booking-QTY-WRK-P'!J27+'Booking-QTY-WRK-P'!L27</f>
        <v>0</v>
      </c>
      <c r="E10" s="261">
        <f>'Booking-QTY-WRK-P'!N27+'Booking-QTY-WRK-P'!P27+'Booking-QTY-WRK-P'!R27</f>
        <v>0</v>
      </c>
      <c r="F10" s="261">
        <f>'Booking-QTY-WRK-P'!T27+'Booking-QTY-WRK-P'!V27+'Booking-QTY-WRK-P'!X27</f>
        <v>0</v>
      </c>
      <c r="G10" s="261">
        <f>SUM(C10:F10)</f>
        <v>0</v>
      </c>
      <c r="H10" s="261">
        <f>'Booking-QTY-WRK-P'!B15+'Booking-QTY-WRK-P'!D15+'Booking-QTY-WRK-P'!F15</f>
        <v>0</v>
      </c>
      <c r="I10" s="261">
        <f>'Booking-QTY-WRK-P'!H15+'Booking-QTY-WRK-P'!J15+'Booking-QTY-WRK-P'!L15</f>
        <v>0</v>
      </c>
      <c r="J10" s="261">
        <f>'Booking-QTY-WRK-P'!N15+'Booking-QTY-WRK-P'!P15+'Booking-QTY-WRK-P'!R15</f>
        <v>0</v>
      </c>
      <c r="K10" s="261">
        <f>'Booking-QTY-WRK-P'!T15+'Booking-QTY-WRK-P'!V15+'Booking-QTY-WRK-P'!X15</f>
        <v>0</v>
      </c>
      <c r="L10" s="261">
        <f t="shared" ref="L10:L15" si="6">SUM(H10:K10)</f>
        <v>0</v>
      </c>
      <c r="M10" s="261">
        <f t="shared" si="1"/>
        <v>0</v>
      </c>
      <c r="N10" s="261">
        <f t="shared" si="2"/>
        <v>0</v>
      </c>
      <c r="O10" s="261">
        <f t="shared" si="3"/>
        <v>0</v>
      </c>
      <c r="P10" s="261">
        <f t="shared" si="4"/>
        <v>0</v>
      </c>
      <c r="Q10" s="261">
        <f t="shared" si="5"/>
        <v>0</v>
      </c>
    </row>
    <row r="11" spans="1:17">
      <c r="A11" s="182">
        <v>2000</v>
      </c>
      <c r="B11" s="261">
        <v>43</v>
      </c>
      <c r="C11" s="261">
        <f>'Booking-QTY-WRK-P'!B28+'Booking-QTY-WRK-P'!D28+'Booking-QTY-WRK-P'!F28</f>
        <v>4</v>
      </c>
      <c r="D11" s="261">
        <f>'Booking-QTY-WRK-P'!H28+'Booking-QTY-WRK-P'!J28+'Booking-QTY-WRK-P'!L28</f>
        <v>4</v>
      </c>
      <c r="E11" s="261">
        <f>'Booking-QTY-WRK-P'!N28+'Booking-QTY-WRK-P'!P28+'Booking-QTY-WRK-P'!R28</f>
        <v>0</v>
      </c>
      <c r="F11" s="261">
        <f>'Booking-QTY-WRK-P'!T28+'Booking-QTY-WRK-P'!V28+'Booking-QTY-WRK-P'!X28</f>
        <v>4</v>
      </c>
      <c r="G11" s="261">
        <f>SUM(C11:F11)</f>
        <v>12</v>
      </c>
      <c r="H11" s="261">
        <f>'Booking-QTY-WRK-P'!B16+'Booking-QTY-WRK-P'!D16+'Booking-QTY-WRK-P'!F16</f>
        <v>0</v>
      </c>
      <c r="I11" s="261">
        <f>'Booking-QTY-WRK-P'!H16+'Booking-QTY-WRK-P'!J16+'Booking-QTY-WRK-P'!L16</f>
        <v>0</v>
      </c>
      <c r="J11" s="261">
        <f>'Booking-QTY-WRK-P'!N16+'Booking-QTY-WRK-P'!P16+'Booking-QTY-WRK-P'!R16</f>
        <v>0</v>
      </c>
      <c r="K11" s="261">
        <f>'Booking-QTY-WRK-P'!T16+'Booking-QTY-WRK-P'!V16+'Booking-QTY-WRK-P'!X16</f>
        <v>0</v>
      </c>
      <c r="L11" s="261">
        <f t="shared" si="6"/>
        <v>0</v>
      </c>
      <c r="M11" s="261">
        <f t="shared" si="1"/>
        <v>4</v>
      </c>
      <c r="N11" s="261">
        <f t="shared" si="2"/>
        <v>4</v>
      </c>
      <c r="O11" s="261">
        <f t="shared" si="3"/>
        <v>0</v>
      </c>
      <c r="P11" s="261">
        <f t="shared" si="4"/>
        <v>4</v>
      </c>
      <c r="Q11" s="261">
        <f t="shared" si="5"/>
        <v>12</v>
      </c>
    </row>
    <row r="12" spans="1:17">
      <c r="A12" s="182">
        <v>2250</v>
      </c>
      <c r="B12" s="261">
        <f>6+3+4</f>
        <v>13</v>
      </c>
      <c r="C12" s="261">
        <f>'Booking-QTY-WRK-P'!B29+'Booking-QTY-WRK-P'!D29+'Booking-QTY-WRK-P'!F29</f>
        <v>2</v>
      </c>
      <c r="D12" s="261">
        <f>'Booking-QTY-WRK-P'!H29+'Booking-QTY-WRK-P'!J29+'Booking-QTY-WRK-P'!L29</f>
        <v>13</v>
      </c>
      <c r="E12" s="261">
        <f>'Booking-QTY-WRK-P'!N29+'Booking-QTY-WRK-P'!P29+'Booking-QTY-WRK-P'!R29</f>
        <v>0</v>
      </c>
      <c r="F12" s="261">
        <f>'Booking-QTY-WRK-P'!T29+'Booking-QTY-WRK-P'!V29+'Booking-QTY-WRK-P'!X29</f>
        <v>0</v>
      </c>
      <c r="G12" s="261">
        <f>SUM(C12:F12)</f>
        <v>15</v>
      </c>
      <c r="H12" s="261">
        <f>'Booking-QTY-WRK-P'!B17+'Booking-QTY-WRK-P'!D17+'Booking-QTY-WRK-P'!F17</f>
        <v>0</v>
      </c>
      <c r="I12" s="261">
        <f>'Booking-QTY-WRK-P'!H17+'Booking-QTY-WRK-P'!J17+'Booking-QTY-WRK-P'!L17</f>
        <v>0</v>
      </c>
      <c r="J12" s="261">
        <f>'Booking-QTY-WRK-P'!N17+'Booking-QTY-WRK-P'!P17+'Booking-QTY-WRK-P'!R17</f>
        <v>0</v>
      </c>
      <c r="K12" s="261">
        <f>'Booking-QTY-WRK-P'!T17+'Booking-QTY-WRK-P'!V17+'Booking-QTY-WRK-P'!X17</f>
        <v>0</v>
      </c>
      <c r="L12" s="261">
        <f t="shared" si="6"/>
        <v>0</v>
      </c>
      <c r="M12" s="261">
        <f t="shared" si="1"/>
        <v>2</v>
      </c>
      <c r="N12" s="261">
        <f t="shared" si="2"/>
        <v>13</v>
      </c>
      <c r="O12" s="261">
        <f t="shared" si="3"/>
        <v>0</v>
      </c>
      <c r="P12" s="261">
        <f t="shared" si="4"/>
        <v>0</v>
      </c>
      <c r="Q12" s="261">
        <f t="shared" si="5"/>
        <v>15</v>
      </c>
    </row>
    <row r="13" spans="1:17">
      <c r="A13" s="182">
        <v>2500</v>
      </c>
      <c r="B13" s="261">
        <v>0</v>
      </c>
      <c r="C13" s="261"/>
      <c r="D13" s="261"/>
      <c r="E13" s="261"/>
      <c r="F13" s="261"/>
      <c r="G13" s="261"/>
      <c r="H13" s="261">
        <f>'Booking-QTY-WRK-P'!B18+'Booking-QTY-WRK-P'!D18+'Booking-QTY-WRK-P'!F18</f>
        <v>0</v>
      </c>
      <c r="I13" s="261">
        <f>'Booking-QTY-WRK-P'!H18+'Booking-QTY-WRK-P'!J18+'Booking-QTY-WRK-P'!L18</f>
        <v>0</v>
      </c>
      <c r="J13" s="261">
        <f>'Booking-QTY-WRK-P'!N18+'Booking-QTY-WRK-P'!P18+'Booking-QTY-WRK-P'!R18</f>
        <v>0</v>
      </c>
      <c r="K13" s="261">
        <f>'Booking-QTY-WRK-P'!T18+'Booking-QTY-WRK-P'!V18+'Booking-QTY-WRK-P'!X18</f>
        <v>0</v>
      </c>
      <c r="L13" s="261">
        <f t="shared" si="6"/>
        <v>0</v>
      </c>
      <c r="M13" s="261">
        <f t="shared" si="1"/>
        <v>0</v>
      </c>
      <c r="N13" s="261">
        <f t="shared" si="2"/>
        <v>0</v>
      </c>
      <c r="O13" s="261">
        <f t="shared" si="3"/>
        <v>0</v>
      </c>
      <c r="P13" s="261">
        <f t="shared" si="4"/>
        <v>0</v>
      </c>
      <c r="Q13" s="261">
        <f t="shared" si="5"/>
        <v>0</v>
      </c>
    </row>
    <row r="14" spans="1:17">
      <c r="A14" s="182">
        <v>2750</v>
      </c>
      <c r="B14" s="261">
        <v>0</v>
      </c>
      <c r="C14" s="261"/>
      <c r="D14" s="261"/>
      <c r="E14" s="261"/>
      <c r="F14" s="261"/>
      <c r="G14" s="261"/>
      <c r="H14" s="261">
        <f>'Booking-QTY-WRK-P'!B19+'Booking-QTY-WRK-P'!D19+'Booking-QTY-WRK-P'!F19</f>
        <v>0</v>
      </c>
      <c r="I14" s="261">
        <f>'Booking-QTY-WRK-P'!H19+'Booking-QTY-WRK-P'!J19+'Booking-QTY-WRK-P'!L19</f>
        <v>0</v>
      </c>
      <c r="J14" s="261">
        <f>'Booking-QTY-WRK-P'!N19+'Booking-QTY-WRK-P'!P19+'Booking-QTY-WRK-P'!R19</f>
        <v>0</v>
      </c>
      <c r="K14" s="261">
        <f>'Booking-QTY-WRK-P'!T19+'Booking-QTY-WRK-P'!V19+'Booking-QTY-WRK-P'!X19</f>
        <v>0</v>
      </c>
      <c r="L14" s="261">
        <f t="shared" si="6"/>
        <v>0</v>
      </c>
      <c r="M14" s="261">
        <f t="shared" si="1"/>
        <v>0</v>
      </c>
      <c r="N14" s="261">
        <f t="shared" si="2"/>
        <v>0</v>
      </c>
      <c r="O14" s="261">
        <f t="shared" si="3"/>
        <v>0</v>
      </c>
      <c r="P14" s="261">
        <f t="shared" si="4"/>
        <v>0</v>
      </c>
      <c r="Q14" s="261">
        <f t="shared" si="5"/>
        <v>0</v>
      </c>
    </row>
    <row r="15" spans="1:17">
      <c r="A15" s="182">
        <v>3000</v>
      </c>
      <c r="B15" s="261">
        <v>0</v>
      </c>
      <c r="C15" s="261"/>
      <c r="D15" s="261"/>
      <c r="E15" s="261"/>
      <c r="F15" s="261"/>
      <c r="G15" s="261"/>
      <c r="H15" s="261">
        <f>'Booking-QTY-WRK-P'!B20+'Booking-QTY-WRK-P'!D20+'Booking-QTY-WRK-P'!F20</f>
        <v>0</v>
      </c>
      <c r="I15" s="261">
        <f>'Booking-QTY-WRK-P'!H20+'Booking-QTY-WRK-P'!J20+'Booking-QTY-WRK-P'!L20</f>
        <v>0</v>
      </c>
      <c r="J15" s="261">
        <f>'Booking-QTY-WRK-P'!N20+'Booking-QTY-WRK-P'!P20+'Booking-QTY-WRK-P'!R20</f>
        <v>0</v>
      </c>
      <c r="K15" s="261">
        <f>'Booking-QTY-WRK-P'!T20+'Booking-QTY-WRK-P'!V20+'Booking-QTY-WRK-P'!X20</f>
        <v>0</v>
      </c>
      <c r="L15" s="261">
        <f t="shared" si="6"/>
        <v>0</v>
      </c>
      <c r="M15" s="261">
        <f t="shared" si="1"/>
        <v>0</v>
      </c>
      <c r="N15" s="261">
        <f t="shared" si="2"/>
        <v>0</v>
      </c>
      <c r="O15" s="261">
        <f t="shared" si="3"/>
        <v>0</v>
      </c>
      <c r="P15" s="261">
        <f t="shared" si="4"/>
        <v>0</v>
      </c>
      <c r="Q15" s="261">
        <f t="shared" si="5"/>
        <v>0</v>
      </c>
    </row>
    <row r="16" spans="1:17">
      <c r="A16" s="182" t="s">
        <v>29</v>
      </c>
      <c r="B16" s="261">
        <f>SUM(B4:B15)</f>
        <v>302</v>
      </c>
      <c r="C16" s="261">
        <f t="shared" ref="C16:Q16" si="7">SUM(C4:C15)</f>
        <v>9</v>
      </c>
      <c r="D16" s="261">
        <f t="shared" si="7"/>
        <v>19</v>
      </c>
      <c r="E16" s="261">
        <f t="shared" si="7"/>
        <v>9</v>
      </c>
      <c r="F16" s="261">
        <f t="shared" si="7"/>
        <v>9</v>
      </c>
      <c r="G16" s="261">
        <f t="shared" si="7"/>
        <v>46</v>
      </c>
      <c r="H16" s="261">
        <f t="shared" si="7"/>
        <v>0</v>
      </c>
      <c r="I16" s="261">
        <f t="shared" si="7"/>
        <v>0</v>
      </c>
      <c r="J16" s="261">
        <f t="shared" si="7"/>
        <v>0</v>
      </c>
      <c r="K16" s="261">
        <f t="shared" si="7"/>
        <v>0</v>
      </c>
      <c r="L16" s="261">
        <f t="shared" si="7"/>
        <v>0</v>
      </c>
      <c r="M16" s="261">
        <f t="shared" si="7"/>
        <v>9</v>
      </c>
      <c r="N16" s="261">
        <f t="shared" si="7"/>
        <v>19</v>
      </c>
      <c r="O16" s="261">
        <f t="shared" si="7"/>
        <v>9</v>
      </c>
      <c r="P16" s="261">
        <f t="shared" si="7"/>
        <v>9</v>
      </c>
      <c r="Q16" s="261">
        <f t="shared" si="7"/>
        <v>46</v>
      </c>
    </row>
  </sheetData>
  <mergeCells count="6">
    <mergeCell ref="A3:Q3"/>
    <mergeCell ref="A1:A2"/>
    <mergeCell ref="B1:B2"/>
    <mergeCell ref="C1:G1"/>
    <mergeCell ref="H1:L1"/>
    <mergeCell ref="M1:Q1"/>
  </mergeCells>
  <phoneticPr fontId="8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0"/>
  <dimension ref="A1:K350"/>
  <sheetViews>
    <sheetView zoomScale="130" zoomScaleNormal="130" workbookViewId="0">
      <selection activeCell="B5" sqref="B5:I13"/>
    </sheetView>
  </sheetViews>
  <sheetFormatPr defaultRowHeight="12.75"/>
  <cols>
    <col min="1" max="1" width="12.42578125" style="19" bestFit="1" customWidth="1" collapsed="1"/>
    <col min="2" max="2" width="6.7109375" style="19" bestFit="1" customWidth="1" collapsed="1"/>
    <col min="3" max="3" width="7.140625" style="19" customWidth="1" collapsed="1"/>
    <col min="4" max="4" width="7.7109375" style="19" bestFit="1" customWidth="1" collapsed="1"/>
    <col min="5" max="5" width="8.5703125" style="19" bestFit="1" customWidth="1" collapsed="1"/>
    <col min="6" max="6" width="5.42578125" style="19" bestFit="1" customWidth="1" collapsed="1"/>
    <col min="7" max="7" width="8.28515625" style="19" bestFit="1" customWidth="1" collapsed="1"/>
    <col min="8" max="8" width="6.7109375" style="19" bestFit="1" customWidth="1" collapsed="1"/>
    <col min="9" max="9" width="8.28515625" style="19" bestFit="1" customWidth="1" collapsed="1"/>
    <col min="10" max="16384" width="9.140625" style="19" collapsed="1"/>
  </cols>
  <sheetData>
    <row r="1" spans="1:11" ht="13.5" thickBot="1">
      <c r="A1" s="19" t="s">
        <v>192</v>
      </c>
      <c r="B1" s="19" t="str">
        <f>MOP!B4</f>
        <v>OCT</v>
      </c>
      <c r="C1" s="19" t="str">
        <f>VLOOKUP(B1,MONTH,2,0)</f>
        <v>NOV</v>
      </c>
      <c r="D1" s="19" t="str">
        <f>VLOOKUP(B1,MONTH,3,0)</f>
        <v>Q3</v>
      </c>
    </row>
    <row r="2" spans="1:11" s="49" customFormat="1" ht="13.5" thickBot="1">
      <c r="A2" s="382" t="s">
        <v>353</v>
      </c>
      <c r="B2" s="237" t="s">
        <v>201</v>
      </c>
      <c r="C2" s="237" t="s">
        <v>201</v>
      </c>
      <c r="D2" s="382" t="s">
        <v>359</v>
      </c>
      <c r="E2" s="382" t="s">
        <v>179</v>
      </c>
      <c r="F2" s="382" t="str">
        <f>C1</f>
        <v>NOV</v>
      </c>
      <c r="G2" s="382" t="str">
        <f>C1</f>
        <v>NOV</v>
      </c>
      <c r="H2" s="237" t="s">
        <v>201</v>
      </c>
      <c r="I2" s="237" t="s">
        <v>201</v>
      </c>
    </row>
    <row r="3" spans="1:11" s="49" customFormat="1">
      <c r="A3" s="383"/>
      <c r="B3" s="238" t="str">
        <f>B1</f>
        <v>OCT</v>
      </c>
      <c r="C3" s="238" t="str">
        <f>B3</f>
        <v>OCT</v>
      </c>
      <c r="D3" s="383"/>
      <c r="E3" s="383"/>
      <c r="F3" s="383"/>
      <c r="G3" s="383"/>
      <c r="H3" s="237" t="str">
        <f>D1</f>
        <v>Q3</v>
      </c>
      <c r="I3" s="237" t="str">
        <f>H3</f>
        <v>Q3</v>
      </c>
    </row>
    <row r="4" spans="1:11" ht="13.5" thickBot="1">
      <c r="A4" s="384"/>
      <c r="B4" s="121" t="s">
        <v>343</v>
      </c>
      <c r="C4" s="121" t="s">
        <v>200</v>
      </c>
      <c r="D4" s="384"/>
      <c r="E4" s="121" t="s">
        <v>344</v>
      </c>
      <c r="F4" s="121" t="s">
        <v>343</v>
      </c>
      <c r="G4" s="121" t="s">
        <v>197</v>
      </c>
      <c r="H4" s="121" t="s">
        <v>198</v>
      </c>
      <c r="I4" s="121" t="s">
        <v>199</v>
      </c>
    </row>
    <row r="5" spans="1:11" ht="13.5" thickBot="1">
      <c r="A5" s="170">
        <v>750</v>
      </c>
      <c r="B5" s="273">
        <f>VLOOKUP($B$1,PERKINSBUDQTY,ROWS($B$5:B5)+1,0)</f>
        <v>0</v>
      </c>
      <c r="C5" s="273">
        <f>VLOOKUP($B$1,PERKINSACTQTY,ROWS($C$5:C5)+1,0)</f>
        <v>2</v>
      </c>
      <c r="D5" s="273">
        <f>IF(B5=0,(C5*100),(C5/B5*100))</f>
        <v>200</v>
      </c>
      <c r="E5" s="119">
        <f t="shared" ref="E5:E11" si="0">C5-B5</f>
        <v>2</v>
      </c>
      <c r="F5" s="119">
        <f>VLOOKUP($C$1,PERKINSBUDQTY,ROWS($F$5:F5)+1,0)-VLOOKUP($B$1,PERKINSBUDQTY,ROWS($F$5:F5)+1,0)</f>
        <v>0</v>
      </c>
      <c r="G5" s="167"/>
      <c r="H5" s="275">
        <f>VLOOKUP($D$1,PERKINSBUDQTY,ROWS($H$5:H5)+1,0)</f>
        <v>2</v>
      </c>
      <c r="I5" s="168">
        <f t="shared" ref="I5:I11" si="1">C5+G5</f>
        <v>2</v>
      </c>
    </row>
    <row r="6" spans="1:11" ht="13.5" thickBot="1">
      <c r="A6" s="170">
        <v>1010</v>
      </c>
      <c r="B6" s="273">
        <f>VLOOKUP($B$1,PERKINSBUDQTY,ROWS($B$5:B6)+1,0)</f>
        <v>1</v>
      </c>
      <c r="C6" s="273">
        <f>VLOOKUP($B$1,PERKINSACTQTY,ROWS($C$5:C6)+1,0)</f>
        <v>3</v>
      </c>
      <c r="D6" s="273">
        <f t="shared" ref="D6:D12" si="2">IF(B6=0,(C6*100),(C6/B6*100))</f>
        <v>300</v>
      </c>
      <c r="E6" s="119">
        <f t="shared" si="0"/>
        <v>2</v>
      </c>
      <c r="F6" s="119">
        <f>VLOOKUP($C$1,PERKINSBUDQTY,ROWS($F$5:F6)+1,0)-VLOOKUP($B$1,PERKINSBUDQTY,ROWS($F$5:F6)+1,0)</f>
        <v>0</v>
      </c>
      <c r="G6" s="167"/>
      <c r="H6" s="275">
        <f>VLOOKUP($D$1,PERKINSBUDQTY,ROWS($H$5:H6)+1,0)</f>
        <v>1</v>
      </c>
      <c r="I6" s="168">
        <f>C6+G6</f>
        <v>3</v>
      </c>
      <c r="K6" s="19">
        <f>I6/H6*100</f>
        <v>300</v>
      </c>
    </row>
    <row r="7" spans="1:11" s="49" customFormat="1" ht="13.5" thickBot="1">
      <c r="A7" s="239">
        <v>1250</v>
      </c>
      <c r="B7" s="274">
        <f>VLOOKUP($B$1,PERKINSBUDQTY,ROWS($B$5:B7)+1,0)</f>
        <v>8</v>
      </c>
      <c r="C7" s="274">
        <f>VLOOKUP($B$1,PERKINSACTQTY,ROWS($C$5:C7)+1,0)</f>
        <v>1</v>
      </c>
      <c r="D7" s="274">
        <f t="shared" si="2"/>
        <v>12.5</v>
      </c>
      <c r="E7" s="240">
        <f t="shared" si="0"/>
        <v>-7</v>
      </c>
      <c r="F7" s="240">
        <f>VLOOKUP($C$1,PERKINSBUDQTY,ROWS($F$5:F7)+1,0)-VLOOKUP($B$1,PERKINSBUDQTY,ROWS($F$5:F7)+1,0)</f>
        <v>0</v>
      </c>
      <c r="G7" s="241"/>
      <c r="H7" s="276">
        <f>VLOOKUP($D$1,PERKINSBUDQTY,ROWS($H$5:H7)+1,0)</f>
        <v>8</v>
      </c>
      <c r="I7" s="242">
        <f t="shared" si="1"/>
        <v>1</v>
      </c>
    </row>
    <row r="8" spans="1:11" s="49" customFormat="1" ht="13.5" thickBot="1">
      <c r="A8" s="239">
        <v>1500</v>
      </c>
      <c r="B8" s="274">
        <f>VLOOKUP($B$1,PERKINSBUDQTY,ROWS($B$5:B8)+1,0)</f>
        <v>0</v>
      </c>
      <c r="C8" s="274">
        <f>VLOOKUP($B$1,PERKINSACTQTY,ROWS($C$5:C8)+1,0)</f>
        <v>0</v>
      </c>
      <c r="D8" s="274">
        <f t="shared" si="2"/>
        <v>0</v>
      </c>
      <c r="E8" s="240">
        <f t="shared" si="0"/>
        <v>0</v>
      </c>
      <c r="F8" s="240">
        <f>VLOOKUP($C$1,PERKINSBUDQTY,ROWS($F$5:F8)+1,0)-VLOOKUP($B$1,PERKINSBUDQTY,ROWS($F$5:F8)+1,0)</f>
        <v>3</v>
      </c>
      <c r="G8" s="241">
        <v>2</v>
      </c>
      <c r="H8" s="276">
        <f>VLOOKUP($D$1,PERKINSBUDQTY,ROWS($H$5:H8)+1,0)</f>
        <v>3</v>
      </c>
      <c r="I8" s="242">
        <f>C8+G8</f>
        <v>2</v>
      </c>
      <c r="K8" s="19">
        <f>I8/H8*100</f>
        <v>66.666666666666657</v>
      </c>
    </row>
    <row r="9" spans="1:11" s="49" customFormat="1" ht="13.5" thickBot="1">
      <c r="A9" s="239">
        <v>1800</v>
      </c>
      <c r="B9" s="274">
        <f>VLOOKUP($B$1,PERKINSBUDQTY,ROWS($B$5:B9)+1,0)</f>
        <v>0</v>
      </c>
      <c r="C9" s="274">
        <f>VLOOKUP($B$1,PERKINSACTQTY,ROWS($C$5:C9)+1,0)</f>
        <v>0</v>
      </c>
      <c r="D9" s="274">
        <f t="shared" si="2"/>
        <v>0</v>
      </c>
      <c r="E9" s="240">
        <f t="shared" si="0"/>
        <v>0</v>
      </c>
      <c r="F9" s="240">
        <f>VLOOKUP($C$1,PERKINSBUDQTY,ROWS($F$5:F9)+1,0)-VLOOKUP($B$1,PERKINSBUDQTY,ROWS($F$5:F9)+1,0)</f>
        <v>0</v>
      </c>
      <c r="G9" s="241">
        <v>0</v>
      </c>
      <c r="H9" s="276">
        <f>VLOOKUP($D$1,PERKINSBUDQTY,ROWS($H$5:H9)+1,0)</f>
        <v>0</v>
      </c>
      <c r="I9" s="242">
        <f t="shared" si="1"/>
        <v>0</v>
      </c>
    </row>
    <row r="10" spans="1:11" s="49" customFormat="1" ht="13.5" thickBot="1">
      <c r="A10" s="239">
        <v>2000</v>
      </c>
      <c r="B10" s="274">
        <f>VLOOKUP($B$1,PERKINSBUDQTY,ROWS($B$5:B10)+1,0)</f>
        <v>8</v>
      </c>
      <c r="C10" s="274">
        <f>VLOOKUP($B$1,PERKINSACTQTY,ROWS($C$5:C10)+1,0)</f>
        <v>7</v>
      </c>
      <c r="D10" s="274">
        <f t="shared" si="2"/>
        <v>87.5</v>
      </c>
      <c r="E10" s="240">
        <f t="shared" si="0"/>
        <v>-1</v>
      </c>
      <c r="F10" s="240">
        <f>VLOOKUP($C$1,PERKINSBUDQTY,ROWS($F$5:F10)+1,0)-VLOOKUP($B$1,PERKINSBUDQTY,ROWS($F$5:F10)+1,0)</f>
        <v>0</v>
      </c>
      <c r="G10" s="241">
        <v>4</v>
      </c>
      <c r="H10" s="276">
        <f>VLOOKUP($D$1,PERKINSBUDQTY,ROWS($H$5:H10)+1,0)</f>
        <v>8</v>
      </c>
      <c r="I10" s="242">
        <f>C10+G10</f>
        <v>11</v>
      </c>
      <c r="K10" s="19">
        <f>I10/H10*100</f>
        <v>137.5</v>
      </c>
    </row>
    <row r="11" spans="1:11" s="49" customFormat="1" ht="13.5" thickBot="1">
      <c r="A11" s="239">
        <v>2250</v>
      </c>
      <c r="B11" s="274">
        <f>VLOOKUP($B$1,PERKINSBUDQTY,ROWS($B$5:B11)+1,0)</f>
        <v>15</v>
      </c>
      <c r="C11" s="274">
        <f>VLOOKUP($B$1,PERKINSACTQTY,ROWS($C$5:C11)+1,0)</f>
        <v>0</v>
      </c>
      <c r="D11" s="274">
        <f t="shared" si="2"/>
        <v>0</v>
      </c>
      <c r="E11" s="240">
        <f t="shared" si="0"/>
        <v>-15</v>
      </c>
      <c r="F11" s="240">
        <f>VLOOKUP($C$1,PERKINSBUDQTY,ROWS($F$5:F11)+1,0)-VLOOKUP($B$1,PERKINSBUDQTY,ROWS($F$5:F11)+1,0)</f>
        <v>0</v>
      </c>
      <c r="G11" s="241">
        <v>0</v>
      </c>
      <c r="H11" s="276">
        <f>VLOOKUP($D$1,PERKINSBUDQTY,ROWS($H$5:H11)+1,0)</f>
        <v>15</v>
      </c>
      <c r="I11" s="242">
        <f t="shared" si="1"/>
        <v>0</v>
      </c>
    </row>
    <row r="12" spans="1:11" s="49" customFormat="1" ht="13.5" thickBot="1">
      <c r="A12" s="239" t="s">
        <v>180</v>
      </c>
      <c r="B12" s="274">
        <f>SUM(B5:B11)</f>
        <v>32</v>
      </c>
      <c r="C12" s="274">
        <f>SUM(C5:C11)</f>
        <v>13</v>
      </c>
      <c r="D12" s="274">
        <f t="shared" si="2"/>
        <v>40.625</v>
      </c>
      <c r="E12" s="240">
        <f>SUM(E5:E11)</f>
        <v>-19</v>
      </c>
      <c r="F12" s="240">
        <f>SUM(F5:F11)</f>
        <v>3</v>
      </c>
      <c r="G12" s="240">
        <f>SUM(G5:G11)</f>
        <v>6</v>
      </c>
      <c r="H12" s="276">
        <f>SUM(H5:H11)</f>
        <v>37</v>
      </c>
      <c r="I12" s="240">
        <f>SUM(I5:I11)</f>
        <v>19</v>
      </c>
      <c r="K12" s="19">
        <f>I12/H12*100</f>
        <v>51.351351351351347</v>
      </c>
    </row>
    <row r="13" spans="1:11" ht="13.5" thickBot="1">
      <c r="A13" s="170" t="s">
        <v>181</v>
      </c>
      <c r="B13" s="273">
        <f>VLOOKUP($B$1,'Booking Look Up Table'!$O$56:$Q$71,2,0)</f>
        <v>4336</v>
      </c>
      <c r="C13" s="273">
        <f>VLOOKUP($B$1,'Booking Look Up Table'!$O$56:$Q$71,3,0)</f>
        <v>1519.7297260189573</v>
      </c>
      <c r="D13" s="273">
        <f>IF(B13=0,(C13*100),(C13/B13*100))</f>
        <v>35.049117297485175</v>
      </c>
      <c r="E13" s="119">
        <f>C13-B13</f>
        <v>-2816.2702739810429</v>
      </c>
      <c r="F13" s="119">
        <f>VLOOKUP($C$1,'Booking Look Up Table'!$O$56:$Q$71,2,0)-B13</f>
        <v>246</v>
      </c>
      <c r="G13" s="167">
        <v>1461</v>
      </c>
      <c r="H13" s="275">
        <f>VLOOKUP($D$1,'Booking Look Up Table'!$O$56:$Q$71,2,0)</f>
        <v>4666</v>
      </c>
      <c r="I13" s="168">
        <f>G13+C13</f>
        <v>2980.7297260189571</v>
      </c>
      <c r="K13" s="19">
        <f>I13/H13*100</f>
        <v>63.881905829810478</v>
      </c>
    </row>
    <row r="14" spans="1:11" s="49" customFormat="1"/>
    <row r="15" spans="1:11" ht="13.5" thickBot="1"/>
    <row r="16" spans="1:11" s="49" customFormat="1" ht="13.5" thickBot="1">
      <c r="B16" s="50"/>
      <c r="C16" s="243" t="s">
        <v>235</v>
      </c>
    </row>
    <row r="17" spans="11:11" s="49" customFormat="1"/>
    <row r="18" spans="11:11" s="49" customFormat="1">
      <c r="K18" s="49">
        <f>3.8*5+1.5*3</f>
        <v>23.5</v>
      </c>
    </row>
    <row r="19" spans="11:11" s="49" customFormat="1"/>
    <row r="20" spans="11:11" s="49" customFormat="1"/>
    <row r="21" spans="11:11" s="49" customFormat="1"/>
    <row r="22" spans="11:11" s="49" customFormat="1"/>
    <row r="23" spans="11:11" s="49" customFormat="1"/>
    <row r="24" spans="11:11" s="49" customFormat="1"/>
    <row r="25" spans="11:11" s="49" customFormat="1"/>
    <row r="26" spans="11:11" s="49" customFormat="1"/>
    <row r="27" spans="11:11" s="49" customFormat="1"/>
    <row r="28" spans="11:11" s="49" customFormat="1"/>
    <row r="29" spans="11:11" s="49" customFormat="1"/>
    <row r="30" spans="11:11" s="49" customFormat="1"/>
    <row r="31" spans="11:11" s="49" customFormat="1"/>
    <row r="32" spans="11:11" s="49" customFormat="1"/>
    <row r="33" s="49" customFormat="1"/>
    <row r="34" s="49" customFormat="1"/>
    <row r="35" s="49" customFormat="1"/>
    <row r="36" s="49" customFormat="1"/>
    <row r="37" s="49" customFormat="1"/>
    <row r="38" s="49" customFormat="1"/>
    <row r="39" s="49" customFormat="1"/>
    <row r="40" s="49" customFormat="1"/>
    <row r="41" s="49" customFormat="1"/>
    <row r="42" s="49" customFormat="1"/>
    <row r="43" s="49" customFormat="1"/>
    <row r="46" s="49" customFormat="1"/>
    <row r="47" s="49" customFormat="1"/>
    <row r="48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7" s="49" customFormat="1"/>
    <row r="62" s="49" customFormat="1"/>
    <row r="63" s="49" customFormat="1"/>
    <row r="69" s="49" customFormat="1"/>
    <row r="70" s="49" customFormat="1"/>
    <row r="73" s="49" customFormat="1"/>
    <row r="78" s="49" customFormat="1"/>
    <row r="79" s="49" customFormat="1"/>
    <row r="85" s="49" customFormat="1"/>
    <row r="90" s="49" customFormat="1"/>
    <row r="92" s="49" customFormat="1"/>
    <row r="93" s="49" customFormat="1"/>
    <row r="94" s="49" customFormat="1"/>
    <row r="95" s="49" customFormat="1"/>
    <row r="96" s="49" customFormat="1"/>
    <row r="97" s="49" customFormat="1"/>
    <row r="98" s="49" customFormat="1"/>
    <row r="99" s="49" customFormat="1"/>
    <row r="100" s="49" customFormat="1"/>
    <row r="101" s="49" customFormat="1"/>
    <row r="102" s="49" customFormat="1"/>
    <row r="103" s="49" customFormat="1"/>
    <row r="104" s="49" customFormat="1"/>
    <row r="105" s="49" customFormat="1"/>
    <row r="106" s="49" customFormat="1"/>
    <row r="107" s="49" customFormat="1"/>
    <row r="108" s="49" customFormat="1"/>
    <row r="109" s="49" customFormat="1"/>
    <row r="110" s="49" customFormat="1"/>
    <row r="111" s="49" customFormat="1"/>
    <row r="112" s="49" customFormat="1"/>
    <row r="113" s="49" customFormat="1"/>
    <row r="114" s="49" customFormat="1"/>
    <row r="115" s="49" customFormat="1"/>
    <row r="116" s="49" customFormat="1"/>
    <row r="117" s="49" customFormat="1"/>
    <row r="118" s="49" customFormat="1"/>
    <row r="119" s="49" customFormat="1"/>
    <row r="120" s="49" customFormat="1"/>
    <row r="121" s="49" customFormat="1"/>
    <row r="122" s="49" customFormat="1"/>
    <row r="123" s="49" customFormat="1"/>
    <row r="124" s="49" customFormat="1"/>
    <row r="125" s="49" customFormat="1"/>
    <row r="126" s="49" customFormat="1"/>
    <row r="127" s="49" customFormat="1"/>
    <row r="128" s="49" customFormat="1"/>
    <row r="129" s="49" customFormat="1"/>
    <row r="130" s="49" customFormat="1"/>
    <row r="131" s="49" customFormat="1"/>
    <row r="132" s="49" customFormat="1"/>
    <row r="133" s="49" customFormat="1"/>
    <row r="134" s="49" customFormat="1"/>
    <row r="135" s="49" customFormat="1"/>
    <row r="136" s="49" customFormat="1"/>
    <row r="137" s="49" customFormat="1"/>
    <row r="138" s="49" customFormat="1"/>
    <row r="139" s="49" customFormat="1"/>
    <row r="140" s="49" customFormat="1"/>
    <row r="141" s="49" customFormat="1"/>
    <row r="142" s="49" customFormat="1"/>
    <row r="143" s="49" customFormat="1"/>
    <row r="144" s="49" customFormat="1"/>
    <row r="145" s="49" customFormat="1"/>
    <row r="146" s="49" customFormat="1"/>
    <row r="147" s="49" customFormat="1"/>
    <row r="148" s="49" customFormat="1"/>
    <row r="149" s="49" customFormat="1"/>
    <row r="150" s="49" customFormat="1"/>
    <row r="151" s="49" customFormat="1"/>
    <row r="152" s="49" customFormat="1"/>
    <row r="153" s="49" customFormat="1"/>
    <row r="154" s="49" customFormat="1"/>
    <row r="155" s="49" customFormat="1"/>
    <row r="156" s="49" customFormat="1"/>
    <row r="157" s="49" customFormat="1"/>
    <row r="158" s="49" customFormat="1"/>
    <row r="159" s="49" customFormat="1"/>
    <row r="160" s="49" customFormat="1"/>
    <row r="161" s="49" customFormat="1"/>
    <row r="162" s="49" customFormat="1"/>
    <row r="163" s="49" customFormat="1"/>
    <row r="164" s="49" customFormat="1"/>
    <row r="165" s="49" customFormat="1"/>
    <row r="166" s="49" customFormat="1"/>
    <row r="167" s="49" customFormat="1"/>
    <row r="168" s="49" customFormat="1"/>
    <row r="169" s="49" customFormat="1"/>
    <row r="170" s="49" customFormat="1"/>
    <row r="171" s="49" customFormat="1"/>
    <row r="172" s="49" customFormat="1"/>
    <row r="173" s="49" customFormat="1"/>
    <row r="174" s="49" customFormat="1"/>
    <row r="175" s="49" customFormat="1"/>
    <row r="176" s="49" customFormat="1"/>
    <row r="177" s="49" customFormat="1"/>
    <row r="178" s="49" customFormat="1"/>
    <row r="179" s="49" customFormat="1"/>
    <row r="180" s="49" customFormat="1"/>
    <row r="181" s="49" customFormat="1"/>
    <row r="182" s="49" customFormat="1"/>
    <row r="183" s="49" customFormat="1"/>
    <row r="184" s="49" customFormat="1"/>
    <row r="185" s="49" customFormat="1"/>
    <row r="186" s="49" customFormat="1"/>
    <row r="187" s="49" customFormat="1"/>
    <row r="188" s="49" customFormat="1"/>
    <row r="189" s="49" customFormat="1"/>
    <row r="190" s="49" customFormat="1"/>
    <row r="191" s="49" customFormat="1"/>
    <row r="192" s="49" customFormat="1"/>
    <row r="193" s="49" customFormat="1"/>
    <row r="194" s="49" customFormat="1"/>
    <row r="195" s="49" customFormat="1"/>
    <row r="196" s="49" customFormat="1"/>
    <row r="197" s="49" customFormat="1"/>
    <row r="198" s="49" customFormat="1"/>
    <row r="199" s="49" customFormat="1"/>
    <row r="200" s="49" customFormat="1"/>
    <row r="201" s="49" customFormat="1"/>
    <row r="202" s="49" customFormat="1"/>
    <row r="203" s="49" customFormat="1"/>
    <row r="204" s="49" customFormat="1"/>
    <row r="205" s="49" customFormat="1"/>
    <row r="206" s="49" customFormat="1"/>
    <row r="207" s="49" customFormat="1"/>
    <row r="208" s="49" customFormat="1"/>
    <row r="209" s="49" customFormat="1"/>
    <row r="210" s="49" customFormat="1"/>
    <row r="211" s="49" customFormat="1"/>
    <row r="212" s="49" customFormat="1"/>
    <row r="213" s="49" customFormat="1"/>
    <row r="214" s="49" customFormat="1"/>
    <row r="215" s="49" customFormat="1"/>
    <row r="216" s="49" customFormat="1"/>
    <row r="217" s="49" customFormat="1"/>
    <row r="218" s="49" customFormat="1"/>
    <row r="219" s="49" customFormat="1"/>
    <row r="220" s="49" customFormat="1"/>
    <row r="221" s="49" customFormat="1"/>
    <row r="222" s="49" customFormat="1"/>
    <row r="223" s="49" customFormat="1"/>
    <row r="224" s="49" customFormat="1"/>
    <row r="225" s="49" customFormat="1"/>
    <row r="226" s="49" customFormat="1"/>
    <row r="227" s="49" customFormat="1"/>
    <row r="228" s="49" customFormat="1"/>
    <row r="229" s="49" customFormat="1"/>
    <row r="230" s="49" customFormat="1"/>
    <row r="231" s="49" customFormat="1"/>
    <row r="232" s="49" customFormat="1"/>
    <row r="233" s="49" customFormat="1"/>
    <row r="234" s="49" customFormat="1"/>
    <row r="235" s="49" customFormat="1"/>
    <row r="236" s="49" customFormat="1"/>
    <row r="237" s="49" customFormat="1"/>
    <row r="238" s="49" customFormat="1"/>
    <row r="239" s="49" customFormat="1"/>
    <row r="240" s="49" customFormat="1"/>
    <row r="241" s="49" customFormat="1"/>
    <row r="242" s="49" customFormat="1"/>
    <row r="243" s="49" customFormat="1"/>
    <row r="244" s="49" customFormat="1"/>
    <row r="245" s="49" customFormat="1"/>
    <row r="246" s="49" customFormat="1"/>
    <row r="247" s="49" customFormat="1"/>
    <row r="248" s="49" customFormat="1"/>
    <row r="249" s="49" customFormat="1"/>
    <row r="250" s="49" customFormat="1"/>
    <row r="251" s="49" customFormat="1"/>
    <row r="252" s="49" customFormat="1"/>
    <row r="253" s="49" customFormat="1"/>
    <row r="254" s="49" customFormat="1"/>
    <row r="255" s="49" customFormat="1"/>
    <row r="256" s="49" customFormat="1"/>
    <row r="257" s="49" customFormat="1"/>
    <row r="258" s="49" customFormat="1"/>
    <row r="259" s="49" customFormat="1"/>
    <row r="260" s="49" customFormat="1"/>
    <row r="261" s="49" customFormat="1"/>
    <row r="262" s="49" customFormat="1"/>
    <row r="263" s="49" customFormat="1"/>
    <row r="264" s="49" customFormat="1"/>
    <row r="265" s="49" customFormat="1"/>
    <row r="266" s="49" customFormat="1"/>
    <row r="267" s="49" customFormat="1"/>
    <row r="268" s="49" customFormat="1"/>
    <row r="269" s="49" customFormat="1"/>
    <row r="270" s="49" customFormat="1"/>
    <row r="271" s="49" customFormat="1"/>
    <row r="272" s="49" customFormat="1"/>
    <row r="273" s="49" customFormat="1"/>
    <row r="274" s="49" customFormat="1"/>
    <row r="275" s="49" customFormat="1"/>
    <row r="276" s="49" customFormat="1"/>
    <row r="277" s="49" customFormat="1"/>
    <row r="278" s="49" customFormat="1"/>
    <row r="279" s="49" customFormat="1"/>
    <row r="280" s="49" customFormat="1"/>
    <row r="281" s="49" customFormat="1"/>
    <row r="282" s="49" customFormat="1"/>
    <row r="283" s="49" customFormat="1"/>
    <row r="284" s="49" customFormat="1"/>
    <row r="285" s="49" customFormat="1"/>
    <row r="286" s="49" customFormat="1"/>
    <row r="287" s="49" customFormat="1"/>
    <row r="288" s="49" customFormat="1"/>
    <row r="289" s="49" customFormat="1"/>
    <row r="290" s="49" customFormat="1"/>
    <row r="291" s="49" customFormat="1"/>
    <row r="292" s="49" customFormat="1"/>
    <row r="293" s="49" customFormat="1"/>
    <row r="294" s="49" customFormat="1"/>
    <row r="295" s="49" customFormat="1"/>
    <row r="296" s="49" customFormat="1"/>
    <row r="297" s="49" customFormat="1"/>
    <row r="298" s="49" customFormat="1"/>
    <row r="299" s="49" customFormat="1"/>
    <row r="300" s="49" customFormat="1"/>
    <row r="301" s="49" customFormat="1"/>
    <row r="302" s="49" customFormat="1"/>
    <row r="303" s="49" customFormat="1"/>
    <row r="304" s="49" customFormat="1"/>
    <row r="305" s="49" customFormat="1"/>
    <row r="306" s="49" customFormat="1"/>
    <row r="307" s="49" customFormat="1"/>
    <row r="308" s="49" customFormat="1"/>
    <row r="309" s="49" customFormat="1"/>
    <row r="310" s="49" customFormat="1"/>
    <row r="311" s="49" customFormat="1"/>
    <row r="312" s="49" customFormat="1"/>
    <row r="313" s="49" customFormat="1"/>
    <row r="314" s="49" customFormat="1"/>
    <row r="315" s="49" customFormat="1"/>
    <row r="316" s="49" customFormat="1"/>
    <row r="317" s="49" customFormat="1"/>
    <row r="318" s="49" customFormat="1"/>
    <row r="319" s="49" customFormat="1"/>
    <row r="320" s="49" customFormat="1"/>
    <row r="321" s="49" customFormat="1"/>
    <row r="322" s="49" customFormat="1"/>
    <row r="323" s="49" customFormat="1"/>
    <row r="324" s="49" customFormat="1"/>
    <row r="325" s="49" customFormat="1"/>
    <row r="326" s="49" customFormat="1"/>
    <row r="327" s="49" customFormat="1"/>
    <row r="328" s="49" customFormat="1"/>
    <row r="329" s="49" customFormat="1"/>
    <row r="330" s="49" customFormat="1"/>
    <row r="331" s="49" customFormat="1"/>
    <row r="332" s="49" customFormat="1"/>
    <row r="333" s="49" customFormat="1"/>
    <row r="334" s="49" customFormat="1"/>
    <row r="335" s="49" customFormat="1"/>
    <row r="336" s="49" customFormat="1"/>
    <row r="337" s="49" customFormat="1"/>
    <row r="338" s="49" customFormat="1"/>
    <row r="339" s="49" customFormat="1"/>
    <row r="340" s="49" customFormat="1"/>
    <row r="341" s="49" customFormat="1"/>
    <row r="342" s="49" customFormat="1"/>
    <row r="343" s="49" customFormat="1"/>
    <row r="344" s="49" customFormat="1"/>
    <row r="345" s="49" customFormat="1"/>
    <row r="346" s="49" customFormat="1"/>
    <row r="347" s="49" customFormat="1"/>
    <row r="348" s="49" customFormat="1"/>
    <row r="349" s="49" customFormat="1"/>
    <row r="350" s="49" customFormat="1"/>
  </sheetData>
  <protectedRanges>
    <protectedRange sqref="G13" name="Range2"/>
    <protectedRange sqref="G5:G11" name="Range1"/>
  </protectedRanges>
  <mergeCells count="5">
    <mergeCell ref="A2:A4"/>
    <mergeCell ref="D2:D4"/>
    <mergeCell ref="E2:E3"/>
    <mergeCell ref="F2:F3"/>
    <mergeCell ref="G2:G3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1"/>
  <dimension ref="A1:I33"/>
  <sheetViews>
    <sheetView zoomScale="130" zoomScaleNormal="130" workbookViewId="0">
      <selection activeCell="H15" sqref="H15"/>
    </sheetView>
  </sheetViews>
  <sheetFormatPr defaultRowHeight="12.75"/>
  <cols>
    <col min="1" max="1" width="6.5703125" style="19" bestFit="1" customWidth="1" collapsed="1"/>
    <col min="2" max="2" width="6.7109375" style="19" bestFit="1" customWidth="1" collapsed="1"/>
    <col min="3" max="3" width="6.85546875" style="19" customWidth="1" collapsed="1"/>
    <col min="4" max="4" width="12.42578125" style="19" customWidth="1" collapsed="1"/>
    <col min="5" max="5" width="8.5703125" style="19" bestFit="1" customWidth="1" collapsed="1"/>
    <col min="6" max="6" width="5.140625" style="19" bestFit="1" customWidth="1" collapsed="1"/>
    <col min="7" max="7" width="7.42578125" style="19" bestFit="1" customWidth="1" collapsed="1"/>
    <col min="8" max="8" width="6.7109375" style="19" bestFit="1" customWidth="1" collapsed="1"/>
    <col min="9" max="9" width="7.42578125" style="19" bestFit="1" customWidth="1" collapsed="1"/>
    <col min="10" max="16384" width="9.140625" style="19" collapsed="1"/>
  </cols>
  <sheetData>
    <row r="1" spans="1:9" ht="13.5" thickBot="1">
      <c r="A1" s="19" t="s">
        <v>192</v>
      </c>
      <c r="B1" s="19" t="str">
        <f>MOP!B4</f>
        <v>OCT</v>
      </c>
      <c r="C1" s="19" t="str">
        <f>VLOOKUP(B1,MONTH,2,0)</f>
        <v>NOV</v>
      </c>
      <c r="D1" s="19" t="str">
        <f>VLOOKUP(B1,MONTH,3,0)</f>
        <v>Q3</v>
      </c>
    </row>
    <row r="2" spans="1:9" ht="13.5" thickBot="1">
      <c r="A2" s="385" t="s">
        <v>358</v>
      </c>
      <c r="B2" s="234" t="s">
        <v>201</v>
      </c>
      <c r="C2" s="234" t="s">
        <v>201</v>
      </c>
      <c r="D2" s="385" t="s">
        <v>348</v>
      </c>
      <c r="E2" s="385" t="s">
        <v>179</v>
      </c>
      <c r="F2" s="385" t="str">
        <f>C1</f>
        <v>NOV</v>
      </c>
      <c r="G2" s="385" t="str">
        <f>C1</f>
        <v>NOV</v>
      </c>
      <c r="H2" s="234" t="s">
        <v>201</v>
      </c>
      <c r="I2" s="234" t="s">
        <v>201</v>
      </c>
    </row>
    <row r="3" spans="1:9">
      <c r="A3" s="386"/>
      <c r="B3" s="235" t="str">
        <f>B1</f>
        <v>OCT</v>
      </c>
      <c r="C3" s="235" t="str">
        <f>B3</f>
        <v>OCT</v>
      </c>
      <c r="D3" s="386"/>
      <c r="E3" s="386"/>
      <c r="F3" s="386"/>
      <c r="G3" s="386"/>
      <c r="H3" s="234" t="str">
        <f>D1</f>
        <v>Q3</v>
      </c>
      <c r="I3" s="234" t="str">
        <f>H3</f>
        <v>Q3</v>
      </c>
    </row>
    <row r="4" spans="1:9" ht="13.5" thickBot="1">
      <c r="A4" s="387"/>
      <c r="B4" s="121" t="s">
        <v>343</v>
      </c>
      <c r="C4" s="121" t="s">
        <v>200</v>
      </c>
      <c r="D4" s="387"/>
      <c r="E4" s="121" t="s">
        <v>344</v>
      </c>
      <c r="F4" s="121" t="s">
        <v>343</v>
      </c>
      <c r="G4" s="121" t="s">
        <v>197</v>
      </c>
      <c r="H4" s="121" t="s">
        <v>198</v>
      </c>
      <c r="I4" s="121" t="s">
        <v>199</v>
      </c>
    </row>
    <row r="5" spans="1:9" ht="13.5" thickBot="1">
      <c r="A5" s="156">
        <v>775</v>
      </c>
      <c r="B5" s="119">
        <f>VLOOKUP($B$1,MTUBUDQTY,ROWS($B$5:B5)+1,0)</f>
        <v>0</v>
      </c>
      <c r="C5" s="119">
        <f>VLOOKUP($B$1,MTUACTQTY,ROWS($C$5:C5)+1,0)</f>
        <v>0</v>
      </c>
      <c r="D5" s="166">
        <f t="shared" ref="D5:D14" si="0">IF(B5=0,(C5*100),(C5/B5*100))</f>
        <v>0</v>
      </c>
      <c r="E5" s="119">
        <f t="shared" ref="E5:E13" si="1">C5-B5</f>
        <v>0</v>
      </c>
      <c r="F5" s="119">
        <f>VLOOKUP($C$1,MTUBUDQTY,ROWS($F$5:F5)+1,0)-VLOOKUP($B$1,MTUBUDQTY,ROWS($F$5:F5)+1,0)</f>
        <v>0</v>
      </c>
      <c r="G5" s="167">
        <v>0</v>
      </c>
      <c r="H5" s="119">
        <f>VLOOKUP($D$1,MTUBUDQTY,ROWS($H$5:H5)+1,0)</f>
        <v>0</v>
      </c>
      <c r="I5" s="168">
        <f t="shared" ref="I5:I12" si="2">C5+G5</f>
        <v>0</v>
      </c>
    </row>
    <row r="6" spans="1:9" ht="13.5" thickBot="1">
      <c r="A6" s="156">
        <v>1010</v>
      </c>
      <c r="B6" s="119">
        <f>VLOOKUP($B$1,MTUBUDQTY,ROWS($B$5:B6)+1,0)</f>
        <v>0</v>
      </c>
      <c r="C6" s="119">
        <f>VLOOKUP($B$1,MTUACTQTY,ROWS($C$5:C6)+1,0)</f>
        <v>0</v>
      </c>
      <c r="D6" s="166">
        <f t="shared" si="0"/>
        <v>0</v>
      </c>
      <c r="E6" s="119">
        <f t="shared" si="1"/>
        <v>0</v>
      </c>
      <c r="F6" s="119">
        <f>VLOOKUP($C$1,MTUBUDQTY,ROWS($F$5:F6)+1,0)-VLOOKUP($B$1,MTUBUDQTY,ROWS($F$5:F6)+1,0)</f>
        <v>0</v>
      </c>
      <c r="G6" s="167">
        <v>0</v>
      </c>
      <c r="H6" s="119">
        <f>VLOOKUP($D$1,MTUBUDQTY,ROWS($H$5:H6)+1,0)</f>
        <v>0</v>
      </c>
      <c r="I6" s="168">
        <f t="shared" si="2"/>
        <v>0</v>
      </c>
    </row>
    <row r="7" spans="1:9" ht="13.5" thickBot="1">
      <c r="A7" s="156">
        <v>1250</v>
      </c>
      <c r="B7" s="119">
        <f>VLOOKUP($B$1,MTUBUDQTY,ROWS($B$5:B7)+1,0)</f>
        <v>0</v>
      </c>
      <c r="C7" s="119">
        <f>VLOOKUP($B$1,MTUACTQTY,ROWS($C$5:C7)+1,0)</f>
        <v>0</v>
      </c>
      <c r="D7" s="166">
        <f t="shared" si="0"/>
        <v>0</v>
      </c>
      <c r="E7" s="119">
        <f t="shared" si="1"/>
        <v>0</v>
      </c>
      <c r="F7" s="119">
        <f>VLOOKUP($C$1,MTUBUDQTY,ROWS($F$5:F7)+1,0)-VLOOKUP($B$1,MTUBUDQTY,ROWS($F$5:F7)+1,0)</f>
        <v>0</v>
      </c>
      <c r="G7" s="167">
        <v>0</v>
      </c>
      <c r="H7" s="119">
        <f>VLOOKUP($D$1,MTUBUDQTY,ROWS($H$5:H7)+1,0)</f>
        <v>0</v>
      </c>
      <c r="I7" s="168">
        <f t="shared" si="2"/>
        <v>0</v>
      </c>
    </row>
    <row r="8" spans="1:9" ht="13.5" thickBot="1">
      <c r="A8" s="156">
        <v>1500</v>
      </c>
      <c r="B8" s="119">
        <f>VLOOKUP($B$1,MTUBUDQTY,ROWS($B$5:B8)+1,0)</f>
        <v>0</v>
      </c>
      <c r="C8" s="119">
        <f>VLOOKUP($B$1,MTUACTQTY,ROWS($C$5:C8)+1,0)</f>
        <v>0</v>
      </c>
      <c r="D8" s="166">
        <f t="shared" si="0"/>
        <v>0</v>
      </c>
      <c r="E8" s="119">
        <f t="shared" si="1"/>
        <v>0</v>
      </c>
      <c r="F8" s="119">
        <f>VLOOKUP($C$1,MTUBUDQTY,ROWS($F$5:F8)+1,0)-VLOOKUP($B$1,MTUBUDQTY,ROWS($F$5:F8)+1,0)</f>
        <v>0</v>
      </c>
      <c r="G8" s="167">
        <v>0</v>
      </c>
      <c r="H8" s="119">
        <f>VLOOKUP($D$1,MTUBUDQTY,ROWS($H$5:H8)+1,0)</f>
        <v>0</v>
      </c>
      <c r="I8" s="168">
        <f t="shared" si="2"/>
        <v>0</v>
      </c>
    </row>
    <row r="9" spans="1:9" ht="13.5" thickBot="1">
      <c r="A9" s="156">
        <v>1800</v>
      </c>
      <c r="B9" s="119">
        <f>VLOOKUP($B$1,MTUBUDQTY,ROWS($B$5:B9)+1,0)</f>
        <v>0</v>
      </c>
      <c r="C9" s="119">
        <f>VLOOKUP($B$1,MTUACTQTY,ROWS($C$5:C9)+1,0)</f>
        <v>0</v>
      </c>
      <c r="D9" s="166">
        <f t="shared" si="0"/>
        <v>0</v>
      </c>
      <c r="E9" s="119">
        <f t="shared" si="1"/>
        <v>0</v>
      </c>
      <c r="F9" s="119">
        <f>VLOOKUP($C$1,MTUBUDQTY,ROWS($F$5:F9)+1,0)-VLOOKUP($B$1,MTUBUDQTY,ROWS($F$5:F9)+1,0)</f>
        <v>0</v>
      </c>
      <c r="G9" s="167">
        <v>0</v>
      </c>
      <c r="H9" s="119">
        <f>VLOOKUP($D$1,MTUBUDQTY,ROWS($H$5:H9)+1,0)</f>
        <v>0</v>
      </c>
      <c r="I9" s="168">
        <f t="shared" si="2"/>
        <v>0</v>
      </c>
    </row>
    <row r="10" spans="1:9" ht="13.5" thickBot="1">
      <c r="A10" s="156">
        <v>2000</v>
      </c>
      <c r="B10" s="119">
        <f>VLOOKUP($B$1,MTUBUDQTY,ROWS($B$5:B10)+1,0)</f>
        <v>0</v>
      </c>
      <c r="C10" s="119">
        <f>VLOOKUP($B$1,MTUACTQTY,ROWS($C$5:C10)+1,0)</f>
        <v>0</v>
      </c>
      <c r="D10" s="166">
        <f t="shared" si="0"/>
        <v>0</v>
      </c>
      <c r="E10" s="119">
        <f t="shared" si="1"/>
        <v>0</v>
      </c>
      <c r="F10" s="119">
        <f>VLOOKUP($C$1,MTUBUDQTY,ROWS($F$5:F10)+1,0)-VLOOKUP($B$1,MTUBUDQTY,ROWS($F$5:F10)+1,0)</f>
        <v>0</v>
      </c>
      <c r="G10" s="167">
        <v>0</v>
      </c>
      <c r="H10" s="119">
        <f>VLOOKUP($D$1,MTUBUDQTY,ROWS($H$5:H10)+1,0)</f>
        <v>0</v>
      </c>
      <c r="I10" s="168">
        <f t="shared" si="2"/>
        <v>0</v>
      </c>
    </row>
    <row r="11" spans="1:9" ht="13.5" thickBot="1">
      <c r="A11" s="156">
        <v>2250</v>
      </c>
      <c r="B11" s="119">
        <f>VLOOKUP($B$1,MTUBUDQTY,ROWS($B$5:B11)+1,0)</f>
        <v>0</v>
      </c>
      <c r="C11" s="119">
        <f>VLOOKUP($B$1,MTUACTQTY,ROWS($C$5:C11)+1,0)</f>
        <v>0</v>
      </c>
      <c r="D11" s="166">
        <f t="shared" si="0"/>
        <v>0</v>
      </c>
      <c r="E11" s="119">
        <f t="shared" si="1"/>
        <v>0</v>
      </c>
      <c r="F11" s="119">
        <f>VLOOKUP($C$1,MTUBUDQTY,ROWS($F$5:F11)+1,0)-VLOOKUP($B$1,MTUBUDQTY,ROWS($F$5:F11)+1,0)</f>
        <v>0</v>
      </c>
      <c r="G11" s="167">
        <v>0</v>
      </c>
      <c r="H11" s="119">
        <f>VLOOKUP($D$1,MTUBUDQTY,ROWS($H$5:H11)+1,0)</f>
        <v>0</v>
      </c>
      <c r="I11" s="168">
        <f t="shared" si="2"/>
        <v>0</v>
      </c>
    </row>
    <row r="12" spans="1:9" ht="13.5" thickBot="1">
      <c r="A12" s="156">
        <v>2500</v>
      </c>
      <c r="B12" s="119">
        <f>VLOOKUP($B$1,MTUBUDQTY,ROWS($B$5:B12)+1,0)</f>
        <v>0</v>
      </c>
      <c r="C12" s="119">
        <f>VLOOKUP($B$1,MTUACTQTY,ROWS($C$5:C12)+1,0)</f>
        <v>0</v>
      </c>
      <c r="D12" s="166">
        <f t="shared" si="0"/>
        <v>0</v>
      </c>
      <c r="E12" s="119">
        <f t="shared" si="1"/>
        <v>0</v>
      </c>
      <c r="F12" s="119">
        <f>VLOOKUP($C$1,MTUBUDQTY,ROWS($F$5:F12)+1,0)-VLOOKUP($B$1,MTUBUDQTY,ROWS($F$5:F12)+1,0)</f>
        <v>0</v>
      </c>
      <c r="G12" s="167">
        <v>0</v>
      </c>
      <c r="H12" s="119">
        <f>VLOOKUP($D$1,MTUBUDQTY,ROWS($H$5:H12)+1,0)</f>
        <v>0</v>
      </c>
      <c r="I12" s="168">
        <f t="shared" si="2"/>
        <v>0</v>
      </c>
    </row>
    <row r="13" spans="1:9" ht="13.5" thickBot="1">
      <c r="A13" s="156">
        <v>3000</v>
      </c>
      <c r="B13" s="119">
        <f>VLOOKUP($B$1,MTUBUDQTY,ROWS($B$5:B13)+2,0)</f>
        <v>0</v>
      </c>
      <c r="C13" s="119">
        <f>VLOOKUP($B$1,MTUACTQTY,ROWS($C$5:C13)+2,0)</f>
        <v>0</v>
      </c>
      <c r="D13" s="166">
        <f t="shared" si="0"/>
        <v>0</v>
      </c>
      <c r="E13" s="119">
        <f t="shared" si="1"/>
        <v>0</v>
      </c>
      <c r="F13" s="119">
        <f>VLOOKUP($C$1,MTUBUDQTY,ROWS($F$5:F13)+2,0)-VLOOKUP($B$1,MTUBUDQTY,ROWS($F$5:F13)+2,0)</f>
        <v>0</v>
      </c>
      <c r="G13" s="167"/>
      <c r="H13" s="119">
        <f>VLOOKUP($D$1,MTUBUDQTY,ROWS($H$5:H13)+2,0)</f>
        <v>0</v>
      </c>
      <c r="I13" s="168">
        <f>C13+G13</f>
        <v>0</v>
      </c>
    </row>
    <row r="14" spans="1:9" ht="26.25" thickBot="1">
      <c r="A14" s="156" t="s">
        <v>180</v>
      </c>
      <c r="B14" s="119">
        <f>SUM(B5:B13)</f>
        <v>0</v>
      </c>
      <c r="C14" s="119">
        <f>SUM(C5:C13)</f>
        <v>0</v>
      </c>
      <c r="D14" s="166">
        <f t="shared" si="0"/>
        <v>0</v>
      </c>
      <c r="E14" s="119">
        <f>SUM(E5:E13)</f>
        <v>0</v>
      </c>
      <c r="F14" s="119">
        <f>SUM(F5:F13)</f>
        <v>0</v>
      </c>
      <c r="G14" s="119">
        <f>SUM(G5:G13)</f>
        <v>0</v>
      </c>
      <c r="H14" s="119">
        <f>SUM(H5:H13)</f>
        <v>0</v>
      </c>
      <c r="I14" s="119">
        <f>SUM(I5:I13)</f>
        <v>0</v>
      </c>
    </row>
    <row r="15" spans="1:9" ht="26.25" thickBot="1">
      <c r="A15" s="156" t="s">
        <v>181</v>
      </c>
      <c r="B15" s="119">
        <f>VLOOKUP($B$1,'Booking Look Up Table'!$A$56:$C$71,2,0)</f>
        <v>0</v>
      </c>
      <c r="C15" s="119">
        <f>VLOOKUP($B$1,'Booking Look Up Table'!$A$56:$C$71,3,0)</f>
        <v>0</v>
      </c>
      <c r="D15" s="271" t="e">
        <f>C15/B15</f>
        <v>#DIV/0!</v>
      </c>
      <c r="E15" s="119">
        <f>C15-B15</f>
        <v>0</v>
      </c>
      <c r="F15" s="119">
        <f>VLOOKUP($C$1,'Booking Look Up Table'!$A$56:$C$71,2,0)-B15</f>
        <v>0</v>
      </c>
      <c r="G15" s="167"/>
      <c r="H15" s="119">
        <f>VLOOKUP($D$1,'Booking Look Up Table'!$A$56:$C$71,2,0)</f>
        <v>0</v>
      </c>
      <c r="I15" s="169">
        <f>G15+C15</f>
        <v>0</v>
      </c>
    </row>
    <row r="17" spans="2:7" ht="13.5" thickBot="1"/>
    <row r="18" spans="2:7" ht="13.5" thickBot="1">
      <c r="B18" s="236"/>
      <c r="C18" s="1" t="s">
        <v>235</v>
      </c>
    </row>
    <row r="22" spans="2:7" ht="13.5" thickBot="1"/>
    <row r="23" spans="2:7" ht="13.5" thickBot="1">
      <c r="B23" s="119">
        <v>0</v>
      </c>
      <c r="C23" s="119">
        <v>0</v>
      </c>
      <c r="D23" s="119">
        <v>0</v>
      </c>
      <c r="E23" s="119">
        <v>0</v>
      </c>
      <c r="F23" s="119">
        <v>0</v>
      </c>
      <c r="G23" s="119">
        <v>0</v>
      </c>
    </row>
    <row r="24" spans="2:7" ht="13.5" thickBot="1">
      <c r="B24" s="119">
        <v>4.5</v>
      </c>
      <c r="C24" s="119">
        <v>2</v>
      </c>
      <c r="D24" s="119">
        <v>44.444444444444443</v>
      </c>
      <c r="E24" s="119">
        <v>-2.5</v>
      </c>
      <c r="F24" s="119">
        <v>0</v>
      </c>
      <c r="G24" s="119">
        <v>0</v>
      </c>
    </row>
    <row r="25" spans="2:7" ht="13.5" thickBot="1">
      <c r="B25" s="119">
        <v>0</v>
      </c>
      <c r="C25" s="119">
        <v>0</v>
      </c>
      <c r="D25" s="119">
        <v>0</v>
      </c>
      <c r="E25" s="119">
        <v>0</v>
      </c>
      <c r="F25" s="119">
        <v>0</v>
      </c>
      <c r="G25" s="119">
        <v>0</v>
      </c>
    </row>
    <row r="26" spans="2:7" ht="13.5" thickBot="1">
      <c r="B26" s="119">
        <v>0</v>
      </c>
      <c r="C26" s="119">
        <v>0</v>
      </c>
      <c r="D26" s="119">
        <v>0</v>
      </c>
      <c r="E26" s="119">
        <v>0</v>
      </c>
      <c r="F26" s="119">
        <v>0</v>
      </c>
      <c r="G26" s="119">
        <v>0</v>
      </c>
    </row>
    <row r="27" spans="2:7" ht="13.5" thickBot="1">
      <c r="B27" s="119">
        <v>0</v>
      </c>
      <c r="C27" s="119">
        <v>0</v>
      </c>
      <c r="D27" s="119">
        <v>0</v>
      </c>
      <c r="E27" s="119">
        <v>0</v>
      </c>
      <c r="F27" s="119">
        <v>2</v>
      </c>
      <c r="G27" s="119">
        <v>0</v>
      </c>
    </row>
    <row r="28" spans="2:7" ht="13.5" thickBot="1">
      <c r="B28" s="119">
        <v>12</v>
      </c>
      <c r="C28" s="119">
        <v>5</v>
      </c>
      <c r="D28" s="119">
        <v>41.666666666666671</v>
      </c>
      <c r="E28" s="119">
        <v>-7</v>
      </c>
      <c r="F28" s="119">
        <v>0</v>
      </c>
      <c r="G28" s="119">
        <v>6</v>
      </c>
    </row>
    <row r="29" spans="2:7" ht="13.5" thickBot="1">
      <c r="B29" s="119">
        <v>2</v>
      </c>
      <c r="C29" s="119">
        <v>0</v>
      </c>
      <c r="D29" s="119">
        <v>0</v>
      </c>
      <c r="E29" s="119">
        <v>-2</v>
      </c>
      <c r="F29" s="119">
        <v>0</v>
      </c>
      <c r="G29" s="119">
        <v>0</v>
      </c>
    </row>
    <row r="30" spans="2:7" ht="13.5" thickBot="1">
      <c r="B30" s="119">
        <v>0</v>
      </c>
      <c r="C30" s="119">
        <v>0</v>
      </c>
      <c r="D30" s="119">
        <v>0</v>
      </c>
      <c r="E30" s="119">
        <v>0</v>
      </c>
      <c r="F30" s="119">
        <v>0</v>
      </c>
      <c r="G30" s="119">
        <v>0</v>
      </c>
    </row>
    <row r="31" spans="2:7" ht="13.5" thickBot="1">
      <c r="B31" s="119">
        <v>4</v>
      </c>
      <c r="C31" s="119">
        <v>4</v>
      </c>
      <c r="D31" s="119">
        <v>100</v>
      </c>
      <c r="E31" s="119">
        <v>0</v>
      </c>
      <c r="F31" s="119">
        <v>0</v>
      </c>
      <c r="G31" s="119">
        <v>0.5</v>
      </c>
    </row>
    <row r="32" spans="2:7" ht="13.5" thickBot="1">
      <c r="B32" s="119">
        <v>22.5</v>
      </c>
      <c r="C32" s="119">
        <v>11</v>
      </c>
      <c r="D32" s="119">
        <v>48.888888888888886</v>
      </c>
      <c r="E32" s="119">
        <v>-11.5</v>
      </c>
      <c r="F32" s="119">
        <v>2</v>
      </c>
      <c r="G32" s="119">
        <v>6.5</v>
      </c>
    </row>
    <row r="33" spans="2:7" ht="13.5" thickBot="1">
      <c r="B33" s="119">
        <v>3939.65</v>
      </c>
      <c r="C33" s="119">
        <v>2783.4103500000001</v>
      </c>
      <c r="D33" s="119">
        <v>70.651208863731554</v>
      </c>
      <c r="E33" s="119">
        <v>-1156.23965</v>
      </c>
      <c r="F33" s="119">
        <v>374.99999999999955</v>
      </c>
      <c r="G33" s="119">
        <v>1900.25</v>
      </c>
    </row>
  </sheetData>
  <protectedRanges>
    <protectedRange sqref="G15" name="Range2"/>
    <protectedRange sqref="G5:G13" name="Range1"/>
  </protectedRanges>
  <mergeCells count="5">
    <mergeCell ref="A2:A4"/>
    <mergeCell ref="D2:D4"/>
    <mergeCell ref="E2:E3"/>
    <mergeCell ref="F2:F3"/>
    <mergeCell ref="G2:G3"/>
  </mergeCell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1"/>
  <dimension ref="A1:J18"/>
  <sheetViews>
    <sheetView zoomScale="130" zoomScaleNormal="130" workbookViewId="0">
      <selection activeCell="B13" sqref="B13:I13"/>
    </sheetView>
  </sheetViews>
  <sheetFormatPr defaultRowHeight="12.75"/>
  <cols>
    <col min="1" max="1" width="13.7109375" style="112" bestFit="1" customWidth="1" collapsed="1"/>
    <col min="2" max="2" width="6.7109375" style="112" bestFit="1" customWidth="1" collapsed="1"/>
    <col min="3" max="3" width="9.7109375" style="112" customWidth="1" collapsed="1"/>
    <col min="4" max="4" width="7.7109375" style="112" bestFit="1" customWidth="1" collapsed="1"/>
    <col min="5" max="5" width="8.5703125" style="112" bestFit="1" customWidth="1" collapsed="1"/>
    <col min="6" max="6" width="6.7109375" style="112" bestFit="1" customWidth="1" collapsed="1"/>
    <col min="7" max="7" width="7.42578125" style="112" bestFit="1" customWidth="1" collapsed="1"/>
    <col min="8" max="8" width="6.7109375" style="112" bestFit="1" customWidth="1" collapsed="1"/>
    <col min="9" max="9" width="7.42578125" style="112" bestFit="1" customWidth="1" collapsed="1"/>
    <col min="10" max="16384" width="9.140625" style="112" collapsed="1"/>
  </cols>
  <sheetData>
    <row r="1" spans="1:10" ht="13.5" thickBot="1">
      <c r="A1" s="112" t="s">
        <v>192</v>
      </c>
      <c r="B1" s="112" t="str">
        <f>MOP!B4</f>
        <v>OCT</v>
      </c>
      <c r="C1" s="112" t="str">
        <f>VLOOKUP(B1,MONTH,2,0)</f>
        <v>NOV</v>
      </c>
      <c r="D1" s="112" t="str">
        <f>VLOOKUP(B1,MONTH,3,0)</f>
        <v>Q3</v>
      </c>
    </row>
    <row r="2" spans="1:10" ht="13.5" thickBot="1">
      <c r="A2" s="388" t="s">
        <v>358</v>
      </c>
      <c r="B2" s="277" t="s">
        <v>201</v>
      </c>
      <c r="C2" s="277" t="s">
        <v>201</v>
      </c>
      <c r="D2" s="388" t="s">
        <v>348</v>
      </c>
      <c r="E2" s="388" t="s">
        <v>179</v>
      </c>
      <c r="F2" s="388" t="str">
        <f>C1</f>
        <v>NOV</v>
      </c>
      <c r="G2" s="388" t="str">
        <f>C1</f>
        <v>NOV</v>
      </c>
      <c r="H2" s="277" t="s">
        <v>201</v>
      </c>
      <c r="I2" s="277" t="s">
        <v>201</v>
      </c>
    </row>
    <row r="3" spans="1:10">
      <c r="A3" s="389"/>
      <c r="B3" s="278" t="str">
        <f>B1</f>
        <v>OCT</v>
      </c>
      <c r="C3" s="278" t="str">
        <f>B3</f>
        <v>OCT</v>
      </c>
      <c r="D3" s="389"/>
      <c r="E3" s="389"/>
      <c r="F3" s="389"/>
      <c r="G3" s="389"/>
      <c r="H3" s="277" t="str">
        <f>D1</f>
        <v>Q3</v>
      </c>
      <c r="I3" s="277" t="str">
        <f>H3</f>
        <v>Q3</v>
      </c>
    </row>
    <row r="4" spans="1:10" ht="13.5" thickBot="1">
      <c r="A4" s="390"/>
      <c r="B4" s="279" t="s">
        <v>343</v>
      </c>
      <c r="C4" s="279" t="s">
        <v>200</v>
      </c>
      <c r="D4" s="390"/>
      <c r="E4" s="279" t="s">
        <v>344</v>
      </c>
      <c r="F4" s="279" t="s">
        <v>343</v>
      </c>
      <c r="G4" s="279" t="s">
        <v>197</v>
      </c>
      <c r="H4" s="279" t="s">
        <v>198</v>
      </c>
      <c r="I4" s="279" t="s">
        <v>199</v>
      </c>
    </row>
    <row r="5" spans="1:10" ht="13.5" thickBot="1">
      <c r="A5" s="280"/>
      <c r="B5" s="280"/>
      <c r="C5" s="280"/>
      <c r="D5" s="280"/>
      <c r="E5" s="280"/>
      <c r="F5" s="280"/>
      <c r="G5" s="280"/>
      <c r="H5" s="280"/>
      <c r="I5" s="280"/>
    </row>
    <row r="6" spans="1:10" ht="13.5" thickBot="1">
      <c r="A6" s="281" t="s">
        <v>48</v>
      </c>
      <c r="B6" s="280">
        <f>'BOOKING-PRF-PERKINS-LOOK UP'!B12</f>
        <v>32</v>
      </c>
      <c r="C6" s="280">
        <f>'BOOKING-PRF-PERKINS-LOOK UP'!C12</f>
        <v>13</v>
      </c>
      <c r="D6" s="280">
        <f>IF(B6=0,(C6*100),(C6/B6*100))</f>
        <v>40.625</v>
      </c>
      <c r="E6" s="280">
        <f>C6-B6</f>
        <v>-19</v>
      </c>
      <c r="F6" s="280">
        <f>'BOOKING-PRF-PERKINS-LOOK UP'!F12</f>
        <v>3</v>
      </c>
      <c r="G6" s="280">
        <f>'BOOKING-PRF-PERKINS-LOOK UP'!G12</f>
        <v>6</v>
      </c>
      <c r="H6" s="280">
        <f>'BOOKING-PRF-PERKINS-LOOK UP'!H12</f>
        <v>37</v>
      </c>
      <c r="I6" s="280">
        <f>'BOOKING-PRF-PERKINS-LOOK UP'!I12</f>
        <v>19</v>
      </c>
      <c r="J6" s="112">
        <f>I6/H6*100</f>
        <v>51.351351351351347</v>
      </c>
    </row>
    <row r="7" spans="1:10" ht="13.5" thickBot="1">
      <c r="A7" s="281" t="s">
        <v>6</v>
      </c>
      <c r="B7" s="280">
        <f>'BOOKING-PRF-MTU-LOOK UP'!B14</f>
        <v>0</v>
      </c>
      <c r="C7" s="280">
        <f>'BOOKING-PRF-MTU-LOOK UP'!C14</f>
        <v>0</v>
      </c>
      <c r="D7" s="280">
        <f>IF(B7=0,(C7*100),(C7/B7*100))</f>
        <v>0</v>
      </c>
      <c r="E7" s="280">
        <f>C7-B7</f>
        <v>0</v>
      </c>
      <c r="F7" s="280">
        <f>'BOOKING-PRF-MTU-LOOK UP'!F14</f>
        <v>0</v>
      </c>
      <c r="G7" s="280">
        <f>'BOOKING-PRF-MTU-LOOK UP'!G14</f>
        <v>0</v>
      </c>
      <c r="H7" s="280">
        <f>'BOOKING-PRF-MTU-LOOK UP'!H14</f>
        <v>0</v>
      </c>
      <c r="I7" s="280">
        <f>'BOOKING-PRF-MTU-LOOK UP'!I14</f>
        <v>0</v>
      </c>
      <c r="J7" s="112" t="e">
        <f>I7/H7*100</f>
        <v>#DIV/0!</v>
      </c>
    </row>
    <row r="8" spans="1:10" ht="13.5" thickBot="1">
      <c r="A8" s="280"/>
      <c r="B8" s="280"/>
      <c r="C8" s="280"/>
      <c r="D8" s="280"/>
      <c r="E8" s="280"/>
      <c r="F8" s="280"/>
      <c r="G8" s="280"/>
      <c r="H8" s="280"/>
      <c r="I8" s="280"/>
    </row>
    <row r="9" spans="1:10" ht="13.5" thickBot="1">
      <c r="A9" s="281" t="s">
        <v>182</v>
      </c>
      <c r="B9" s="280">
        <f>B6+B7</f>
        <v>32</v>
      </c>
      <c r="C9" s="280">
        <f>C6+C7</f>
        <v>13</v>
      </c>
      <c r="D9" s="280">
        <f>IF(B9=0,(C9*100),(C9/B9*100))</f>
        <v>40.625</v>
      </c>
      <c r="E9" s="280">
        <f>E6+E7</f>
        <v>-19</v>
      </c>
      <c r="F9" s="280">
        <f>F6+F7</f>
        <v>3</v>
      </c>
      <c r="G9" s="280">
        <f>G6+G7</f>
        <v>6</v>
      </c>
      <c r="H9" s="280">
        <f>H6+H7</f>
        <v>37</v>
      </c>
      <c r="I9" s="280">
        <f>I6+I7</f>
        <v>19</v>
      </c>
      <c r="J9" s="112">
        <f>I9/H9*100</f>
        <v>51.351351351351347</v>
      </c>
    </row>
    <row r="10" spans="1:10" ht="13.5" thickBot="1">
      <c r="A10" s="281" t="s">
        <v>159</v>
      </c>
      <c r="B10" s="280"/>
      <c r="C10" s="280"/>
      <c r="D10" s="280"/>
      <c r="E10" s="280"/>
      <c r="F10" s="280"/>
      <c r="G10" s="280"/>
      <c r="H10" s="280"/>
      <c r="I10" s="280"/>
    </row>
    <row r="11" spans="1:10" ht="26.25" thickBot="1">
      <c r="A11" s="281" t="s">
        <v>183</v>
      </c>
      <c r="B11" s="282">
        <f>VLOOKUP($B$1,'Booking Look Up Table'!$A$75:$C$90,2,0)</f>
        <v>0</v>
      </c>
      <c r="C11" s="282">
        <f>VLOOKUP($B$1,'Booking Look Up Table'!$A$75:$C$90,3,0)</f>
        <v>439.25053000000003</v>
      </c>
      <c r="D11" s="282">
        <f>IF(B11=0,(C11*100),(C11/B11*100))</f>
        <v>43925.053</v>
      </c>
      <c r="E11" s="282">
        <f>C11-B11</f>
        <v>439.25053000000003</v>
      </c>
      <c r="F11" s="282">
        <f>VLOOKUP($C$1,'Booking Look Up Table'!$A$75:$C$90,2,0)-B11</f>
        <v>0</v>
      </c>
      <c r="G11" s="283"/>
      <c r="H11" s="282">
        <f>VLOOKUP($D$1,'Booking Look Up Table'!$A$75:$C$90,2,0)</f>
        <v>0</v>
      </c>
      <c r="I11" s="282">
        <f>C11+G11</f>
        <v>439.25053000000003</v>
      </c>
      <c r="J11" s="112" t="e">
        <f>I11/H11*100</f>
        <v>#DIV/0!</v>
      </c>
    </row>
    <row r="12" spans="1:10" ht="13.5" thickBot="1">
      <c r="A12" s="280"/>
      <c r="B12" s="280"/>
      <c r="C12" s="280"/>
      <c r="D12" s="280"/>
      <c r="E12" s="280"/>
      <c r="F12" s="280"/>
      <c r="G12" s="280"/>
      <c r="H12" s="280"/>
      <c r="I12" s="280"/>
    </row>
    <row r="13" spans="1:10" ht="13.5" thickBot="1">
      <c r="A13" s="284" t="s">
        <v>181</v>
      </c>
      <c r="B13" s="280">
        <f>'BOOKING-PRF-PERKINS-LOOK UP'!B13+'BOOKING-PRF-MTU-LOOK UP'!B15+'BOOKING OUTLOOK'!B11</f>
        <v>4336</v>
      </c>
      <c r="C13" s="280">
        <f>'BOOKING-PRF-PERKINS-LOOK UP'!C13+'BOOKING-PRF-MTU-LOOK UP'!C15+'BOOKING OUTLOOK'!C11</f>
        <v>1958.9802560189573</v>
      </c>
      <c r="D13" s="280">
        <f>IF(B13=0,(C13*100),(C13/B13*100))</f>
        <v>45.17943394877669</v>
      </c>
      <c r="E13" s="280">
        <f>C13-B13</f>
        <v>-2377.0197439810427</v>
      </c>
      <c r="F13" s="280">
        <f>'BOOKING-PRF-PERKINS-LOOK UP'!F13+'BOOKING-PRF-MTU-LOOK UP'!F15+'BOOKING OUTLOOK'!F11</f>
        <v>246</v>
      </c>
      <c r="G13" s="280">
        <f>'BOOKING-PRF-PERKINS-LOOK UP'!G13+'BOOKING-PRF-MTU-LOOK UP'!G15+'BOOKING OUTLOOK'!G11</f>
        <v>1461</v>
      </c>
      <c r="H13" s="280">
        <f>'BOOKING-PRF-PERKINS-LOOK UP'!H13+'BOOKING-PRF-MTU-LOOK UP'!H15+'BOOKING OUTLOOK'!H11</f>
        <v>4666</v>
      </c>
      <c r="I13" s="280">
        <f>I11+'BOOKING-PRF-PERKINS-LOOK UP'!I13+'BOOKING-PRF-MTU-LOOK UP'!I15</f>
        <v>3419.9802560189573</v>
      </c>
      <c r="J13" s="112">
        <f>I13/H13*100</f>
        <v>73.295762023552442</v>
      </c>
    </row>
    <row r="15" spans="1:10" ht="13.5" thickBot="1"/>
    <row r="16" spans="1:10" ht="13.5" thickBot="1">
      <c r="B16" s="285"/>
      <c r="C16" s="22" t="s">
        <v>235</v>
      </c>
    </row>
    <row r="18" spans="3:3">
      <c r="C18" s="112" t="s">
        <v>238</v>
      </c>
    </row>
  </sheetData>
  <protectedRanges>
    <protectedRange sqref="G11" name="Range1"/>
  </protectedRanges>
  <mergeCells count="5">
    <mergeCell ref="A2:A4"/>
    <mergeCell ref="D2:D4"/>
    <mergeCell ref="E2:E3"/>
    <mergeCell ref="F2:F3"/>
    <mergeCell ref="G2:G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2"/>
  <dimension ref="A1:J7"/>
  <sheetViews>
    <sheetView zoomScale="130" zoomScaleNormal="130" workbookViewId="0">
      <selection activeCell="B5" sqref="B5:I7"/>
    </sheetView>
  </sheetViews>
  <sheetFormatPr defaultRowHeight="12.75"/>
  <cols>
    <col min="1" max="1" width="15.42578125" style="19" bestFit="1" customWidth="1" collapsed="1"/>
    <col min="2" max="2" width="6.7109375" style="19" bestFit="1" customWidth="1" collapsed="1"/>
    <col min="3" max="3" width="9.28515625" style="19" bestFit="1" customWidth="1" collapsed="1"/>
    <col min="4" max="4" width="7.7109375" style="19" bestFit="1" customWidth="1" collapsed="1"/>
    <col min="5" max="5" width="9.140625" style="19" bestFit="1" customWidth="1" collapsed="1"/>
    <col min="6" max="6" width="6.7109375" style="19" bestFit="1" customWidth="1" collapsed="1"/>
    <col min="7" max="7" width="7" style="19" bestFit="1" customWidth="1" collapsed="1"/>
    <col min="8" max="8" width="6.7109375" style="19" bestFit="1" customWidth="1" collapsed="1"/>
    <col min="9" max="9" width="10.42578125" style="19" bestFit="1" customWidth="1" collapsed="1"/>
    <col min="10" max="16384" width="9.140625" style="19" collapsed="1"/>
  </cols>
  <sheetData>
    <row r="1" spans="1:10" ht="13.5" thickBot="1">
      <c r="A1" s="19" t="s">
        <v>192</v>
      </c>
      <c r="B1" s="19" t="str">
        <f>MOP!B4</f>
        <v>OCT</v>
      </c>
      <c r="C1" s="19" t="str">
        <f>VLOOKUP(B1,MONTH,2,0)</f>
        <v>NOV</v>
      </c>
      <c r="D1" s="19" t="str">
        <f>VLOOKUP(B1,MONTH,3,0)</f>
        <v>Q3</v>
      </c>
    </row>
    <row r="2" spans="1:10">
      <c r="A2" s="391" t="s">
        <v>347</v>
      </c>
      <c r="B2" s="228" t="str">
        <f>$B$1</f>
        <v>OCT</v>
      </c>
      <c r="C2" s="228" t="str">
        <f>$B$1</f>
        <v>OCT</v>
      </c>
      <c r="D2" s="391" t="s">
        <v>348</v>
      </c>
      <c r="E2" s="228" t="s">
        <v>179</v>
      </c>
      <c r="F2" s="228" t="str">
        <f>$C$1</f>
        <v>NOV</v>
      </c>
      <c r="G2" s="228" t="str">
        <f>$C$1</f>
        <v>NOV</v>
      </c>
      <c r="H2" s="228" t="s">
        <v>201</v>
      </c>
      <c r="I2" s="228" t="s">
        <v>201</v>
      </c>
    </row>
    <row r="3" spans="1:10">
      <c r="A3" s="392"/>
      <c r="B3" s="229"/>
      <c r="C3" s="229"/>
      <c r="D3" s="392"/>
      <c r="E3" s="229"/>
      <c r="F3" s="229"/>
      <c r="G3" s="229"/>
      <c r="H3" s="229" t="str">
        <f>$D$1</f>
        <v>Q3</v>
      </c>
      <c r="I3" s="229" t="str">
        <f>$D$1</f>
        <v>Q3</v>
      </c>
    </row>
    <row r="4" spans="1:10" ht="13.5" thickBot="1">
      <c r="A4" s="393"/>
      <c r="B4" s="118" t="s">
        <v>343</v>
      </c>
      <c r="C4" s="118" t="s">
        <v>200</v>
      </c>
      <c r="D4" s="393"/>
      <c r="E4" s="118" t="s">
        <v>344</v>
      </c>
      <c r="F4" s="118" t="s">
        <v>343</v>
      </c>
      <c r="G4" s="118" t="s">
        <v>206</v>
      </c>
      <c r="H4" s="118" t="s">
        <v>219</v>
      </c>
      <c r="I4" s="118" t="s">
        <v>220</v>
      </c>
    </row>
    <row r="5" spans="1:10" ht="13.5" thickBot="1">
      <c r="A5" s="165" t="s">
        <v>345</v>
      </c>
      <c r="B5" s="119">
        <f>'BOOKING OUTLOOK'!B13*0.8</f>
        <v>3468.8</v>
      </c>
      <c r="C5" s="119">
        <f>SUMIFS('QUOTED PROJECTS-Earlier Yr'!M2:M2599,'QUOTED PROJECTS-Earlier Yr'!Q2:Q2599,"Won")+SUMIFS('QUOTED PROJECTS-Current Year'!M2:M2526,'QUOTED PROJECTS-Current Year'!Q2:Q2526,"Won")</f>
        <v>2121.7860160189575</v>
      </c>
      <c r="D5" s="166">
        <f>IFERROR(C5/B5*100,)</f>
        <v>61.16772417028821</v>
      </c>
      <c r="E5" s="119">
        <f>C5-B5</f>
        <v>-1347.0139839810427</v>
      </c>
      <c r="F5" s="119">
        <f>'BOOKING OUTLOOK'!F13*0.8</f>
        <v>196.8</v>
      </c>
      <c r="G5" s="119">
        <f>'BOOKING OUTLOOK'!G13*0.8</f>
        <v>1168.8</v>
      </c>
      <c r="H5" s="119">
        <f>'BOOKING OUTLOOK'!H13*0.8</f>
        <v>3732.8</v>
      </c>
      <c r="I5" s="119">
        <f>'BOOKING OUTLOOK'!I13*0.8</f>
        <v>2735.9842048151659</v>
      </c>
      <c r="J5" s="19">
        <f>I5/H5*100</f>
        <v>73.295762023552442</v>
      </c>
    </row>
    <row r="6" spans="1:10" ht="13.5" thickBot="1">
      <c r="A6" s="165" t="s">
        <v>346</v>
      </c>
      <c r="B6" s="119">
        <f>'BOOKING OUTLOOK'!B13*0.2</f>
        <v>867.2</v>
      </c>
      <c r="C6" s="119">
        <f>SUMIFS('QUOTED PROJECTS-Earlier Yr'!N2:N2599,'QUOTED PROJECTS-Earlier Yr'!Q2:Q2599,"Won")+SUMIFS('QUOTED PROJECTS-Current Year'!N2:N2526,'QUOTED PROJECTS-Current Year'!Q2:Q2526,"Won")</f>
        <v>853.35888000000011</v>
      </c>
      <c r="D6" s="166">
        <f>IFERROR(C6/B6*100,)</f>
        <v>98.403929889298908</v>
      </c>
      <c r="E6" s="119">
        <f>C6-B6</f>
        <v>-13.841119999999933</v>
      </c>
      <c r="F6" s="119">
        <f>'BOOKING OUTLOOK'!F13*0.2</f>
        <v>49.2</v>
      </c>
      <c r="G6" s="119">
        <f>'BOOKING OUTLOOK'!G13*0.2</f>
        <v>292.2</v>
      </c>
      <c r="H6" s="119">
        <f>'BOOKING OUTLOOK'!H13*0.2</f>
        <v>933.2</v>
      </c>
      <c r="I6" s="119">
        <f>'BOOKING OUTLOOK'!I13*0.2</f>
        <v>683.99605120379147</v>
      </c>
      <c r="J6" s="19">
        <f>I6/H6*100</f>
        <v>73.295762023552442</v>
      </c>
    </row>
    <row r="7" spans="1:10" ht="13.5" thickBot="1">
      <c r="A7" s="230" t="s">
        <v>207</v>
      </c>
      <c r="B7" s="231">
        <f>B5+B6</f>
        <v>4336</v>
      </c>
      <c r="C7" s="231">
        <f>C5+C6</f>
        <v>2975.1448960189578</v>
      </c>
      <c r="D7" s="232">
        <f>C7/B7*100</f>
        <v>68.614965314090355</v>
      </c>
      <c r="E7" s="231">
        <f>C7-B7</f>
        <v>-1360.8551039810422</v>
      </c>
      <c r="F7" s="231">
        <f>F5+F6</f>
        <v>246</v>
      </c>
      <c r="G7" s="231">
        <f>G5+G6</f>
        <v>1461</v>
      </c>
      <c r="H7" s="231">
        <f>H5+H6</f>
        <v>4666</v>
      </c>
      <c r="I7" s="231">
        <f>I5+I6</f>
        <v>3419.9802560189573</v>
      </c>
      <c r="J7" s="19">
        <f>I7/H7*100</f>
        <v>73.295762023552442</v>
      </c>
    </row>
  </sheetData>
  <mergeCells count="2">
    <mergeCell ref="A2:A4"/>
    <mergeCell ref="D2:D4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2"/>
  <dimension ref="A1:I339"/>
  <sheetViews>
    <sheetView zoomScale="115" zoomScaleNormal="115" workbookViewId="0">
      <selection activeCell="C16" sqref="C16"/>
    </sheetView>
  </sheetViews>
  <sheetFormatPr defaultRowHeight="12.75"/>
  <cols>
    <col min="1" max="1" width="5.42578125" style="106" bestFit="1" customWidth="1" collapsed="1"/>
    <col min="2" max="2" width="26.140625" style="19" bestFit="1" customWidth="1" collapsed="1"/>
    <col min="3" max="3" width="9.5703125" style="19" bestFit="1" customWidth="1" collapsed="1"/>
    <col min="4" max="4" width="12.42578125" style="19" bestFit="1" customWidth="1" collapsed="1"/>
    <col min="5" max="5" width="6" style="19" bestFit="1" customWidth="1" collapsed="1"/>
    <col min="6" max="6" width="4.42578125" style="19" bestFit="1" customWidth="1" collapsed="1"/>
    <col min="7" max="7" width="8.42578125" style="19" bestFit="1" customWidth="1" collapsed="1"/>
    <col min="8" max="8" width="10.5703125" style="19" bestFit="1" customWidth="1" collapsed="1"/>
    <col min="9" max="9" width="6.7109375" style="19" bestFit="1" customWidth="1" collapsed="1"/>
    <col min="10" max="16384" width="9.140625" style="19" collapsed="1"/>
  </cols>
  <sheetData>
    <row r="1" spans="1:9">
      <c r="A1" s="394" t="s">
        <v>218</v>
      </c>
      <c r="B1" s="394"/>
      <c r="C1" s="394"/>
      <c r="D1" s="394"/>
      <c r="E1" s="394"/>
      <c r="F1" s="394"/>
      <c r="G1" s="394"/>
      <c r="H1" s="394"/>
      <c r="I1" s="394"/>
    </row>
    <row r="2" spans="1:9" s="49" customFormat="1" ht="13.5" thickBot="1">
      <c r="A2" s="233" t="s">
        <v>349</v>
      </c>
      <c r="B2" s="233" t="s">
        <v>350</v>
      </c>
      <c r="C2" s="233" t="s">
        <v>351</v>
      </c>
      <c r="D2" s="233" t="s">
        <v>352</v>
      </c>
      <c r="E2" s="233" t="s">
        <v>353</v>
      </c>
      <c r="F2" s="233" t="s">
        <v>354</v>
      </c>
      <c r="G2" s="233" t="s">
        <v>355</v>
      </c>
      <c r="H2" s="233" t="s">
        <v>356</v>
      </c>
      <c r="I2" s="233" t="s">
        <v>357</v>
      </c>
    </row>
    <row r="3" spans="1:9" s="49" customFormat="1" ht="16.5" thickBot="1">
      <c r="A3" s="290">
        <v>2</v>
      </c>
      <c r="B3" s="288" t="s">
        <v>369</v>
      </c>
      <c r="C3" s="288" t="s">
        <v>161</v>
      </c>
      <c r="D3" s="288" t="s">
        <v>48</v>
      </c>
      <c r="E3" s="288">
        <v>2000</v>
      </c>
      <c r="F3" s="288">
        <v>4</v>
      </c>
      <c r="G3" s="301" t="e">
        <f>'QUOTED PROJECTS-Earlier Yr'!#REF!</f>
        <v>#REF!</v>
      </c>
      <c r="H3" s="288" t="s">
        <v>48</v>
      </c>
      <c r="I3" s="289" t="s">
        <v>87</v>
      </c>
    </row>
    <row r="4" spans="1:9" s="49" customFormat="1" ht="16.5" thickBot="1">
      <c r="A4" s="290">
        <v>3</v>
      </c>
      <c r="B4" s="288" t="s">
        <v>368</v>
      </c>
      <c r="C4" s="288" t="s">
        <v>161</v>
      </c>
      <c r="D4" s="288" t="s">
        <v>48</v>
      </c>
      <c r="E4" s="288">
        <v>2000</v>
      </c>
      <c r="F4" s="288">
        <v>6</v>
      </c>
      <c r="G4" s="288">
        <v>920</v>
      </c>
      <c r="H4" s="288" t="s">
        <v>169</v>
      </c>
      <c r="I4" s="291" t="s">
        <v>88</v>
      </c>
    </row>
    <row r="5" spans="1:9" s="49" customFormat="1" ht="16.5" thickBot="1">
      <c r="A5" s="290">
        <v>4</v>
      </c>
      <c r="B5" s="288" t="s">
        <v>216</v>
      </c>
      <c r="C5" s="288" t="s">
        <v>161</v>
      </c>
      <c r="D5" s="288" t="s">
        <v>48</v>
      </c>
      <c r="E5" s="288">
        <v>2000</v>
      </c>
      <c r="F5" s="288">
        <v>3.5</v>
      </c>
      <c r="G5" s="288">
        <v>777.5</v>
      </c>
      <c r="H5" s="288" t="s">
        <v>169</v>
      </c>
      <c r="I5" s="291" t="s">
        <v>88</v>
      </c>
    </row>
    <row r="6" spans="1:9" s="49" customFormat="1">
      <c r="A6" s="269"/>
      <c r="B6" s="269"/>
      <c r="C6" s="269"/>
      <c r="D6" s="269"/>
      <c r="E6" s="269"/>
      <c r="F6" s="269">
        <f>SUM(F3:F5)</f>
        <v>13.5</v>
      </c>
      <c r="G6" s="269" t="e">
        <f>SUM(G3:G5)</f>
        <v>#REF!</v>
      </c>
      <c r="H6" s="193"/>
      <c r="I6" s="193"/>
    </row>
    <row r="7" spans="1:9" s="49" customFormat="1">
      <c r="A7" s="71"/>
    </row>
    <row r="8" spans="1:9" s="49" customFormat="1">
      <c r="A8" s="71"/>
    </row>
    <row r="9" spans="1:9" s="49" customFormat="1">
      <c r="A9" s="71"/>
    </row>
    <row r="10" spans="1:9" s="49" customFormat="1">
      <c r="A10" s="71"/>
    </row>
    <row r="11" spans="1:9" s="49" customFormat="1">
      <c r="A11" s="71"/>
    </row>
    <row r="12" spans="1:9" s="49" customFormat="1">
      <c r="A12" s="71"/>
    </row>
    <row r="13" spans="1:9" s="49" customFormat="1">
      <c r="A13" s="71"/>
    </row>
    <row r="14" spans="1:9" s="49" customFormat="1">
      <c r="A14" s="71"/>
    </row>
    <row r="15" spans="1:9" s="49" customFormat="1">
      <c r="A15" s="71"/>
    </row>
    <row r="16" spans="1:9" s="49" customFormat="1">
      <c r="A16" s="71"/>
    </row>
    <row r="17" spans="1:1" s="49" customFormat="1">
      <c r="A17" s="71"/>
    </row>
    <row r="18" spans="1:1" s="49" customFormat="1">
      <c r="A18" s="71"/>
    </row>
    <row r="19" spans="1:1" s="49" customFormat="1">
      <c r="A19" s="71"/>
    </row>
    <row r="20" spans="1:1" s="49" customFormat="1">
      <c r="A20" s="71"/>
    </row>
    <row r="21" spans="1:1" s="49" customFormat="1">
      <c r="A21" s="71"/>
    </row>
    <row r="22" spans="1:1" s="49" customFormat="1">
      <c r="A22" s="71"/>
    </row>
    <row r="23" spans="1:1" s="49" customFormat="1">
      <c r="A23" s="71"/>
    </row>
    <row r="24" spans="1:1" s="49" customFormat="1">
      <c r="A24" s="71"/>
    </row>
    <row r="25" spans="1:1" s="49" customFormat="1">
      <c r="A25" s="71"/>
    </row>
    <row r="26" spans="1:1" s="49" customFormat="1">
      <c r="A26" s="71"/>
    </row>
    <row r="27" spans="1:1" s="49" customFormat="1">
      <c r="A27" s="71"/>
    </row>
    <row r="28" spans="1:1" s="49" customFormat="1">
      <c r="A28" s="71"/>
    </row>
    <row r="29" spans="1:1" s="49" customFormat="1">
      <c r="A29" s="71"/>
    </row>
    <row r="30" spans="1:1" s="49" customFormat="1">
      <c r="A30" s="71"/>
    </row>
    <row r="31" spans="1:1" s="49" customFormat="1">
      <c r="A31" s="71"/>
    </row>
    <row r="32" spans="1:1" s="49" customFormat="1">
      <c r="A32" s="71"/>
    </row>
    <row r="35" spans="1:1" s="49" customFormat="1">
      <c r="A35" s="71"/>
    </row>
    <row r="36" spans="1:1" s="49" customFormat="1">
      <c r="A36" s="71"/>
    </row>
    <row r="37" spans="1:1" s="49" customFormat="1">
      <c r="A37" s="71"/>
    </row>
    <row r="38" spans="1:1" s="49" customFormat="1">
      <c r="A38" s="71"/>
    </row>
    <row r="39" spans="1:1" s="49" customFormat="1">
      <c r="A39" s="71"/>
    </row>
    <row r="40" spans="1:1" s="49" customFormat="1">
      <c r="A40" s="71"/>
    </row>
    <row r="41" spans="1:1" s="49" customFormat="1">
      <c r="A41" s="71"/>
    </row>
    <row r="42" spans="1:1" s="49" customFormat="1">
      <c r="A42" s="71"/>
    </row>
    <row r="43" spans="1:1" s="49" customFormat="1">
      <c r="A43" s="71"/>
    </row>
    <row r="44" spans="1:1" s="49" customFormat="1">
      <c r="A44" s="71"/>
    </row>
    <row r="46" spans="1:1" s="49" customFormat="1">
      <c r="A46" s="71"/>
    </row>
    <row r="51" spans="1:1" s="49" customFormat="1">
      <c r="A51" s="71"/>
    </row>
    <row r="52" spans="1:1" s="49" customFormat="1">
      <c r="A52" s="71"/>
    </row>
    <row r="58" spans="1:1" s="49" customFormat="1">
      <c r="A58" s="71"/>
    </row>
    <row r="59" spans="1:1" s="49" customFormat="1">
      <c r="A59" s="71"/>
    </row>
    <row r="62" spans="1:1" s="49" customFormat="1">
      <c r="A62" s="71"/>
    </row>
    <row r="67" spans="1:1" s="49" customFormat="1">
      <c r="A67" s="71"/>
    </row>
    <row r="68" spans="1:1" s="49" customFormat="1">
      <c r="A68" s="71"/>
    </row>
    <row r="74" spans="1:1" s="49" customFormat="1">
      <c r="A74" s="71"/>
    </row>
    <row r="79" spans="1:1" s="49" customFormat="1">
      <c r="A79" s="71"/>
    </row>
    <row r="81" spans="1:1" s="49" customFormat="1">
      <c r="A81" s="71"/>
    </row>
    <row r="82" spans="1:1" s="49" customFormat="1">
      <c r="A82" s="71"/>
    </row>
    <row r="83" spans="1:1" s="49" customFormat="1">
      <c r="A83" s="71"/>
    </row>
    <row r="84" spans="1:1" s="49" customFormat="1">
      <c r="A84" s="71"/>
    </row>
    <row r="85" spans="1:1" s="49" customFormat="1">
      <c r="A85" s="71"/>
    </row>
    <row r="86" spans="1:1" s="49" customFormat="1">
      <c r="A86" s="71"/>
    </row>
    <row r="87" spans="1:1" s="49" customFormat="1">
      <c r="A87" s="71"/>
    </row>
    <row r="88" spans="1:1" s="49" customFormat="1">
      <c r="A88" s="71"/>
    </row>
    <row r="89" spans="1:1" s="49" customFormat="1">
      <c r="A89" s="71"/>
    </row>
    <row r="90" spans="1:1" s="49" customFormat="1">
      <c r="A90" s="71"/>
    </row>
    <row r="91" spans="1:1" s="49" customFormat="1">
      <c r="A91" s="71"/>
    </row>
    <row r="92" spans="1:1" s="49" customFormat="1">
      <c r="A92" s="71"/>
    </row>
    <row r="93" spans="1:1" s="49" customFormat="1">
      <c r="A93" s="71"/>
    </row>
    <row r="94" spans="1:1" s="49" customFormat="1">
      <c r="A94" s="71"/>
    </row>
    <row r="95" spans="1:1" s="49" customFormat="1">
      <c r="A95" s="71"/>
    </row>
    <row r="96" spans="1:1" s="49" customFormat="1">
      <c r="A96" s="71"/>
    </row>
    <row r="97" spans="1:1" s="49" customFormat="1">
      <c r="A97" s="71"/>
    </row>
    <row r="98" spans="1:1" s="49" customFormat="1">
      <c r="A98" s="71"/>
    </row>
    <row r="99" spans="1:1" s="49" customFormat="1">
      <c r="A99" s="71"/>
    </row>
    <row r="100" spans="1:1" s="49" customFormat="1">
      <c r="A100" s="71"/>
    </row>
    <row r="101" spans="1:1" s="49" customFormat="1">
      <c r="A101" s="71"/>
    </row>
    <row r="102" spans="1:1" s="49" customFormat="1">
      <c r="A102" s="71"/>
    </row>
    <row r="103" spans="1:1" s="49" customFormat="1">
      <c r="A103" s="71"/>
    </row>
    <row r="104" spans="1:1" s="49" customFormat="1">
      <c r="A104" s="71"/>
    </row>
    <row r="105" spans="1:1" s="49" customFormat="1">
      <c r="A105" s="71"/>
    </row>
    <row r="106" spans="1:1" s="49" customFormat="1">
      <c r="A106" s="71"/>
    </row>
    <row r="107" spans="1:1" s="49" customFormat="1">
      <c r="A107" s="71"/>
    </row>
    <row r="108" spans="1:1" s="49" customFormat="1">
      <c r="A108" s="71"/>
    </row>
    <row r="109" spans="1:1" s="49" customFormat="1">
      <c r="A109" s="71"/>
    </row>
    <row r="110" spans="1:1" s="49" customFormat="1">
      <c r="A110" s="71"/>
    </row>
    <row r="111" spans="1:1" s="49" customFormat="1">
      <c r="A111" s="71"/>
    </row>
    <row r="112" spans="1:1" s="49" customFormat="1">
      <c r="A112" s="71"/>
    </row>
    <row r="113" spans="1:1" s="49" customFormat="1">
      <c r="A113" s="71"/>
    </row>
    <row r="114" spans="1:1" s="49" customFormat="1">
      <c r="A114" s="71"/>
    </row>
    <row r="115" spans="1:1" s="49" customFormat="1">
      <c r="A115" s="71"/>
    </row>
    <row r="116" spans="1:1" s="49" customFormat="1">
      <c r="A116" s="71"/>
    </row>
    <row r="117" spans="1:1" s="49" customFormat="1">
      <c r="A117" s="71"/>
    </row>
    <row r="118" spans="1:1" s="49" customFormat="1">
      <c r="A118" s="71"/>
    </row>
    <row r="119" spans="1:1" s="49" customFormat="1">
      <c r="A119" s="71"/>
    </row>
    <row r="120" spans="1:1" s="49" customFormat="1">
      <c r="A120" s="71"/>
    </row>
    <row r="121" spans="1:1" s="49" customFormat="1">
      <c r="A121" s="71"/>
    </row>
    <row r="122" spans="1:1" s="49" customFormat="1">
      <c r="A122" s="71"/>
    </row>
    <row r="123" spans="1:1" s="49" customFormat="1">
      <c r="A123" s="71"/>
    </row>
    <row r="124" spans="1:1" s="49" customFormat="1">
      <c r="A124" s="71"/>
    </row>
    <row r="125" spans="1:1" s="49" customFormat="1">
      <c r="A125" s="71"/>
    </row>
    <row r="126" spans="1:1" s="49" customFormat="1">
      <c r="A126" s="71"/>
    </row>
    <row r="127" spans="1:1" s="49" customFormat="1">
      <c r="A127" s="71"/>
    </row>
    <row r="128" spans="1:1" s="49" customFormat="1">
      <c r="A128" s="71"/>
    </row>
    <row r="129" spans="1:1" s="49" customFormat="1">
      <c r="A129" s="71"/>
    </row>
    <row r="130" spans="1:1" s="49" customFormat="1">
      <c r="A130" s="71"/>
    </row>
    <row r="131" spans="1:1" s="49" customFormat="1">
      <c r="A131" s="71"/>
    </row>
    <row r="132" spans="1:1" s="49" customFormat="1">
      <c r="A132" s="71"/>
    </row>
    <row r="133" spans="1:1" s="49" customFormat="1">
      <c r="A133" s="71"/>
    </row>
    <row r="134" spans="1:1" s="49" customFormat="1">
      <c r="A134" s="71"/>
    </row>
    <row r="135" spans="1:1" s="49" customFormat="1">
      <c r="A135" s="71"/>
    </row>
    <row r="136" spans="1:1" s="49" customFormat="1">
      <c r="A136" s="71"/>
    </row>
    <row r="137" spans="1:1" s="49" customFormat="1">
      <c r="A137" s="71"/>
    </row>
    <row r="138" spans="1:1" s="49" customFormat="1">
      <c r="A138" s="71"/>
    </row>
    <row r="139" spans="1:1" s="49" customFormat="1">
      <c r="A139" s="71"/>
    </row>
    <row r="140" spans="1:1" s="49" customFormat="1">
      <c r="A140" s="71"/>
    </row>
    <row r="141" spans="1:1" s="49" customFormat="1">
      <c r="A141" s="71"/>
    </row>
    <row r="142" spans="1:1" s="49" customFormat="1">
      <c r="A142" s="71"/>
    </row>
    <row r="143" spans="1:1" s="49" customFormat="1">
      <c r="A143" s="71"/>
    </row>
    <row r="144" spans="1:1" s="49" customFormat="1">
      <c r="A144" s="71"/>
    </row>
    <row r="145" spans="1:1" s="49" customFormat="1">
      <c r="A145" s="71"/>
    </row>
    <row r="146" spans="1:1" s="49" customFormat="1">
      <c r="A146" s="71"/>
    </row>
    <row r="147" spans="1:1" s="49" customFormat="1">
      <c r="A147" s="71"/>
    </row>
    <row r="148" spans="1:1" s="49" customFormat="1">
      <c r="A148" s="71"/>
    </row>
    <row r="149" spans="1:1" s="49" customFormat="1">
      <c r="A149" s="71"/>
    </row>
    <row r="150" spans="1:1" s="49" customFormat="1">
      <c r="A150" s="71"/>
    </row>
    <row r="151" spans="1:1" s="49" customFormat="1">
      <c r="A151" s="71"/>
    </row>
    <row r="152" spans="1:1" s="49" customFormat="1">
      <c r="A152" s="71"/>
    </row>
    <row r="153" spans="1:1" s="49" customFormat="1">
      <c r="A153" s="71"/>
    </row>
    <row r="154" spans="1:1" s="49" customFormat="1">
      <c r="A154" s="71"/>
    </row>
    <row r="155" spans="1:1" s="49" customFormat="1">
      <c r="A155" s="71"/>
    </row>
    <row r="156" spans="1:1" s="49" customFormat="1">
      <c r="A156" s="71"/>
    </row>
    <row r="157" spans="1:1" s="49" customFormat="1">
      <c r="A157" s="71"/>
    </row>
    <row r="158" spans="1:1" s="49" customFormat="1">
      <c r="A158" s="71"/>
    </row>
    <row r="159" spans="1:1" s="49" customFormat="1">
      <c r="A159" s="71"/>
    </row>
    <row r="160" spans="1:1" s="49" customFormat="1">
      <c r="A160" s="71"/>
    </row>
    <row r="161" spans="1:1" s="49" customFormat="1">
      <c r="A161" s="71"/>
    </row>
    <row r="162" spans="1:1" s="49" customFormat="1">
      <c r="A162" s="71"/>
    </row>
    <row r="163" spans="1:1" s="49" customFormat="1">
      <c r="A163" s="71"/>
    </row>
    <row r="164" spans="1:1" s="49" customFormat="1">
      <c r="A164" s="71"/>
    </row>
    <row r="165" spans="1:1" s="49" customFormat="1">
      <c r="A165" s="71"/>
    </row>
    <row r="166" spans="1:1" s="49" customFormat="1">
      <c r="A166" s="71"/>
    </row>
    <row r="167" spans="1:1" s="49" customFormat="1">
      <c r="A167" s="71"/>
    </row>
    <row r="168" spans="1:1" s="49" customFormat="1">
      <c r="A168" s="71"/>
    </row>
    <row r="169" spans="1:1" s="49" customFormat="1">
      <c r="A169" s="71"/>
    </row>
    <row r="170" spans="1:1" s="49" customFormat="1">
      <c r="A170" s="71"/>
    </row>
    <row r="171" spans="1:1" s="49" customFormat="1">
      <c r="A171" s="71"/>
    </row>
    <row r="172" spans="1:1" s="49" customFormat="1">
      <c r="A172" s="71"/>
    </row>
    <row r="173" spans="1:1" s="49" customFormat="1">
      <c r="A173" s="71"/>
    </row>
    <row r="174" spans="1:1" s="49" customFormat="1">
      <c r="A174" s="71"/>
    </row>
    <row r="175" spans="1:1" s="49" customFormat="1">
      <c r="A175" s="71"/>
    </row>
    <row r="176" spans="1:1" s="49" customFormat="1">
      <c r="A176" s="71"/>
    </row>
    <row r="177" spans="1:1" s="49" customFormat="1">
      <c r="A177" s="71"/>
    </row>
    <row r="178" spans="1:1" s="49" customFormat="1">
      <c r="A178" s="71"/>
    </row>
    <row r="179" spans="1:1" s="49" customFormat="1">
      <c r="A179" s="71"/>
    </row>
    <row r="180" spans="1:1" s="49" customFormat="1">
      <c r="A180" s="71"/>
    </row>
    <row r="181" spans="1:1" s="49" customFormat="1">
      <c r="A181" s="71"/>
    </row>
    <row r="182" spans="1:1" s="49" customFormat="1">
      <c r="A182" s="71"/>
    </row>
    <row r="183" spans="1:1" s="49" customFormat="1">
      <c r="A183" s="71"/>
    </row>
    <row r="184" spans="1:1" s="49" customFormat="1">
      <c r="A184" s="71"/>
    </row>
    <row r="185" spans="1:1" s="49" customFormat="1">
      <c r="A185" s="71"/>
    </row>
    <row r="186" spans="1:1" s="49" customFormat="1">
      <c r="A186" s="71"/>
    </row>
    <row r="187" spans="1:1" s="49" customFormat="1">
      <c r="A187" s="71"/>
    </row>
    <row r="188" spans="1:1" s="49" customFormat="1">
      <c r="A188" s="71"/>
    </row>
    <row r="189" spans="1:1" s="49" customFormat="1">
      <c r="A189" s="71"/>
    </row>
    <row r="190" spans="1:1" s="49" customFormat="1">
      <c r="A190" s="71"/>
    </row>
    <row r="191" spans="1:1" s="49" customFormat="1">
      <c r="A191" s="71"/>
    </row>
    <row r="192" spans="1:1" s="49" customFormat="1">
      <c r="A192" s="71"/>
    </row>
    <row r="193" spans="1:1" s="49" customFormat="1">
      <c r="A193" s="71"/>
    </row>
    <row r="194" spans="1:1" s="49" customFormat="1">
      <c r="A194" s="71"/>
    </row>
    <row r="195" spans="1:1" s="49" customFormat="1">
      <c r="A195" s="71"/>
    </row>
    <row r="196" spans="1:1" s="49" customFormat="1">
      <c r="A196" s="71"/>
    </row>
    <row r="197" spans="1:1" s="49" customFormat="1">
      <c r="A197" s="71"/>
    </row>
    <row r="198" spans="1:1" s="49" customFormat="1">
      <c r="A198" s="71"/>
    </row>
    <row r="199" spans="1:1" s="49" customFormat="1">
      <c r="A199" s="71"/>
    </row>
    <row r="200" spans="1:1" s="49" customFormat="1">
      <c r="A200" s="71"/>
    </row>
    <row r="201" spans="1:1" s="49" customFormat="1">
      <c r="A201" s="71"/>
    </row>
    <row r="202" spans="1:1" s="49" customFormat="1">
      <c r="A202" s="71"/>
    </row>
    <row r="203" spans="1:1" s="49" customFormat="1">
      <c r="A203" s="71"/>
    </row>
    <row r="204" spans="1:1" s="49" customFormat="1">
      <c r="A204" s="71"/>
    </row>
    <row r="205" spans="1:1" s="49" customFormat="1">
      <c r="A205" s="71"/>
    </row>
    <row r="206" spans="1:1" s="49" customFormat="1">
      <c r="A206" s="71"/>
    </row>
    <row r="207" spans="1:1" s="49" customFormat="1">
      <c r="A207" s="71"/>
    </row>
    <row r="208" spans="1:1" s="49" customFormat="1">
      <c r="A208" s="71"/>
    </row>
    <row r="209" spans="1:1" s="49" customFormat="1">
      <c r="A209" s="71"/>
    </row>
    <row r="210" spans="1:1" s="49" customFormat="1">
      <c r="A210" s="71"/>
    </row>
    <row r="211" spans="1:1" s="49" customFormat="1">
      <c r="A211" s="71"/>
    </row>
    <row r="212" spans="1:1" s="49" customFormat="1">
      <c r="A212" s="71"/>
    </row>
    <row r="213" spans="1:1" s="49" customFormat="1">
      <c r="A213" s="71"/>
    </row>
    <row r="214" spans="1:1" s="49" customFormat="1">
      <c r="A214" s="71"/>
    </row>
    <row r="215" spans="1:1" s="49" customFormat="1">
      <c r="A215" s="71"/>
    </row>
    <row r="216" spans="1:1" s="49" customFormat="1">
      <c r="A216" s="71"/>
    </row>
    <row r="217" spans="1:1" s="49" customFormat="1">
      <c r="A217" s="71"/>
    </row>
    <row r="218" spans="1:1" s="49" customFormat="1">
      <c r="A218" s="71"/>
    </row>
    <row r="219" spans="1:1" s="49" customFormat="1">
      <c r="A219" s="71"/>
    </row>
    <row r="220" spans="1:1" s="49" customFormat="1">
      <c r="A220" s="71"/>
    </row>
    <row r="221" spans="1:1" s="49" customFormat="1">
      <c r="A221" s="71"/>
    </row>
    <row r="222" spans="1:1" s="49" customFormat="1">
      <c r="A222" s="71"/>
    </row>
    <row r="223" spans="1:1" s="49" customFormat="1">
      <c r="A223" s="71"/>
    </row>
    <row r="224" spans="1:1" s="49" customFormat="1">
      <c r="A224" s="71"/>
    </row>
    <row r="225" spans="1:1" s="49" customFormat="1">
      <c r="A225" s="71"/>
    </row>
    <row r="226" spans="1:1" s="49" customFormat="1">
      <c r="A226" s="71"/>
    </row>
    <row r="227" spans="1:1" s="49" customFormat="1">
      <c r="A227" s="71"/>
    </row>
    <row r="228" spans="1:1" s="49" customFormat="1">
      <c r="A228" s="71"/>
    </row>
    <row r="229" spans="1:1" s="49" customFormat="1">
      <c r="A229" s="71"/>
    </row>
    <row r="230" spans="1:1" s="49" customFormat="1">
      <c r="A230" s="71"/>
    </row>
    <row r="231" spans="1:1" s="49" customFormat="1">
      <c r="A231" s="71"/>
    </row>
    <row r="232" spans="1:1" s="49" customFormat="1">
      <c r="A232" s="71"/>
    </row>
    <row r="233" spans="1:1" s="49" customFormat="1">
      <c r="A233" s="71"/>
    </row>
    <row r="234" spans="1:1" s="49" customFormat="1">
      <c r="A234" s="71"/>
    </row>
    <row r="235" spans="1:1" s="49" customFormat="1">
      <c r="A235" s="71"/>
    </row>
    <row r="236" spans="1:1" s="49" customFormat="1">
      <c r="A236" s="71"/>
    </row>
    <row r="237" spans="1:1" s="49" customFormat="1">
      <c r="A237" s="71"/>
    </row>
    <row r="238" spans="1:1" s="49" customFormat="1">
      <c r="A238" s="71"/>
    </row>
    <row r="239" spans="1:1" s="49" customFormat="1">
      <c r="A239" s="71"/>
    </row>
    <row r="240" spans="1:1" s="49" customFormat="1">
      <c r="A240" s="71"/>
    </row>
    <row r="241" spans="1:1" s="49" customFormat="1">
      <c r="A241" s="71"/>
    </row>
    <row r="242" spans="1:1" s="49" customFormat="1">
      <c r="A242" s="71"/>
    </row>
    <row r="243" spans="1:1" s="49" customFormat="1">
      <c r="A243" s="71"/>
    </row>
    <row r="244" spans="1:1" s="49" customFormat="1">
      <c r="A244" s="71"/>
    </row>
    <row r="245" spans="1:1" s="49" customFormat="1">
      <c r="A245" s="71"/>
    </row>
    <row r="246" spans="1:1" s="49" customFormat="1">
      <c r="A246" s="71"/>
    </row>
    <row r="247" spans="1:1" s="49" customFormat="1">
      <c r="A247" s="71"/>
    </row>
    <row r="248" spans="1:1" s="49" customFormat="1">
      <c r="A248" s="71"/>
    </row>
    <row r="249" spans="1:1" s="49" customFormat="1">
      <c r="A249" s="71"/>
    </row>
    <row r="250" spans="1:1" s="49" customFormat="1">
      <c r="A250" s="71"/>
    </row>
    <row r="251" spans="1:1" s="49" customFormat="1">
      <c r="A251" s="71"/>
    </row>
    <row r="252" spans="1:1" s="49" customFormat="1">
      <c r="A252" s="71"/>
    </row>
    <row r="253" spans="1:1" s="49" customFormat="1">
      <c r="A253" s="71"/>
    </row>
    <row r="254" spans="1:1" s="49" customFormat="1">
      <c r="A254" s="71"/>
    </row>
    <row r="255" spans="1:1" s="49" customFormat="1">
      <c r="A255" s="71"/>
    </row>
    <row r="256" spans="1:1" s="49" customFormat="1">
      <c r="A256" s="71"/>
    </row>
    <row r="257" spans="1:1" s="49" customFormat="1">
      <c r="A257" s="71"/>
    </row>
    <row r="258" spans="1:1" s="49" customFormat="1">
      <c r="A258" s="71"/>
    </row>
    <row r="259" spans="1:1" s="49" customFormat="1">
      <c r="A259" s="71"/>
    </row>
    <row r="260" spans="1:1" s="49" customFormat="1">
      <c r="A260" s="71"/>
    </row>
    <row r="261" spans="1:1" s="49" customFormat="1">
      <c r="A261" s="71"/>
    </row>
    <row r="262" spans="1:1" s="49" customFormat="1">
      <c r="A262" s="71"/>
    </row>
    <row r="263" spans="1:1" s="49" customFormat="1">
      <c r="A263" s="71"/>
    </row>
    <row r="264" spans="1:1" s="49" customFormat="1">
      <c r="A264" s="71"/>
    </row>
    <row r="265" spans="1:1" s="49" customFormat="1">
      <c r="A265" s="71"/>
    </row>
    <row r="266" spans="1:1" s="49" customFormat="1">
      <c r="A266" s="71"/>
    </row>
    <row r="267" spans="1:1" s="49" customFormat="1">
      <c r="A267" s="71"/>
    </row>
    <row r="268" spans="1:1" s="49" customFormat="1">
      <c r="A268" s="71"/>
    </row>
    <row r="269" spans="1:1" s="49" customFormat="1">
      <c r="A269" s="71"/>
    </row>
    <row r="270" spans="1:1" s="49" customFormat="1">
      <c r="A270" s="71"/>
    </row>
    <row r="271" spans="1:1" s="49" customFormat="1">
      <c r="A271" s="71"/>
    </row>
    <row r="272" spans="1:1" s="49" customFormat="1">
      <c r="A272" s="71"/>
    </row>
    <row r="273" spans="1:1" s="49" customFormat="1">
      <c r="A273" s="71"/>
    </row>
    <row r="274" spans="1:1" s="49" customFormat="1">
      <c r="A274" s="71"/>
    </row>
    <row r="275" spans="1:1" s="49" customFormat="1">
      <c r="A275" s="71"/>
    </row>
    <row r="276" spans="1:1" s="49" customFormat="1">
      <c r="A276" s="71"/>
    </row>
    <row r="277" spans="1:1" s="49" customFormat="1">
      <c r="A277" s="71"/>
    </row>
    <row r="278" spans="1:1" s="49" customFormat="1">
      <c r="A278" s="71"/>
    </row>
    <row r="279" spans="1:1" s="49" customFormat="1">
      <c r="A279" s="71"/>
    </row>
    <row r="280" spans="1:1" s="49" customFormat="1">
      <c r="A280" s="71"/>
    </row>
    <row r="281" spans="1:1" s="49" customFormat="1">
      <c r="A281" s="71"/>
    </row>
    <row r="282" spans="1:1" s="49" customFormat="1">
      <c r="A282" s="71"/>
    </row>
    <row r="283" spans="1:1" s="49" customFormat="1">
      <c r="A283" s="71"/>
    </row>
    <row r="284" spans="1:1" s="49" customFormat="1">
      <c r="A284" s="71"/>
    </row>
    <row r="285" spans="1:1" s="49" customFormat="1">
      <c r="A285" s="71"/>
    </row>
    <row r="286" spans="1:1" s="49" customFormat="1">
      <c r="A286" s="71"/>
    </row>
    <row r="287" spans="1:1" s="49" customFormat="1">
      <c r="A287" s="71"/>
    </row>
    <row r="288" spans="1:1" s="49" customFormat="1">
      <c r="A288" s="71"/>
    </row>
    <row r="289" spans="1:1" s="49" customFormat="1">
      <c r="A289" s="71"/>
    </row>
    <row r="290" spans="1:1" s="49" customFormat="1">
      <c r="A290" s="71"/>
    </row>
    <row r="291" spans="1:1" s="49" customFormat="1">
      <c r="A291" s="71"/>
    </row>
    <row r="292" spans="1:1" s="49" customFormat="1">
      <c r="A292" s="71"/>
    </row>
    <row r="293" spans="1:1" s="49" customFormat="1">
      <c r="A293" s="71"/>
    </row>
    <row r="294" spans="1:1" s="49" customFormat="1">
      <c r="A294" s="71"/>
    </row>
    <row r="295" spans="1:1" s="49" customFormat="1">
      <c r="A295" s="71"/>
    </row>
    <row r="296" spans="1:1" s="49" customFormat="1">
      <c r="A296" s="71"/>
    </row>
    <row r="297" spans="1:1" s="49" customFormat="1">
      <c r="A297" s="71"/>
    </row>
    <row r="298" spans="1:1" s="49" customFormat="1">
      <c r="A298" s="71"/>
    </row>
    <row r="299" spans="1:1" s="49" customFormat="1">
      <c r="A299" s="71"/>
    </row>
    <row r="300" spans="1:1" s="49" customFormat="1">
      <c r="A300" s="71"/>
    </row>
    <row r="301" spans="1:1" s="49" customFormat="1">
      <c r="A301" s="71"/>
    </row>
    <row r="302" spans="1:1" s="49" customFormat="1">
      <c r="A302" s="71"/>
    </row>
    <row r="303" spans="1:1" s="49" customFormat="1">
      <c r="A303" s="71"/>
    </row>
    <row r="304" spans="1:1" s="49" customFormat="1">
      <c r="A304" s="71"/>
    </row>
    <row r="305" spans="1:1" s="49" customFormat="1">
      <c r="A305" s="71"/>
    </row>
    <row r="306" spans="1:1" s="49" customFormat="1">
      <c r="A306" s="71"/>
    </row>
    <row r="307" spans="1:1" s="49" customFormat="1">
      <c r="A307" s="71"/>
    </row>
    <row r="308" spans="1:1" s="49" customFormat="1">
      <c r="A308" s="71"/>
    </row>
    <row r="309" spans="1:1" s="49" customFormat="1">
      <c r="A309" s="71"/>
    </row>
    <row r="310" spans="1:1" s="49" customFormat="1">
      <c r="A310" s="71"/>
    </row>
    <row r="311" spans="1:1" s="49" customFormat="1">
      <c r="A311" s="71"/>
    </row>
    <row r="312" spans="1:1" s="49" customFormat="1">
      <c r="A312" s="71"/>
    </row>
    <row r="313" spans="1:1" s="49" customFormat="1">
      <c r="A313" s="71"/>
    </row>
    <row r="314" spans="1:1" s="49" customFormat="1">
      <c r="A314" s="71"/>
    </row>
    <row r="315" spans="1:1" s="49" customFormat="1">
      <c r="A315" s="71"/>
    </row>
    <row r="316" spans="1:1" s="49" customFormat="1">
      <c r="A316" s="71"/>
    </row>
    <row r="317" spans="1:1" s="49" customFormat="1">
      <c r="A317" s="71"/>
    </row>
    <row r="318" spans="1:1" s="49" customFormat="1">
      <c r="A318" s="71"/>
    </row>
    <row r="319" spans="1:1" s="49" customFormat="1">
      <c r="A319" s="71"/>
    </row>
    <row r="320" spans="1:1" s="49" customFormat="1">
      <c r="A320" s="71"/>
    </row>
    <row r="321" spans="1:1" s="49" customFormat="1">
      <c r="A321" s="71"/>
    </row>
    <row r="322" spans="1:1" s="49" customFormat="1">
      <c r="A322" s="71"/>
    </row>
    <row r="323" spans="1:1" s="49" customFormat="1">
      <c r="A323" s="71"/>
    </row>
    <row r="324" spans="1:1" s="49" customFormat="1">
      <c r="A324" s="71"/>
    </row>
    <row r="325" spans="1:1" s="49" customFormat="1">
      <c r="A325" s="71"/>
    </row>
    <row r="326" spans="1:1" s="49" customFormat="1">
      <c r="A326" s="71"/>
    </row>
    <row r="327" spans="1:1" s="49" customFormat="1">
      <c r="A327" s="71"/>
    </row>
    <row r="328" spans="1:1" s="49" customFormat="1">
      <c r="A328" s="71"/>
    </row>
    <row r="329" spans="1:1" s="49" customFormat="1">
      <c r="A329" s="71"/>
    </row>
    <row r="330" spans="1:1" s="49" customFormat="1">
      <c r="A330" s="71"/>
    </row>
    <row r="331" spans="1:1" s="49" customFormat="1">
      <c r="A331" s="71"/>
    </row>
    <row r="332" spans="1:1" s="49" customFormat="1">
      <c r="A332" s="71"/>
    </row>
    <row r="333" spans="1:1" s="49" customFormat="1">
      <c r="A333" s="71"/>
    </row>
    <row r="334" spans="1:1" s="49" customFormat="1">
      <c r="A334" s="71"/>
    </row>
    <row r="335" spans="1:1" s="49" customFormat="1">
      <c r="A335" s="71"/>
    </row>
    <row r="336" spans="1:1" s="49" customFormat="1">
      <c r="A336" s="71"/>
    </row>
    <row r="337" spans="1:1" s="49" customFormat="1">
      <c r="A337" s="71"/>
    </row>
    <row r="338" spans="1:1" s="49" customFormat="1">
      <c r="A338" s="71"/>
    </row>
    <row r="339" spans="1:1" s="49" customFormat="1">
      <c r="A339" s="71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5"/>
  <dimension ref="A1:AD44"/>
  <sheetViews>
    <sheetView zoomScale="70" zoomScaleNormal="70" workbookViewId="0">
      <pane xSplit="1" ySplit="8" topLeftCell="B9" activePane="bottomRight" state="frozen"/>
      <selection sqref="A1:AA1"/>
      <selection pane="topRight" sqref="A1:AA1"/>
      <selection pane="bottomLeft" sqref="A1:AA1"/>
      <selection pane="bottomRight" activeCell="B54" sqref="B54"/>
    </sheetView>
  </sheetViews>
  <sheetFormatPr defaultRowHeight="12.75"/>
  <cols>
    <col min="1" max="1" width="9.140625" style="19" collapsed="1"/>
    <col min="2" max="2" width="9.140625" style="110" collapsed="1"/>
    <col min="3" max="3" width="9.140625" style="19" collapsed="1"/>
    <col min="4" max="4" width="9.140625" style="110" collapsed="1"/>
    <col min="5" max="5" width="9.140625" style="19" collapsed="1"/>
    <col min="6" max="6" width="9.140625" style="110" collapsed="1"/>
    <col min="7" max="7" width="9.140625" style="19" collapsed="1"/>
    <col min="8" max="8" width="9.140625" style="110" collapsed="1"/>
    <col min="9" max="9" width="9.140625" style="19" collapsed="1"/>
    <col min="10" max="10" width="9.140625" style="110" collapsed="1"/>
    <col min="11" max="11" width="9.140625" style="19" collapsed="1"/>
    <col min="12" max="12" width="9.140625" style="110" collapsed="1"/>
    <col min="13" max="13" width="9.140625" style="19" collapsed="1"/>
    <col min="14" max="14" width="9.140625" style="110" collapsed="1"/>
    <col min="15" max="15" width="9.140625" style="19" collapsed="1"/>
    <col min="16" max="16" width="9.140625" style="110" collapsed="1"/>
    <col min="17" max="17" width="9.140625" style="19" collapsed="1"/>
    <col min="18" max="18" width="9.140625" style="110" collapsed="1"/>
    <col min="19" max="19" width="9.140625" style="19" collapsed="1"/>
    <col min="20" max="20" width="9.140625" style="110" collapsed="1"/>
    <col min="21" max="21" width="9.140625" style="19" collapsed="1"/>
    <col min="22" max="22" width="9.140625" style="110" collapsed="1"/>
    <col min="23" max="23" width="9.140625" style="19" collapsed="1"/>
    <col min="24" max="24" width="9.140625" style="110" collapsed="1"/>
    <col min="25" max="25" width="9.140625" style="19" collapsed="1"/>
    <col min="26" max="26" width="9.140625" style="110" collapsed="1"/>
    <col min="27" max="16384" width="9.140625" style="19" collapsed="1"/>
  </cols>
  <sheetData>
    <row r="1" spans="1:30">
      <c r="A1" s="333" t="s">
        <v>91</v>
      </c>
      <c r="B1" s="395"/>
      <c r="C1" s="333"/>
      <c r="D1" s="395"/>
      <c r="E1" s="333"/>
      <c r="F1" s="395"/>
      <c r="G1" s="333"/>
      <c r="H1" s="395"/>
      <c r="I1" s="333"/>
      <c r="J1" s="395"/>
      <c r="K1" s="333"/>
      <c r="L1" s="395"/>
      <c r="M1" s="333"/>
      <c r="N1" s="395"/>
      <c r="O1" s="333"/>
      <c r="P1" s="395"/>
      <c r="Q1" s="333"/>
      <c r="R1" s="395"/>
      <c r="S1" s="333"/>
      <c r="T1" s="395"/>
      <c r="U1" s="333"/>
      <c r="V1" s="395"/>
      <c r="W1" s="333"/>
      <c r="X1" s="395"/>
      <c r="Y1" s="333"/>
      <c r="Z1" s="395"/>
      <c r="AA1" s="333"/>
    </row>
    <row r="2" spans="1:30" ht="13.5" thickBot="1">
      <c r="A2" s="1" t="s">
        <v>50</v>
      </c>
    </row>
    <row r="3" spans="1:30" ht="13.5" thickBot="1">
      <c r="B3" s="396" t="s">
        <v>51</v>
      </c>
      <c r="C3" s="344"/>
      <c r="D3" s="397"/>
      <c r="E3" s="344"/>
      <c r="F3" s="397"/>
      <c r="G3" s="340"/>
      <c r="H3" s="396" t="s">
        <v>52</v>
      </c>
      <c r="I3" s="344"/>
      <c r="J3" s="397"/>
      <c r="K3" s="344"/>
      <c r="L3" s="397"/>
      <c r="M3" s="340"/>
      <c r="N3" s="396" t="s">
        <v>53</v>
      </c>
      <c r="O3" s="344"/>
      <c r="P3" s="397"/>
      <c r="Q3" s="344"/>
      <c r="R3" s="397"/>
      <c r="S3" s="340"/>
      <c r="T3" s="396" t="s">
        <v>54</v>
      </c>
      <c r="U3" s="344"/>
      <c r="V3" s="397"/>
      <c r="W3" s="344"/>
      <c r="X3" s="397"/>
      <c r="Y3" s="340"/>
      <c r="Z3" s="396" t="s">
        <v>55</v>
      </c>
      <c r="AA3" s="340"/>
      <c r="AB3" s="106"/>
      <c r="AC3" s="106"/>
      <c r="AD3" s="185"/>
    </row>
    <row r="4" spans="1:30">
      <c r="B4" s="398" t="s">
        <v>7</v>
      </c>
      <c r="C4" s="338"/>
      <c r="D4" s="398" t="s">
        <v>8</v>
      </c>
      <c r="E4" s="338"/>
      <c r="F4" s="398" t="s">
        <v>11</v>
      </c>
      <c r="G4" s="338"/>
      <c r="H4" s="398" t="s">
        <v>56</v>
      </c>
      <c r="I4" s="338"/>
      <c r="J4" s="398" t="s">
        <v>12</v>
      </c>
      <c r="K4" s="338"/>
      <c r="L4" s="398" t="s">
        <v>14</v>
      </c>
      <c r="M4" s="338"/>
      <c r="N4" s="398" t="s">
        <v>13</v>
      </c>
      <c r="O4" s="338"/>
      <c r="P4" s="398" t="s">
        <v>57</v>
      </c>
      <c r="Q4" s="338"/>
      <c r="R4" s="398" t="s">
        <v>15</v>
      </c>
      <c r="S4" s="338"/>
      <c r="T4" s="398" t="s">
        <v>58</v>
      </c>
      <c r="U4" s="338"/>
      <c r="V4" s="398" t="s">
        <v>59</v>
      </c>
      <c r="W4" s="338"/>
      <c r="X4" s="398" t="s">
        <v>60</v>
      </c>
      <c r="Y4" s="338"/>
      <c r="Z4" s="131"/>
      <c r="AA4" s="132"/>
    </row>
    <row r="5" spans="1:30">
      <c r="B5" s="107" t="s">
        <v>61</v>
      </c>
      <c r="C5" s="133" t="s">
        <v>62</v>
      </c>
      <c r="D5" s="107" t="s">
        <v>61</v>
      </c>
      <c r="E5" s="133" t="s">
        <v>62</v>
      </c>
      <c r="F5" s="134" t="s">
        <v>61</v>
      </c>
      <c r="G5" s="133" t="s">
        <v>62</v>
      </c>
      <c r="H5" s="107" t="s">
        <v>61</v>
      </c>
      <c r="I5" s="133" t="s">
        <v>62</v>
      </c>
      <c r="J5" s="107" t="s">
        <v>61</v>
      </c>
      <c r="K5" s="133" t="s">
        <v>62</v>
      </c>
      <c r="L5" s="134" t="s">
        <v>61</v>
      </c>
      <c r="M5" s="133" t="s">
        <v>62</v>
      </c>
      <c r="N5" s="107" t="s">
        <v>61</v>
      </c>
      <c r="O5" s="135" t="s">
        <v>62</v>
      </c>
      <c r="P5" s="107" t="s">
        <v>61</v>
      </c>
      <c r="Q5" s="133" t="s">
        <v>62</v>
      </c>
      <c r="R5" s="134" t="s">
        <v>61</v>
      </c>
      <c r="S5" s="133" t="s">
        <v>62</v>
      </c>
      <c r="T5" s="107" t="s">
        <v>61</v>
      </c>
      <c r="U5" s="135" t="s">
        <v>62</v>
      </c>
      <c r="V5" s="107" t="s">
        <v>61</v>
      </c>
      <c r="W5" s="133" t="s">
        <v>62</v>
      </c>
      <c r="X5" s="134" t="s">
        <v>61</v>
      </c>
      <c r="Y5" s="133" t="s">
        <v>62</v>
      </c>
      <c r="Z5" s="107" t="s">
        <v>61</v>
      </c>
      <c r="AA5" s="136" t="s">
        <v>62</v>
      </c>
    </row>
    <row r="6" spans="1:30">
      <c r="B6" s="108"/>
      <c r="C6" s="137"/>
      <c r="D6" s="108"/>
      <c r="E6" s="137"/>
      <c r="F6" s="138"/>
      <c r="G6" s="137"/>
      <c r="H6" s="108"/>
      <c r="I6" s="137"/>
      <c r="J6" s="108"/>
      <c r="K6" s="137"/>
      <c r="L6" s="138"/>
      <c r="M6" s="137"/>
      <c r="N6" s="108"/>
      <c r="O6" s="139"/>
      <c r="P6" s="108"/>
      <c r="Q6" s="137"/>
      <c r="R6" s="138"/>
      <c r="S6" s="137"/>
      <c r="T6" s="108"/>
      <c r="U6" s="139"/>
      <c r="V6" s="108"/>
      <c r="W6" s="137"/>
      <c r="X6" s="138"/>
      <c r="Y6" s="137"/>
      <c r="Z6" s="107"/>
      <c r="AA6" s="140"/>
    </row>
    <row r="7" spans="1:30" s="1" customFormat="1" ht="13.5" thickBot="1">
      <c r="A7" s="1" t="s">
        <v>63</v>
      </c>
      <c r="B7" s="399">
        <f>C40+E40+G40</f>
        <v>0</v>
      </c>
      <c r="C7" s="342"/>
      <c r="D7" s="400"/>
      <c r="E7" s="342"/>
      <c r="F7" s="400"/>
      <c r="G7" s="343"/>
      <c r="H7" s="399">
        <f>I40+K40+M40</f>
        <v>9.5</v>
      </c>
      <c r="I7" s="342"/>
      <c r="J7" s="400"/>
      <c r="K7" s="342"/>
      <c r="L7" s="400"/>
      <c r="M7" s="343"/>
      <c r="N7" s="399">
        <f>O40+Q40+S40</f>
        <v>0</v>
      </c>
      <c r="O7" s="342"/>
      <c r="P7" s="400"/>
      <c r="Q7" s="342"/>
      <c r="R7" s="400"/>
      <c r="S7" s="343"/>
      <c r="T7" s="399">
        <f>U40+W40+Y40</f>
        <v>0</v>
      </c>
      <c r="U7" s="342"/>
      <c r="V7" s="400"/>
      <c r="W7" s="342"/>
      <c r="X7" s="400"/>
      <c r="Y7" s="343"/>
      <c r="Z7" s="56"/>
      <c r="AA7" s="2"/>
    </row>
    <row r="8" spans="1:30" s="1" customFormat="1" ht="13.5" thickBot="1">
      <c r="B8" s="401">
        <f>B7+H7+N7+T7</f>
        <v>9.5</v>
      </c>
      <c r="C8" s="335"/>
      <c r="D8" s="402"/>
      <c r="E8" s="335"/>
      <c r="F8" s="402"/>
      <c r="G8" s="335"/>
      <c r="H8" s="402"/>
      <c r="I8" s="335"/>
      <c r="J8" s="402"/>
      <c r="K8" s="335"/>
      <c r="L8" s="402"/>
      <c r="M8" s="335"/>
      <c r="N8" s="402"/>
      <c r="O8" s="335"/>
      <c r="P8" s="402"/>
      <c r="Q8" s="335"/>
      <c r="R8" s="402"/>
      <c r="S8" s="335"/>
      <c r="T8" s="402"/>
      <c r="U8" s="335"/>
      <c r="V8" s="402"/>
      <c r="W8" s="335"/>
      <c r="X8" s="402"/>
      <c r="Y8" s="335"/>
      <c r="Z8" s="402"/>
      <c r="AA8" s="336"/>
    </row>
    <row r="9" spans="1:30">
      <c r="A9" s="1" t="s">
        <v>6</v>
      </c>
      <c r="B9" s="186"/>
      <c r="C9" s="187"/>
      <c r="D9" s="188"/>
      <c r="E9" s="187"/>
      <c r="F9" s="189"/>
      <c r="G9" s="187"/>
      <c r="H9" s="188"/>
      <c r="I9" s="190"/>
      <c r="J9" s="186"/>
      <c r="K9" s="187"/>
      <c r="L9" s="189"/>
      <c r="M9" s="187"/>
      <c r="N9" s="188"/>
      <c r="O9" s="190"/>
      <c r="P9" s="186"/>
      <c r="Q9" s="187"/>
      <c r="R9" s="189"/>
      <c r="S9" s="187"/>
      <c r="T9" s="188"/>
      <c r="U9" s="190"/>
      <c r="V9" s="186"/>
      <c r="W9" s="187"/>
      <c r="X9" s="189"/>
      <c r="Y9" s="187"/>
      <c r="Z9" s="191"/>
      <c r="AA9" s="192"/>
    </row>
    <row r="10" spans="1:30">
      <c r="A10" s="19">
        <v>275</v>
      </c>
      <c r="B10" s="109"/>
      <c r="C10" s="141">
        <f>SUMIFS('QUOTED PROJECTS-Earlier Yr'!$L$2:$L$2598,'QUOTED PROJECTS-Earlier Yr'!$Q$2:$Q$2598,"WON",'QUOTED PROJECTS-Earlier Yr'!$K$2:$K$2598,"275",'QUOTED PROJECTS-Earlier Yr'!$H$2:$H$2598,"MTU",'QUOTED PROJECTS-Earlier Yr'!$R$2:$R$2598,"APR")+SUMIFS('QUOTED PROJECTS-Current Year'!$L$2:$L$2525,'QUOTED PROJECTS-Current Year'!$Q$2:$Q$2525,"WON",'QUOTED PROJECTS-Current Year'!$K$2:$K$2525,"275",'QUOTED PROJECTS-Current Year'!$H$2:$H$2525,"MTU",'QUOTED PROJECTS-Current Year'!$R$2:$R$2525,"APR")</f>
        <v>0</v>
      </c>
      <c r="D10" s="109"/>
      <c r="E10" s="141">
        <f>SUMIFS('QUOTED PROJECTS-Earlier Yr'!$L$2:$L$2598,'QUOTED PROJECTS-Earlier Yr'!$Q$2:$Q$2598,"WON",'QUOTED PROJECTS-Earlier Yr'!$K$2:$K$2598,"275",'QUOTED PROJECTS-Earlier Yr'!$H$2:$H$2598,"MTU",'QUOTED PROJECTS-Earlier Yr'!$R$2:$R$2598,"MAY")+SUMIFS('QUOTED PROJECTS-Current Year'!$L$2:$L$2525,'QUOTED PROJECTS-Current Year'!$Q$2:$Q$2525,"WON",'QUOTED PROJECTS-Current Year'!$K$2:$K$2525,"275",'QUOTED PROJECTS-Current Year'!$H$2:$H$2525,"MTU",'QUOTED PROJECTS-Current Year'!$R$2:$R$2525,"MAY")</f>
        <v>0</v>
      </c>
      <c r="F10" s="55"/>
      <c r="G10" s="141">
        <f>SUMIFS('QUOTED PROJECTS-Earlier Yr'!$L$2:$L$2598,'QUOTED PROJECTS-Earlier Yr'!$Q$2:$Q$2598,"WON",'QUOTED PROJECTS-Earlier Yr'!$K$2:$K$2598,"275",'QUOTED PROJECTS-Earlier Yr'!$H$2:$H$2598,"MTU",'QUOTED PROJECTS-Earlier Yr'!$R$2:$R$2598,"JUN")+SUMIFS('QUOTED PROJECTS-Current Year'!$L$2:$L$2525,'QUOTED PROJECTS-Current Year'!$Q$2:$Q$2525,"WON",'QUOTED PROJECTS-Current Year'!$K$2:$K$2525,"275",'QUOTED PROJECTS-Current Year'!$H$2:$H$2525,"MTU",'QUOTED PROJECTS-Current Year'!$R$2:$R$2525,"JUN")</f>
        <v>0</v>
      </c>
      <c r="H10" s="109"/>
      <c r="I10" s="141">
        <f>SUMIFS('QUOTED PROJECTS-Earlier Yr'!$L$2:$L$2598,'QUOTED PROJECTS-Earlier Yr'!$Q$2:$Q$2598,"WON",'QUOTED PROJECTS-Earlier Yr'!$K$2:$K$2598,"275",'QUOTED PROJECTS-Earlier Yr'!$H$2:$H$2598,"MTU",'QUOTED PROJECTS-Earlier Yr'!$R$2:$R$2598,"JUL")+SUMIFS('QUOTED PROJECTS-Current Year'!$L$2:$L$2525,'QUOTED PROJECTS-Current Year'!$Q$2:$Q$2525,"WON",'QUOTED PROJECTS-Current Year'!$K$2:$K$2525,"275",'QUOTED PROJECTS-Current Year'!$H$2:$H$2525,"MTU",'QUOTED PROJECTS-Current Year'!$R$2:$R$2525,"JUL")</f>
        <v>0</v>
      </c>
      <c r="J10" s="55"/>
      <c r="K10" s="141">
        <f>SUMIFS('QUOTED PROJECTS-Earlier Yr'!$L$2:$L$2598,'QUOTED PROJECTS-Earlier Yr'!$Q$2:$Q$2598,"WON",'QUOTED PROJECTS-Earlier Yr'!$K$2:$K$2598,"275",'QUOTED PROJECTS-Earlier Yr'!$H$2:$H$2598,"MTU",'QUOTED PROJECTS-Earlier Yr'!$R$2:$R$2598,"AUG")+SUMIFS('QUOTED PROJECTS-Current Year'!$L$2:$L$2525,'QUOTED PROJECTS-Current Year'!$Q$2:$Q$2525,"WON",'QUOTED PROJECTS-Current Year'!$K$2:$K$2525,"275",'QUOTED PROJECTS-Current Year'!$H$2:$H$2525,"MTU",'QUOTED PROJECTS-Current Year'!$R$2:$R$2525,"AUG")</f>
        <v>0</v>
      </c>
      <c r="L10" s="55"/>
      <c r="M10" s="141">
        <f>SUMIFS('QUOTED PROJECTS-Earlier Yr'!$L$2:$L$2598,'QUOTED PROJECTS-Earlier Yr'!$Q$2:$Q$2598,"WON",'QUOTED PROJECTS-Earlier Yr'!$K$2:$K$2598,"275",'QUOTED PROJECTS-Earlier Yr'!$H$2:$H$2598,"MTU",'QUOTED PROJECTS-Earlier Yr'!$R$2:$R$2598,"SEPT")+SUMIFS('QUOTED PROJECTS-Current Year'!$L$2:$L$2525,'QUOTED PROJECTS-Current Year'!$Q$2:$Q$2525,"WON",'QUOTED PROJECTS-Current Year'!$K$2:$K$2525,"275",'QUOTED PROJECTS-Current Year'!$H$2:$H$2525,"MTU",'QUOTED PROJECTS-Current Year'!$R$2:$R$2525,"SEPT")</f>
        <v>0</v>
      </c>
      <c r="N10" s="109"/>
      <c r="O10" s="141">
        <f>SUMIFS('QUOTED PROJECTS-Earlier Yr'!$L$2:$L$2598,'QUOTED PROJECTS-Earlier Yr'!$Q$2:$Q$2598,"WON",'QUOTED PROJECTS-Earlier Yr'!$K$2:$K$2598,"275",'QUOTED PROJECTS-Earlier Yr'!$H$2:$H$2598,"MTU",'QUOTED PROJECTS-Earlier Yr'!$R$2:$R$2598,"OCT")+SUMIFS('QUOTED PROJECTS-Current Year'!$L$2:$L$2525,'QUOTED PROJECTS-Current Year'!$Q$2:$Q$2525,"WON",'QUOTED PROJECTS-Current Year'!$K$2:$K$2525,"275",'QUOTED PROJECTS-Current Year'!$H$2:$H$2525,"MTU",'QUOTED PROJECTS-Current Year'!$R$2:$R$2525,"OCT")</f>
        <v>0</v>
      </c>
      <c r="P10" s="55"/>
      <c r="Q10" s="141">
        <f>SUMIFS('QUOTED PROJECTS-Earlier Yr'!$L$2:$L$2598,'QUOTED PROJECTS-Earlier Yr'!$Q$2:$Q$2598,"WON",'QUOTED PROJECTS-Earlier Yr'!$K$2:$K$2598,"275",'QUOTED PROJECTS-Earlier Yr'!$H$2:$H$2598,"MTU",'QUOTED PROJECTS-Earlier Yr'!$R$2:$R$2598,"NOV")+SUMIFS('QUOTED PROJECTS-Current Year'!$L$2:$L$2525,'QUOTED PROJECTS-Current Year'!$Q$2:$Q$2525,"WON",'QUOTED PROJECTS-Current Year'!$K$2:$K$2525,"275",'QUOTED PROJECTS-Current Year'!$H$2:$H$2525,"MTU",'QUOTED PROJECTS-Current Year'!$R$2:$R$2525,"NOV")</f>
        <v>0</v>
      </c>
      <c r="R10" s="55"/>
      <c r="S10" s="141">
        <f>SUMIFS('QUOTED PROJECTS-Earlier Yr'!$L$2:$L$2598,'QUOTED PROJECTS-Earlier Yr'!$Q$2:$Q$2598,"WON",'QUOTED PROJECTS-Earlier Yr'!$K$2:$K$2598,"275",'QUOTED PROJECTS-Earlier Yr'!$H$2:$H$2598,"MTU",'QUOTED PROJECTS-Earlier Yr'!$R$2:$R$2598,"DEC")+SUMIFS('QUOTED PROJECTS-Current Year'!$L$2:$L$2525,'QUOTED PROJECTS-Current Year'!$Q$2:$Q$2525,"WON",'QUOTED PROJECTS-Current Year'!$K$2:$K$2525,"275",'QUOTED PROJECTS-Current Year'!$H$2:$H$2525,"MTU",'QUOTED PROJECTS-Current Year'!$R$2:$R$2525,"DEC")</f>
        <v>0</v>
      </c>
      <c r="T10" s="109"/>
      <c r="U10" s="141">
        <f>SUMIFS('QUOTED PROJECTS-Earlier Yr'!$L$2:$L$2598,'QUOTED PROJECTS-Earlier Yr'!$Q$2:$Q$2598,"WON",'QUOTED PROJECTS-Earlier Yr'!$K$2:$K$2598,"275",'QUOTED PROJECTS-Earlier Yr'!$H$2:$H$2598,"MTU",'QUOTED PROJECTS-Earlier Yr'!$R$2:$R$2598,"JAN")+SUMIFS('QUOTED PROJECTS-Current Year'!$L$2:$L$2525,'QUOTED PROJECTS-Current Year'!$Q$2:$Q$2525,"WON",'QUOTED PROJECTS-Current Year'!$K$2:$K$2525,"275",'QUOTED PROJECTS-Current Year'!$H$2:$H$2525,"MTU",'QUOTED PROJECTS-Current Year'!$R$2:$R$2525,"JAN")</f>
        <v>0</v>
      </c>
      <c r="V10" s="55"/>
      <c r="W10" s="141">
        <f>SUMIFS('QUOTED PROJECTS-Earlier Yr'!$L$2:$L$2598,'QUOTED PROJECTS-Earlier Yr'!$Q$2:$Q$2598,"WON",'QUOTED PROJECTS-Earlier Yr'!$K$2:$K$2598,"275",'QUOTED PROJECTS-Earlier Yr'!$H$2:$H$2598,"MTU",'QUOTED PROJECTS-Earlier Yr'!$R$2:$R$2598,"FEB")+SUMIFS('QUOTED PROJECTS-Current Year'!$L$2:$L$2525,'QUOTED PROJECTS-Current Year'!$Q$2:$Q$2525,"WON",'QUOTED PROJECTS-Current Year'!$K$2:$K$2525,"275",'QUOTED PROJECTS-Current Year'!$H$2:$H$2525,"MTU",'QUOTED PROJECTS-Current Year'!$R$2:$R$2525,"FEB")</f>
        <v>0</v>
      </c>
      <c r="X10" s="55"/>
      <c r="Y10" s="141">
        <f>SUMIFS('QUOTED PROJECTS-Earlier Yr'!$L$2:$L$2598,'QUOTED PROJECTS-Earlier Yr'!$Q$2:$Q$2598,"WON",'QUOTED PROJECTS-Earlier Yr'!$K$2:$K$2598,"275",'QUOTED PROJECTS-Earlier Yr'!$H$2:$H$2598,"MTU",'QUOTED PROJECTS-Earlier Yr'!$R$2:$R$2598,"MAR")+SUMIFS('QUOTED PROJECTS-Current Year'!$L$2:$L$2525,'QUOTED PROJECTS-Current Year'!$Q$2:$Q$2525,"WON",'QUOTED PROJECTS-Current Year'!$K$2:$K$2525,"275",'QUOTED PROJECTS-Current Year'!$H$2:$H$2525,"MTU",'QUOTED PROJECTS-Current Year'!$R$2:$R$2525,"MAR")</f>
        <v>0</v>
      </c>
      <c r="Z10" s="57">
        <f>B10+D10+F10+H9+J10+L10+N10+P10+R10+T10+V10+X10</f>
        <v>0</v>
      </c>
      <c r="AA10" s="37">
        <f>C10+E10+G10+I10+K10+M10+O10+Q10+S10+U10+W10+Y10</f>
        <v>0</v>
      </c>
    </row>
    <row r="11" spans="1:30">
      <c r="A11" s="19">
        <v>300</v>
      </c>
      <c r="B11" s="109"/>
      <c r="C11" s="141">
        <f>SUMIFS('QUOTED PROJECTS-Earlier Yr'!$L$2:$L$2598,'QUOTED PROJECTS-Earlier Yr'!$Q$2:$Q$2598,"WON",'QUOTED PROJECTS-Earlier Yr'!$K$2:$K$2598,"300",'QUOTED PROJECTS-Earlier Yr'!$H$2:$H$2598,"MTU",'QUOTED PROJECTS-Earlier Yr'!$R$2:$R$2598,"APR")+SUMIFS('QUOTED PROJECTS-Current Year'!$L$2:$L$2525,'QUOTED PROJECTS-Current Year'!$Q$2:$Q$2525,"WON",'QUOTED PROJECTS-Current Year'!$K$2:$K$2525,"300",'QUOTED PROJECTS-Current Year'!$H$2:$H$2525,"MTU",'QUOTED PROJECTS-Current Year'!$R$2:$R$2525,"APR")</f>
        <v>0</v>
      </c>
      <c r="D11" s="109"/>
      <c r="E11" s="141">
        <f>SUMIFS('QUOTED PROJECTS-Earlier Yr'!$L$2:$L$2598,'QUOTED PROJECTS-Earlier Yr'!$Q$2:$Q$2598,"WON",'QUOTED PROJECTS-Earlier Yr'!$K$2:$K$2598,"300",'QUOTED PROJECTS-Earlier Yr'!$H$2:$H$2598,"MTU",'QUOTED PROJECTS-Earlier Yr'!$R$2:$R$2598,"MAY")+SUMIFS('QUOTED PROJECTS-Current Year'!$L$2:$L$2525,'QUOTED PROJECTS-Current Year'!$Q$2:$Q$2525,"WON",'QUOTED PROJECTS-Current Year'!$K$2:$K$2525,"300",'QUOTED PROJECTS-Current Year'!$H$2:$H$2525,"MTU",'QUOTED PROJECTS-Current Year'!$R$2:$R$2525,"MAY")</f>
        <v>0</v>
      </c>
      <c r="F11" s="55"/>
      <c r="G11" s="141">
        <f>SUMIFS('QUOTED PROJECTS-Earlier Yr'!$L$2:$L$2598,'QUOTED PROJECTS-Earlier Yr'!$Q$2:$Q$2598,"WON",'QUOTED PROJECTS-Earlier Yr'!$K$2:$K$2598,"300",'QUOTED PROJECTS-Earlier Yr'!$H$2:$H$2598,"MTU",'QUOTED PROJECTS-Earlier Yr'!$R$2:$R$2598,"JUN")+SUMIFS('QUOTED PROJECTS-Current Year'!$L$2:$L$2525,'QUOTED PROJECTS-Current Year'!$Q$2:$Q$2525,"WON",'QUOTED PROJECTS-Current Year'!$K$2:$K$2525,"300",'QUOTED PROJECTS-Current Year'!$H$2:$H$2525,"MTU",'QUOTED PROJECTS-Current Year'!$R$2:$R$2525,"JUN")</f>
        <v>0</v>
      </c>
      <c r="H11" s="109"/>
      <c r="I11" s="141">
        <f>SUMIFS('QUOTED PROJECTS-Earlier Yr'!$L$2:$L$2598,'QUOTED PROJECTS-Earlier Yr'!$Q$2:$Q$2598,"WON",'QUOTED PROJECTS-Earlier Yr'!$K$2:$K$2598,"300",'QUOTED PROJECTS-Earlier Yr'!$H$2:$H$2598,"MTU",'QUOTED PROJECTS-Earlier Yr'!$R$2:$R$2598,"JUL")+SUMIFS('QUOTED PROJECTS-Current Year'!$L$2:$L$2525,'QUOTED PROJECTS-Current Year'!$Q$2:$Q$2525,"WON",'QUOTED PROJECTS-Current Year'!$K$2:$K$2525,"300",'QUOTED PROJECTS-Current Year'!$H$2:$H$2525,"MTU",'QUOTED PROJECTS-Current Year'!$R$2:$R$2525,"JUL")</f>
        <v>0</v>
      </c>
      <c r="J11" s="55"/>
      <c r="K11" s="141">
        <f>SUMIFS('QUOTED PROJECTS-Earlier Yr'!$L$2:$L$2598,'QUOTED PROJECTS-Earlier Yr'!$Q$2:$Q$2598,"WON",'QUOTED PROJECTS-Earlier Yr'!$K$2:$K$2598,"300",'QUOTED PROJECTS-Earlier Yr'!$H$2:$H$2598,"MTU",'QUOTED PROJECTS-Earlier Yr'!$R$2:$R$2598,"AUG")+SUMIFS('QUOTED PROJECTS-Current Year'!$L$2:$L$2525,'QUOTED PROJECTS-Current Year'!$Q$2:$Q$2525,"WON",'QUOTED PROJECTS-Current Year'!$K$2:$K$2525,"300",'QUOTED PROJECTS-Current Year'!$H$2:$H$2525,"MTU",'QUOTED PROJECTS-Current Year'!$R$2:$R$2525,"AUG")</f>
        <v>0</v>
      </c>
      <c r="L11" s="55"/>
      <c r="M11" s="141">
        <f>SUMIFS('QUOTED PROJECTS-Earlier Yr'!$L$2:$L$2598,'QUOTED PROJECTS-Earlier Yr'!$Q$2:$Q$2598,"WON",'QUOTED PROJECTS-Earlier Yr'!$K$2:$K$2598,"300",'QUOTED PROJECTS-Earlier Yr'!$H$2:$H$2598,"MTU",'QUOTED PROJECTS-Earlier Yr'!$R$2:$R$2598,"SEPT")+SUMIFS('QUOTED PROJECTS-Current Year'!$L$2:$L$2525,'QUOTED PROJECTS-Current Year'!$Q$2:$Q$2525,"WON",'QUOTED PROJECTS-Current Year'!$K$2:$K$2525,"300",'QUOTED PROJECTS-Current Year'!$H$2:$H$2525,"MTU",'QUOTED PROJECTS-Current Year'!$R$2:$R$2525,"SEPT")</f>
        <v>0</v>
      </c>
      <c r="N11" s="109"/>
      <c r="O11" s="141">
        <f>SUMIFS('QUOTED PROJECTS-Earlier Yr'!$L$2:$L$2598,'QUOTED PROJECTS-Earlier Yr'!$Q$2:$Q$2598,"WON",'QUOTED PROJECTS-Earlier Yr'!$K$2:$K$2598,"300",'QUOTED PROJECTS-Earlier Yr'!$H$2:$H$2598,"MTU",'QUOTED PROJECTS-Earlier Yr'!$R$2:$R$2598,"OCT")+SUMIFS('QUOTED PROJECTS-Current Year'!$L$2:$L$2525,'QUOTED PROJECTS-Current Year'!$Q$2:$Q$2525,"WON",'QUOTED PROJECTS-Current Year'!$K$2:$K$2525,"300",'QUOTED PROJECTS-Current Year'!$H$2:$H$2525,"MTU",'QUOTED PROJECTS-Current Year'!$R$2:$R$2525,"OCT")</f>
        <v>0</v>
      </c>
      <c r="P11" s="55"/>
      <c r="Q11" s="141">
        <f>SUMIFS('QUOTED PROJECTS-Earlier Yr'!$L$2:$L$2598,'QUOTED PROJECTS-Earlier Yr'!$Q$2:$Q$2598,"WON",'QUOTED PROJECTS-Earlier Yr'!$K$2:$K$2598,"300",'QUOTED PROJECTS-Earlier Yr'!$H$2:$H$2598,"MTU",'QUOTED PROJECTS-Earlier Yr'!$R$2:$R$2598,"NOV")+SUMIFS('QUOTED PROJECTS-Current Year'!$L$2:$L$2525,'QUOTED PROJECTS-Current Year'!$Q$2:$Q$2525,"WON",'QUOTED PROJECTS-Current Year'!$K$2:$K$2525,"300",'QUOTED PROJECTS-Current Year'!$H$2:$H$2525,"MTU",'QUOTED PROJECTS-Current Year'!$R$2:$R$2525,"NOV")</f>
        <v>0</v>
      </c>
      <c r="R11" s="55"/>
      <c r="S11" s="141">
        <f>SUMIFS('QUOTED PROJECTS-Earlier Yr'!$L$2:$L$2598,'QUOTED PROJECTS-Earlier Yr'!$Q$2:$Q$2598,"WON",'QUOTED PROJECTS-Earlier Yr'!$K$2:$K$2598,"300",'QUOTED PROJECTS-Earlier Yr'!$H$2:$H$2598,"MTU",'QUOTED PROJECTS-Earlier Yr'!$R$2:$R$2598,"DEC")+SUMIFS('QUOTED PROJECTS-Current Year'!$L$2:$L$2525,'QUOTED PROJECTS-Current Year'!$Q$2:$Q$2525,"WON",'QUOTED PROJECTS-Current Year'!$K$2:$K$2525,"300",'QUOTED PROJECTS-Current Year'!$H$2:$H$2525,"MTU",'QUOTED PROJECTS-Current Year'!$R$2:$R$2525,"DEC")</f>
        <v>0</v>
      </c>
      <c r="T11" s="109"/>
      <c r="U11" s="141">
        <f>SUMIFS('QUOTED PROJECTS-Earlier Yr'!$L$2:$L$2598,'QUOTED PROJECTS-Earlier Yr'!$Q$2:$Q$2598,"WON",'QUOTED PROJECTS-Earlier Yr'!$K$2:$K$2598,"300",'QUOTED PROJECTS-Earlier Yr'!$H$2:$H$2598,"MTU",'QUOTED PROJECTS-Earlier Yr'!$R$2:$R$2598,"JAN")+SUMIFS('QUOTED PROJECTS-Current Year'!$L$2:$L$2525,'QUOTED PROJECTS-Current Year'!$Q$2:$Q$2525,"WON",'QUOTED PROJECTS-Current Year'!$K$2:$K$2525,"300",'QUOTED PROJECTS-Current Year'!$H$2:$H$2525,"MTU",'QUOTED PROJECTS-Current Year'!$R$2:$R$2525,"JAN")</f>
        <v>0</v>
      </c>
      <c r="V11" s="55"/>
      <c r="W11" s="141">
        <f>SUMIFS('QUOTED PROJECTS-Earlier Yr'!$L$2:$L$2598,'QUOTED PROJECTS-Earlier Yr'!$Q$2:$Q$2598,"WON",'QUOTED PROJECTS-Earlier Yr'!$K$2:$K$2598,"300",'QUOTED PROJECTS-Earlier Yr'!$H$2:$H$2598,"MTU",'QUOTED PROJECTS-Earlier Yr'!$R$2:$R$2598,"FEB")+SUMIFS('QUOTED PROJECTS-Current Year'!$L$2:$L$2525,'QUOTED PROJECTS-Current Year'!$Q$2:$Q$2525,"WON",'QUOTED PROJECTS-Current Year'!$K$2:$K$2525,"300",'QUOTED PROJECTS-Current Year'!$H$2:$H$2525,"MTU",'QUOTED PROJECTS-Current Year'!$R$2:$R$2525,"FEB")</f>
        <v>0</v>
      </c>
      <c r="X11" s="55"/>
      <c r="Y11" s="141">
        <f>SUMIFS('QUOTED PROJECTS-Earlier Yr'!$L$2:$L$2598,'QUOTED PROJECTS-Earlier Yr'!$Q$2:$Q$2598,"WON",'QUOTED PROJECTS-Earlier Yr'!$K$2:$K$2598,"300",'QUOTED PROJECTS-Earlier Yr'!$H$2:$H$2598,"MTU",'QUOTED PROJECTS-Earlier Yr'!$R$2:$R$2598,"MAR")+SUMIFS('QUOTED PROJECTS-Current Year'!$L$2:$L$2525,'QUOTED PROJECTS-Current Year'!$Q$2:$Q$2525,"WON",'QUOTED PROJECTS-Current Year'!$K$2:$K$2525,"300",'QUOTED PROJECTS-Current Year'!$H$2:$H$2525,"MTU",'QUOTED PROJECTS-Current Year'!$R$2:$R$2525,"MAR")</f>
        <v>0</v>
      </c>
      <c r="Z11" s="57">
        <f t="shared" ref="Z11:AA16" si="0">B11+D11+F11+H11+J11+L11+N11+P11+R11+T11+V11+X11</f>
        <v>0</v>
      </c>
      <c r="AA11" s="37">
        <f t="shared" si="0"/>
        <v>0</v>
      </c>
    </row>
    <row r="12" spans="1:30">
      <c r="A12" s="19">
        <v>360</v>
      </c>
      <c r="B12" s="109"/>
      <c r="C12" s="141">
        <f>SUMIFS('QUOTED PROJECTS-Earlier Yr'!$L$2:$L$2598,'QUOTED PROJECTS-Earlier Yr'!$Q$2:$Q$2598,"WON",'QUOTED PROJECTS-Earlier Yr'!$K$2:$K$2598,"360",'QUOTED PROJECTS-Earlier Yr'!$H$2:$H$2598,"MTU",'QUOTED PROJECTS-Earlier Yr'!$R$2:$R$2598,"APR")+SUMIFS('QUOTED PROJECTS-Current Year'!$L$2:$L$2525,'QUOTED PROJECTS-Current Year'!$Q$2:$Q$2525,"WON",'QUOTED PROJECTS-Current Year'!$K$2:$K$2525,"360",'QUOTED PROJECTS-Current Year'!$H$2:$H$2525,"MTU",'QUOTED PROJECTS-Current Year'!$R$2:$R$2525,"APR")</f>
        <v>0</v>
      </c>
      <c r="D12" s="109"/>
      <c r="E12" s="141">
        <f>SUMIFS('QUOTED PROJECTS-Earlier Yr'!$L$2:$L$2598,'QUOTED PROJECTS-Earlier Yr'!$Q$2:$Q$2598,"WON",'QUOTED PROJECTS-Earlier Yr'!$K$2:$K$2598,"360",'QUOTED PROJECTS-Earlier Yr'!$H$2:$H$2598,"MTU",'QUOTED PROJECTS-Earlier Yr'!$R$2:$R$2598,"MAY")+SUMIFS('QUOTED PROJECTS-Current Year'!$L$2:$L$2525,'QUOTED PROJECTS-Current Year'!$Q$2:$Q$2525,"WON",'QUOTED PROJECTS-Current Year'!$K$2:$K$2525,"360",'QUOTED PROJECTS-Current Year'!$H$2:$H$2525,"MTU",'QUOTED PROJECTS-Current Year'!$R$2:$R$2525,"MAY")</f>
        <v>0</v>
      </c>
      <c r="F12" s="55"/>
      <c r="G12" s="141">
        <f>SUMIFS('QUOTED PROJECTS-Earlier Yr'!$L$2:$L$2598,'QUOTED PROJECTS-Earlier Yr'!$Q$2:$Q$2598,"WON",'QUOTED PROJECTS-Earlier Yr'!$K$2:$K$2598,"360",'QUOTED PROJECTS-Earlier Yr'!$H$2:$H$2598,"MTU",'QUOTED PROJECTS-Earlier Yr'!$R$2:$R$2598,"JUN")+SUMIFS('QUOTED PROJECTS-Current Year'!$L$2:$L$2525,'QUOTED PROJECTS-Current Year'!$Q$2:$Q$2525,"WON",'QUOTED PROJECTS-Current Year'!$K$2:$K$2525,"360",'QUOTED PROJECTS-Current Year'!$H$2:$H$2525,"MTU",'QUOTED PROJECTS-Current Year'!$R$2:$R$2525,"JUN")</f>
        <v>0</v>
      </c>
      <c r="H12" s="109"/>
      <c r="I12" s="141">
        <f>SUMIFS('QUOTED PROJECTS-Earlier Yr'!$L$2:$L$2598,'QUOTED PROJECTS-Earlier Yr'!$Q$2:$Q$2598,"WON",'QUOTED PROJECTS-Earlier Yr'!$K$2:$K$2598,"360",'QUOTED PROJECTS-Earlier Yr'!$H$2:$H$2598,"MTU",'QUOTED PROJECTS-Earlier Yr'!$R$2:$R$2598,"JUL")+SUMIFS('QUOTED PROJECTS-Current Year'!$L$2:$L$2525,'QUOTED PROJECTS-Current Year'!$Q$2:$Q$2525,"WON",'QUOTED PROJECTS-Current Year'!$K$2:$K$2525,"360",'QUOTED PROJECTS-Current Year'!$H$2:$H$2525,"MTU",'QUOTED PROJECTS-Current Year'!$R$2:$R$2525,"JUL")</f>
        <v>0</v>
      </c>
      <c r="J12" s="55"/>
      <c r="K12" s="141">
        <f>SUMIFS('QUOTED PROJECTS-Earlier Yr'!$L$2:$L$2598,'QUOTED PROJECTS-Earlier Yr'!$Q$2:$Q$2598,"WON",'QUOTED PROJECTS-Earlier Yr'!$K$2:$K$2598,"360",'QUOTED PROJECTS-Earlier Yr'!$H$2:$H$2598,"MTU",'QUOTED PROJECTS-Earlier Yr'!$R$2:$R$2598,"AUG")+SUMIFS('QUOTED PROJECTS-Current Year'!$L$2:$L$2525,'QUOTED PROJECTS-Current Year'!$Q$2:$Q$2525,"WON",'QUOTED PROJECTS-Current Year'!$K$2:$K$2525,"360",'QUOTED PROJECTS-Current Year'!$H$2:$H$2525,"MTU",'QUOTED PROJECTS-Current Year'!$R$2:$R$2525,"AUG")</f>
        <v>0</v>
      </c>
      <c r="L12" s="55"/>
      <c r="M12" s="141">
        <f>SUMIFS('QUOTED PROJECTS-Earlier Yr'!$L$2:$L$2598,'QUOTED PROJECTS-Earlier Yr'!$Q$2:$Q$2598,"WON",'QUOTED PROJECTS-Earlier Yr'!$K$2:$K$2598,"360",'QUOTED PROJECTS-Earlier Yr'!$H$2:$H$2598,"MTU",'QUOTED PROJECTS-Earlier Yr'!$R$2:$R$2598,"SEPT")+SUMIFS('QUOTED PROJECTS-Current Year'!$L$2:$L$2525,'QUOTED PROJECTS-Current Year'!$Q$2:$Q$2525,"WON",'QUOTED PROJECTS-Current Year'!$K$2:$K$2525,"360",'QUOTED PROJECTS-Current Year'!$H$2:$H$2525,"MTU",'QUOTED PROJECTS-Current Year'!$R$2:$R$2525,"SEPT")</f>
        <v>0</v>
      </c>
      <c r="N12" s="109"/>
      <c r="O12" s="141">
        <f>SUMIFS('QUOTED PROJECTS-Earlier Yr'!$L$2:$L$2598,'QUOTED PROJECTS-Earlier Yr'!$Q$2:$Q$2598,"WON",'QUOTED PROJECTS-Earlier Yr'!$K$2:$K$2598,"360",'QUOTED PROJECTS-Earlier Yr'!$H$2:$H$2598,"MTU",'QUOTED PROJECTS-Earlier Yr'!$R$2:$R$2598,"OCT")+SUMIFS('QUOTED PROJECTS-Current Year'!$L$2:$L$2525,'QUOTED PROJECTS-Current Year'!$Q$2:$Q$2525,"WON",'QUOTED PROJECTS-Current Year'!$K$2:$K$2525,"360",'QUOTED PROJECTS-Current Year'!$H$2:$H$2525,"MTU",'QUOTED PROJECTS-Current Year'!$R$2:$R$2525,"OCT")</f>
        <v>0</v>
      </c>
      <c r="P12" s="55"/>
      <c r="Q12" s="141">
        <f>SUMIFS('QUOTED PROJECTS-Earlier Yr'!$L$2:$L$2598,'QUOTED PROJECTS-Earlier Yr'!$Q$2:$Q$2598,"WON",'QUOTED PROJECTS-Earlier Yr'!$K$2:$K$2598,"360",'QUOTED PROJECTS-Earlier Yr'!$H$2:$H$2598,"MTU",'QUOTED PROJECTS-Earlier Yr'!$R$2:$R$2598,"NOV")+SUMIFS('QUOTED PROJECTS-Current Year'!$L$2:$L$2525,'QUOTED PROJECTS-Current Year'!$Q$2:$Q$2525,"WON",'QUOTED PROJECTS-Current Year'!$K$2:$K$2525,"360",'QUOTED PROJECTS-Current Year'!$H$2:$H$2525,"MTU",'QUOTED PROJECTS-Current Year'!$R$2:$R$2525,"NOV")</f>
        <v>0</v>
      </c>
      <c r="R12" s="55"/>
      <c r="S12" s="141">
        <f>SUMIFS('QUOTED PROJECTS-Earlier Yr'!$L$2:$L$2598,'QUOTED PROJECTS-Earlier Yr'!$Q$2:$Q$2598,"WON",'QUOTED PROJECTS-Earlier Yr'!$K$2:$K$2598,"360",'QUOTED PROJECTS-Earlier Yr'!$H$2:$H$2598,"MTU",'QUOTED PROJECTS-Earlier Yr'!$R$2:$R$2598,"DEC")+SUMIFS('QUOTED PROJECTS-Current Year'!$L$2:$L$2525,'QUOTED PROJECTS-Current Year'!$Q$2:$Q$2525,"WON",'QUOTED PROJECTS-Current Year'!$K$2:$K$2525,"360",'QUOTED PROJECTS-Current Year'!$H$2:$H$2525,"MTU",'QUOTED PROJECTS-Current Year'!$R$2:$R$2525,"DEC")</f>
        <v>0</v>
      </c>
      <c r="T12" s="109"/>
      <c r="U12" s="141">
        <f>SUMIFS('QUOTED PROJECTS-Earlier Yr'!$L$2:$L$2598,'QUOTED PROJECTS-Earlier Yr'!$Q$2:$Q$2598,"WON",'QUOTED PROJECTS-Earlier Yr'!$K$2:$K$2598,"360",'QUOTED PROJECTS-Earlier Yr'!$H$2:$H$2598,"MTU",'QUOTED PROJECTS-Earlier Yr'!$R$2:$R$2598,"JAN")+SUMIFS('QUOTED PROJECTS-Current Year'!$L$2:$L$2525,'QUOTED PROJECTS-Current Year'!$Q$2:$Q$2525,"WON",'QUOTED PROJECTS-Current Year'!$K$2:$K$2525,"360",'QUOTED PROJECTS-Current Year'!$H$2:$H$2525,"MTU",'QUOTED PROJECTS-Current Year'!$R$2:$R$2525,"JAN")</f>
        <v>0</v>
      </c>
      <c r="V12" s="55"/>
      <c r="W12" s="141">
        <f>SUMIFS('QUOTED PROJECTS-Earlier Yr'!$L$2:$L$2598,'QUOTED PROJECTS-Earlier Yr'!$Q$2:$Q$2598,"WON",'QUOTED PROJECTS-Earlier Yr'!$K$2:$K$2598,"360",'QUOTED PROJECTS-Earlier Yr'!$H$2:$H$2598,"MTU",'QUOTED PROJECTS-Earlier Yr'!$R$2:$R$2598,"FEB")+SUMIFS('QUOTED PROJECTS-Current Year'!$L$2:$L$2525,'QUOTED PROJECTS-Current Year'!$Q$2:$Q$2525,"WON",'QUOTED PROJECTS-Current Year'!$K$2:$K$2525,"360",'QUOTED PROJECTS-Current Year'!$H$2:$H$2525,"MTU",'QUOTED PROJECTS-Current Year'!$R$2:$R$2525,"FEB")</f>
        <v>0</v>
      </c>
      <c r="X12" s="55"/>
      <c r="Y12" s="141">
        <f>SUMIFS('QUOTED PROJECTS-Earlier Yr'!$L$2:$L$2598,'QUOTED PROJECTS-Earlier Yr'!$Q$2:$Q$2598,"WON",'QUOTED PROJECTS-Earlier Yr'!$K$2:$K$2598,"360",'QUOTED PROJECTS-Earlier Yr'!$H$2:$H$2598,"MTU",'QUOTED PROJECTS-Earlier Yr'!$R$2:$R$2598,"MAR")+SUMIFS('QUOTED PROJECTS-Current Year'!$L$2:$L$2525,'QUOTED PROJECTS-Current Year'!$Q$2:$Q$2525,"WON",'QUOTED PROJECTS-Current Year'!$K$2:$K$2525,"360",'QUOTED PROJECTS-Current Year'!$H$2:$H$2525,"MTU",'QUOTED PROJECTS-Current Year'!$R$2:$R$2525,"MAR")</f>
        <v>0</v>
      </c>
      <c r="Z12" s="57">
        <f>B12+D12+F12+H12+J12+L12+N12+P12+R12+T12+V12+X12</f>
        <v>0</v>
      </c>
      <c r="AA12" s="37">
        <f>C12+E12+G12+I12+K12+M12+O12+Q12+S12+U12+W12+Y12</f>
        <v>0</v>
      </c>
    </row>
    <row r="13" spans="1:30">
      <c r="A13" s="19">
        <v>400</v>
      </c>
      <c r="B13" s="109"/>
      <c r="C13" s="141">
        <f>SUMIFS('QUOTED PROJECTS-Earlier Yr'!$L$2:$L$2598,'QUOTED PROJECTS-Earlier Yr'!$Q$2:$Q$2598,"WON",'QUOTED PROJECTS-Earlier Yr'!$K$2:$K$2598,"400",'QUOTED PROJECTS-Earlier Yr'!$H$2:$H$2598,"MTU",'QUOTED PROJECTS-Earlier Yr'!$R$2:$R$2598,"APR")+SUMIFS('QUOTED PROJECTS-Current Year'!$L$2:$L$2525,'QUOTED PROJECTS-Current Year'!$Q$2:$Q$2525,"WON",'QUOTED PROJECTS-Current Year'!$K$2:$K$2525,"400",'QUOTED PROJECTS-Current Year'!$H$2:$H$2525,"MTU",'QUOTED PROJECTS-Current Year'!$R$2:$R$2525,"APR")</f>
        <v>0</v>
      </c>
      <c r="D13" s="109"/>
      <c r="E13" s="141">
        <f>SUMIFS('QUOTED PROJECTS-Earlier Yr'!$L$2:$L$2598,'QUOTED PROJECTS-Earlier Yr'!$Q$2:$Q$2598,"WON",'QUOTED PROJECTS-Earlier Yr'!$K$2:$K$2598,"400",'QUOTED PROJECTS-Earlier Yr'!$H$2:$H$2598,"MTU",'QUOTED PROJECTS-Earlier Yr'!$R$2:$R$2598,"MAY")+SUMIFS('QUOTED PROJECTS-Current Year'!$L$2:$L$2525,'QUOTED PROJECTS-Current Year'!$Q$2:$Q$2525,"WON",'QUOTED PROJECTS-Current Year'!$K$2:$K$2525,"400",'QUOTED PROJECTS-Current Year'!$H$2:$H$2525,"MTU",'QUOTED PROJECTS-Current Year'!$R$2:$R$2525,"MAY")</f>
        <v>0</v>
      </c>
      <c r="F13" s="55"/>
      <c r="G13" s="141">
        <f>SUMIFS('QUOTED PROJECTS-Earlier Yr'!$L$2:$L$2598,'QUOTED PROJECTS-Earlier Yr'!$Q$2:$Q$2598,"WON",'QUOTED PROJECTS-Earlier Yr'!$K$2:$K$2598,"400",'QUOTED PROJECTS-Earlier Yr'!$H$2:$H$2598,"MTU",'QUOTED PROJECTS-Earlier Yr'!$R$2:$R$2598,"JUN")+SUMIFS('QUOTED PROJECTS-Current Year'!$L$2:$L$2525,'QUOTED PROJECTS-Current Year'!$Q$2:$Q$2525,"WON",'QUOTED PROJECTS-Current Year'!$K$2:$K$2525,"400",'QUOTED PROJECTS-Current Year'!$H$2:$H$2525,"MTU",'QUOTED PROJECTS-Current Year'!$R$2:$R$2525,"JUN")</f>
        <v>0</v>
      </c>
      <c r="H13" s="109"/>
      <c r="I13" s="141">
        <f>SUMIFS('QUOTED PROJECTS-Earlier Yr'!$L$2:$L$2598,'QUOTED PROJECTS-Earlier Yr'!$Q$2:$Q$2598,"WON",'QUOTED PROJECTS-Earlier Yr'!$K$2:$K$2598,"400",'QUOTED PROJECTS-Earlier Yr'!$H$2:$H$2598,"MTU",'QUOTED PROJECTS-Earlier Yr'!$R$2:$R$2598,"JUL")+SUMIFS('QUOTED PROJECTS-Current Year'!$L$2:$L$2525,'QUOTED PROJECTS-Current Year'!$Q$2:$Q$2525,"WON",'QUOTED PROJECTS-Current Year'!$K$2:$K$2525,"400",'QUOTED PROJECTS-Current Year'!$H$2:$H$2525,"MTU",'QUOTED PROJECTS-Current Year'!$R$2:$R$2525,"JUL")</f>
        <v>0</v>
      </c>
      <c r="J13" s="55"/>
      <c r="K13" s="141">
        <f>SUMIFS('QUOTED PROJECTS-Earlier Yr'!$L$2:$L$2598,'QUOTED PROJECTS-Earlier Yr'!$Q$2:$Q$2598,"WON",'QUOTED PROJECTS-Earlier Yr'!$K$2:$K$2598,"400",'QUOTED PROJECTS-Earlier Yr'!$H$2:$H$2598,"MTU",'QUOTED PROJECTS-Earlier Yr'!$R$2:$R$2598,"AUG")+SUMIFS('QUOTED PROJECTS-Current Year'!$L$2:$L$2525,'QUOTED PROJECTS-Current Year'!$Q$2:$Q$2525,"WON",'QUOTED PROJECTS-Current Year'!$K$2:$K$2525,"400",'QUOTED PROJECTS-Current Year'!$H$2:$H$2525,"MTU",'QUOTED PROJECTS-Current Year'!$R$2:$R$2525,"AUG")</f>
        <v>0</v>
      </c>
      <c r="L13" s="55"/>
      <c r="M13" s="141">
        <f>SUMIFS('QUOTED PROJECTS-Earlier Yr'!$L$2:$L$2598,'QUOTED PROJECTS-Earlier Yr'!$Q$2:$Q$2598,"WON",'QUOTED PROJECTS-Earlier Yr'!$K$2:$K$2598,"400",'QUOTED PROJECTS-Earlier Yr'!$H$2:$H$2598,"MTU",'QUOTED PROJECTS-Earlier Yr'!$R$2:$R$2598,"SEPT")+SUMIFS('QUOTED PROJECTS-Current Year'!$L$2:$L$2525,'QUOTED PROJECTS-Current Year'!$Q$2:$Q$2525,"WON",'QUOTED PROJECTS-Current Year'!$K$2:$K$2525,"400",'QUOTED PROJECTS-Current Year'!$H$2:$H$2525,"MTU",'QUOTED PROJECTS-Current Year'!$R$2:$R$2525,"SEPT")</f>
        <v>0</v>
      </c>
      <c r="N13" s="109"/>
      <c r="O13" s="141">
        <f>SUMIFS('QUOTED PROJECTS-Earlier Yr'!$L$2:$L$2598,'QUOTED PROJECTS-Earlier Yr'!$Q$2:$Q$2598,"WON",'QUOTED PROJECTS-Earlier Yr'!$K$2:$K$2598,"400",'QUOTED PROJECTS-Earlier Yr'!$H$2:$H$2598,"MTU",'QUOTED PROJECTS-Earlier Yr'!$R$2:$R$2598,"OCT")+SUMIFS('QUOTED PROJECTS-Current Year'!$L$2:$L$2525,'QUOTED PROJECTS-Current Year'!$Q$2:$Q$2525,"WON",'QUOTED PROJECTS-Current Year'!$K$2:$K$2525,"400",'QUOTED PROJECTS-Current Year'!$H$2:$H$2525,"MTU",'QUOTED PROJECTS-Current Year'!$R$2:$R$2525,"OCT")</f>
        <v>0</v>
      </c>
      <c r="P13" s="55"/>
      <c r="Q13" s="141">
        <f>SUMIFS('QUOTED PROJECTS-Earlier Yr'!$L$2:$L$2598,'QUOTED PROJECTS-Earlier Yr'!$Q$2:$Q$2598,"WON",'QUOTED PROJECTS-Earlier Yr'!$K$2:$K$2598,"400",'QUOTED PROJECTS-Earlier Yr'!$H$2:$H$2598,"MTU",'QUOTED PROJECTS-Earlier Yr'!$R$2:$R$2598,"NOV")+SUMIFS('QUOTED PROJECTS-Current Year'!$L$2:$L$2525,'QUOTED PROJECTS-Current Year'!$Q$2:$Q$2525,"WON",'QUOTED PROJECTS-Current Year'!$K$2:$K$2525,"400",'QUOTED PROJECTS-Current Year'!$H$2:$H$2525,"MTU",'QUOTED PROJECTS-Current Year'!$R$2:$R$2525,"NOV")</f>
        <v>0</v>
      </c>
      <c r="R13" s="55"/>
      <c r="S13" s="141">
        <f>SUMIFS('QUOTED PROJECTS-Earlier Yr'!$L$2:$L$2598,'QUOTED PROJECTS-Earlier Yr'!$Q$2:$Q$2598,"WON",'QUOTED PROJECTS-Earlier Yr'!$K$2:$K$2598,"400",'QUOTED PROJECTS-Earlier Yr'!$H$2:$H$2598,"MTU",'QUOTED PROJECTS-Earlier Yr'!$R$2:$R$2598,"DEC")+SUMIFS('QUOTED PROJECTS-Current Year'!$L$2:$L$2525,'QUOTED PROJECTS-Current Year'!$Q$2:$Q$2525,"WON",'QUOTED PROJECTS-Current Year'!$K$2:$K$2525,"400",'QUOTED PROJECTS-Current Year'!$H$2:$H$2525,"MTU",'QUOTED PROJECTS-Current Year'!$R$2:$R$2525,"DEC")</f>
        <v>0</v>
      </c>
      <c r="T13" s="109"/>
      <c r="U13" s="141">
        <f>SUMIFS('QUOTED PROJECTS-Earlier Yr'!$L$2:$L$2598,'QUOTED PROJECTS-Earlier Yr'!$Q$2:$Q$2598,"WON",'QUOTED PROJECTS-Earlier Yr'!$K$2:$K$2598,"400",'QUOTED PROJECTS-Earlier Yr'!$H$2:$H$2598,"MTU",'QUOTED PROJECTS-Earlier Yr'!$R$2:$R$2598,"JAN")+SUMIFS('QUOTED PROJECTS-Current Year'!$L$2:$L$2525,'QUOTED PROJECTS-Current Year'!$Q$2:$Q$2525,"WON",'QUOTED PROJECTS-Current Year'!$K$2:$K$2525,"400",'QUOTED PROJECTS-Current Year'!$H$2:$H$2525,"MTU",'QUOTED PROJECTS-Current Year'!$R$2:$R$2525,"JAN")</f>
        <v>0</v>
      </c>
      <c r="V13" s="55"/>
      <c r="W13" s="141">
        <f>SUMIFS('QUOTED PROJECTS-Earlier Yr'!$L$2:$L$2598,'QUOTED PROJECTS-Earlier Yr'!$Q$2:$Q$2598,"WON",'QUOTED PROJECTS-Earlier Yr'!$K$2:$K$2598,"400",'QUOTED PROJECTS-Earlier Yr'!$H$2:$H$2598,"MTU",'QUOTED PROJECTS-Earlier Yr'!$R$2:$R$2598,"FEB")+SUMIFS('QUOTED PROJECTS-Current Year'!$L$2:$L$2525,'QUOTED PROJECTS-Current Year'!$Q$2:$Q$2525,"WON",'QUOTED PROJECTS-Current Year'!$K$2:$K$2525,"400",'QUOTED PROJECTS-Current Year'!$H$2:$H$2525,"MTU",'QUOTED PROJECTS-Current Year'!$R$2:$R$2525,"FEB")</f>
        <v>0</v>
      </c>
      <c r="X13" s="55"/>
      <c r="Y13" s="141">
        <f>SUMIFS('QUOTED PROJECTS-Earlier Yr'!$L$2:$L$2598,'QUOTED PROJECTS-Earlier Yr'!$Q$2:$Q$2598,"WON",'QUOTED PROJECTS-Earlier Yr'!$K$2:$K$2598,"400",'QUOTED PROJECTS-Earlier Yr'!$H$2:$H$2598,"MTU",'QUOTED PROJECTS-Earlier Yr'!$R$2:$R$2598,"MAR")+SUMIFS('QUOTED PROJECTS-Current Year'!$L$2:$L$2525,'QUOTED PROJECTS-Current Year'!$Q$2:$Q$2525,"WON",'QUOTED PROJECTS-Current Year'!$K$2:$K$2525,"400",'QUOTED PROJECTS-Current Year'!$H$2:$H$2525,"MTU",'QUOTED PROJECTS-Current Year'!$R$2:$R$2525,"MAR")</f>
        <v>0</v>
      </c>
      <c r="Z13" s="57">
        <f t="shared" si="0"/>
        <v>0</v>
      </c>
      <c r="AA13" s="37">
        <f t="shared" si="0"/>
        <v>0</v>
      </c>
    </row>
    <row r="14" spans="1:30">
      <c r="A14" s="19">
        <v>450</v>
      </c>
      <c r="B14" s="109"/>
      <c r="C14" s="141">
        <f>SUMIFS('QUOTED PROJECTS-Earlier Yr'!$L$2:$L$2598,'QUOTED PROJECTS-Earlier Yr'!$Q$2:$Q$2598,"WON",'QUOTED PROJECTS-Earlier Yr'!$K$2:$K$2598,"450",'QUOTED PROJECTS-Earlier Yr'!$H$2:$H$2598,"MTU",'QUOTED PROJECTS-Earlier Yr'!$R$2:$R$2598,"APR")+SUMIFS('QUOTED PROJECTS-Current Year'!$L$2:$L$2525,'QUOTED PROJECTS-Current Year'!$Q$2:$Q$2525,"WON",'QUOTED PROJECTS-Current Year'!$K$2:$K$2525,"450",'QUOTED PROJECTS-Current Year'!$H$2:$H$2525,"MTU",'QUOTED PROJECTS-Current Year'!$R$2:$R$2525,"APR")</f>
        <v>0</v>
      </c>
      <c r="D14" s="109"/>
      <c r="E14" s="141">
        <f>SUMIFS('QUOTED PROJECTS-Earlier Yr'!$L$2:$L$2598,'QUOTED PROJECTS-Earlier Yr'!$Q$2:$Q$2598,"WON",'QUOTED PROJECTS-Earlier Yr'!$K$2:$K$2598,"450",'QUOTED PROJECTS-Earlier Yr'!$H$2:$H$2598,"MTU",'QUOTED PROJECTS-Earlier Yr'!$R$2:$R$2598,"MAY")+SUMIFS('QUOTED PROJECTS-Current Year'!$L$2:$L$2525,'QUOTED PROJECTS-Current Year'!$Q$2:$Q$2525,"WON",'QUOTED PROJECTS-Current Year'!$K$2:$K$2525,"450",'QUOTED PROJECTS-Current Year'!$H$2:$H$2525,"MTU",'QUOTED PROJECTS-Current Year'!$R$2:$R$2525,"MAY")</f>
        <v>0</v>
      </c>
      <c r="F14" s="55"/>
      <c r="G14" s="141">
        <f>SUMIFS('QUOTED PROJECTS-Earlier Yr'!$L$2:$L$2598,'QUOTED PROJECTS-Earlier Yr'!$Q$2:$Q$2598,"WON",'QUOTED PROJECTS-Earlier Yr'!$K$2:$K$2598,"450",'QUOTED PROJECTS-Earlier Yr'!$H$2:$H$2598,"MTU",'QUOTED PROJECTS-Earlier Yr'!$R$2:$R$2598,"JUN")+SUMIFS('QUOTED PROJECTS-Current Year'!$L$2:$L$2525,'QUOTED PROJECTS-Current Year'!$Q$2:$Q$2525,"WON",'QUOTED PROJECTS-Current Year'!$K$2:$K$2525,"450",'QUOTED PROJECTS-Current Year'!$H$2:$H$2525,"MTU",'QUOTED PROJECTS-Current Year'!$R$2:$R$2525,"JUN")</f>
        <v>0</v>
      </c>
      <c r="H14" s="109"/>
      <c r="I14" s="141">
        <f>SUMIFS('QUOTED PROJECTS-Earlier Yr'!$L$2:$L$2598,'QUOTED PROJECTS-Earlier Yr'!$Q$2:$Q$2598,"WON",'QUOTED PROJECTS-Earlier Yr'!$K$2:$K$2598,"450",'QUOTED PROJECTS-Earlier Yr'!$H$2:$H$2598,"MTU",'QUOTED PROJECTS-Earlier Yr'!$R$2:$R$2598,"JUL")+SUMIFS('QUOTED PROJECTS-Current Year'!$L$2:$L$2525,'QUOTED PROJECTS-Current Year'!$Q$2:$Q$2525,"WON",'QUOTED PROJECTS-Current Year'!$K$2:$K$2525,"450",'QUOTED PROJECTS-Current Year'!$H$2:$H$2525,"MTU",'QUOTED PROJECTS-Current Year'!$R$2:$R$2525,"JUL")</f>
        <v>0</v>
      </c>
      <c r="J14" s="55"/>
      <c r="K14" s="141">
        <f>SUMIFS('QUOTED PROJECTS-Earlier Yr'!$L$2:$L$2598,'QUOTED PROJECTS-Earlier Yr'!$Q$2:$Q$2598,"WON",'QUOTED PROJECTS-Earlier Yr'!$K$2:$K$2598,"450",'QUOTED PROJECTS-Earlier Yr'!$H$2:$H$2598,"MTU",'QUOTED PROJECTS-Earlier Yr'!$R$2:$R$2598,"AUG")+SUMIFS('QUOTED PROJECTS-Current Year'!$L$2:$L$2525,'QUOTED PROJECTS-Current Year'!$Q$2:$Q$2525,"WON",'QUOTED PROJECTS-Current Year'!$K$2:$K$2525,"450",'QUOTED PROJECTS-Current Year'!$H$2:$H$2525,"MTU",'QUOTED PROJECTS-Current Year'!$R$2:$R$2525,"AUG")</f>
        <v>0</v>
      </c>
      <c r="L14" s="55"/>
      <c r="M14" s="141">
        <f>SUMIFS('QUOTED PROJECTS-Earlier Yr'!$L$2:$L$2598,'QUOTED PROJECTS-Earlier Yr'!$Q$2:$Q$2598,"WON",'QUOTED PROJECTS-Earlier Yr'!$K$2:$K$2598,"450",'QUOTED PROJECTS-Earlier Yr'!$H$2:$H$2598,"MTU",'QUOTED PROJECTS-Earlier Yr'!$R$2:$R$2598,"SEPT")+SUMIFS('QUOTED PROJECTS-Current Year'!$L$2:$L$2525,'QUOTED PROJECTS-Current Year'!$Q$2:$Q$2525,"WON",'QUOTED PROJECTS-Current Year'!$K$2:$K$2525,"450",'QUOTED PROJECTS-Current Year'!$H$2:$H$2525,"MTU",'QUOTED PROJECTS-Current Year'!$R$2:$R$2525,"SEPT")</f>
        <v>0</v>
      </c>
      <c r="N14" s="109"/>
      <c r="O14" s="141">
        <f>SUMIFS('QUOTED PROJECTS-Earlier Yr'!$L$2:$L$2598,'QUOTED PROJECTS-Earlier Yr'!$Q$2:$Q$2598,"WON",'QUOTED PROJECTS-Earlier Yr'!$K$2:$K$2598,"450",'QUOTED PROJECTS-Earlier Yr'!$H$2:$H$2598,"MTU",'QUOTED PROJECTS-Earlier Yr'!$R$2:$R$2598,"OCT")+SUMIFS('QUOTED PROJECTS-Current Year'!$L$2:$L$2525,'QUOTED PROJECTS-Current Year'!$Q$2:$Q$2525,"WON",'QUOTED PROJECTS-Current Year'!$K$2:$K$2525,"450",'QUOTED PROJECTS-Current Year'!$H$2:$H$2525,"MTU",'QUOTED PROJECTS-Current Year'!$R$2:$R$2525,"OCT")</f>
        <v>0</v>
      </c>
      <c r="P14" s="55"/>
      <c r="Q14" s="141">
        <f>SUMIFS('QUOTED PROJECTS-Earlier Yr'!$L$2:$L$2598,'QUOTED PROJECTS-Earlier Yr'!$Q$2:$Q$2598,"WON",'QUOTED PROJECTS-Earlier Yr'!$K$2:$K$2598,"450",'QUOTED PROJECTS-Earlier Yr'!$H$2:$H$2598,"MTU",'QUOTED PROJECTS-Earlier Yr'!$R$2:$R$2598,"NOV")+SUMIFS('QUOTED PROJECTS-Current Year'!$L$2:$L$2525,'QUOTED PROJECTS-Current Year'!$Q$2:$Q$2525,"WON",'QUOTED PROJECTS-Current Year'!$K$2:$K$2525,"450",'QUOTED PROJECTS-Current Year'!$H$2:$H$2525,"MTU",'QUOTED PROJECTS-Current Year'!$R$2:$R$2525,"NOV")</f>
        <v>0</v>
      </c>
      <c r="R14" s="55"/>
      <c r="S14" s="141">
        <f>SUMIFS('QUOTED PROJECTS-Earlier Yr'!$L$2:$L$2598,'QUOTED PROJECTS-Earlier Yr'!$Q$2:$Q$2598,"WON",'QUOTED PROJECTS-Earlier Yr'!$K$2:$K$2598,"450",'QUOTED PROJECTS-Earlier Yr'!$H$2:$H$2598,"MTU",'QUOTED PROJECTS-Earlier Yr'!$R$2:$R$2598,"DEC")+SUMIFS('QUOTED PROJECTS-Current Year'!$L$2:$L$2525,'QUOTED PROJECTS-Current Year'!$Q$2:$Q$2525,"WON",'QUOTED PROJECTS-Current Year'!$K$2:$K$2525,"450",'QUOTED PROJECTS-Current Year'!$H$2:$H$2525,"MTU",'QUOTED PROJECTS-Current Year'!$R$2:$R$2525,"DEC")</f>
        <v>0</v>
      </c>
      <c r="T14" s="109"/>
      <c r="U14" s="141">
        <f>SUMIFS('QUOTED PROJECTS-Earlier Yr'!$L$2:$L$2598,'QUOTED PROJECTS-Earlier Yr'!$Q$2:$Q$2598,"WON",'QUOTED PROJECTS-Earlier Yr'!$K$2:$K$2598,"450",'QUOTED PROJECTS-Earlier Yr'!$H$2:$H$2598,"MTU",'QUOTED PROJECTS-Earlier Yr'!$R$2:$R$2598,"JAN")+SUMIFS('QUOTED PROJECTS-Current Year'!$L$2:$L$2525,'QUOTED PROJECTS-Current Year'!$Q$2:$Q$2525,"WON",'QUOTED PROJECTS-Current Year'!$K$2:$K$2525,"450",'QUOTED PROJECTS-Current Year'!$H$2:$H$2525,"MTU",'QUOTED PROJECTS-Current Year'!$R$2:$R$2525,"JAN")</f>
        <v>0</v>
      </c>
      <c r="V14" s="55"/>
      <c r="W14" s="141">
        <f>SUMIFS('QUOTED PROJECTS-Earlier Yr'!$L$2:$L$2598,'QUOTED PROJECTS-Earlier Yr'!$Q$2:$Q$2598,"WON",'QUOTED PROJECTS-Earlier Yr'!$K$2:$K$2598,"450",'QUOTED PROJECTS-Earlier Yr'!$H$2:$H$2598,"MTU",'QUOTED PROJECTS-Earlier Yr'!$R$2:$R$2598,"FEB")+SUMIFS('QUOTED PROJECTS-Current Year'!$L$2:$L$2525,'QUOTED PROJECTS-Current Year'!$Q$2:$Q$2525,"WON",'QUOTED PROJECTS-Current Year'!$K$2:$K$2525,"450",'QUOTED PROJECTS-Current Year'!$H$2:$H$2525,"MTU",'QUOTED PROJECTS-Current Year'!$R$2:$R$2525,"FEB")</f>
        <v>0</v>
      </c>
      <c r="X14" s="55"/>
      <c r="Y14" s="141">
        <f>SUMIFS('QUOTED PROJECTS-Earlier Yr'!$L$2:$L$2598,'QUOTED PROJECTS-Earlier Yr'!$Q$2:$Q$2598,"WON",'QUOTED PROJECTS-Earlier Yr'!$K$2:$K$2598,"450",'QUOTED PROJECTS-Earlier Yr'!$H$2:$H$2598,"MTU",'QUOTED PROJECTS-Earlier Yr'!$R$2:$R$2598,"MAR")+SUMIFS('QUOTED PROJECTS-Current Year'!$L$2:$L$2525,'QUOTED PROJECTS-Current Year'!$Q$2:$Q$2525,"WON",'QUOTED PROJECTS-Current Year'!$K$2:$K$2525,"450",'QUOTED PROJECTS-Current Year'!$H$2:$H$2525,"MTU",'QUOTED PROJECTS-Current Year'!$R$2:$R$2525,"MAR")</f>
        <v>0</v>
      </c>
      <c r="Z14" s="57">
        <f t="shared" si="0"/>
        <v>0</v>
      </c>
      <c r="AA14" s="37">
        <f t="shared" si="0"/>
        <v>0</v>
      </c>
    </row>
    <row r="15" spans="1:30">
      <c r="A15" s="19">
        <v>500</v>
      </c>
      <c r="B15" s="55"/>
      <c r="C15" s="141">
        <f>SUMIFS('QUOTED PROJECTS-Earlier Yr'!$L$2:$L$2598,'QUOTED PROJECTS-Earlier Yr'!$Q$2:$Q$2598,"WON",'QUOTED PROJECTS-Earlier Yr'!$K$2:$K$2598,"500",'QUOTED PROJECTS-Earlier Yr'!$H$2:$H$2598,"MTU",'QUOTED PROJECTS-Earlier Yr'!$R$2:$R$2598,"APR")+SUMIFS('QUOTED PROJECTS-Current Year'!$L$2:$L$2525,'QUOTED PROJECTS-Current Year'!$Q$2:$Q$2525,"WON",'QUOTED PROJECTS-Current Year'!$K$2:$K$2525,"500",'QUOTED PROJECTS-Current Year'!$H$2:$H$2525,"MTU",'QUOTED PROJECTS-Current Year'!$R$2:$R$2525,"APR")</f>
        <v>0</v>
      </c>
      <c r="D15" s="55"/>
      <c r="E15" s="141">
        <f>SUMIFS('QUOTED PROJECTS-Earlier Yr'!$L$2:$L$2598,'QUOTED PROJECTS-Earlier Yr'!$Q$2:$Q$2598,"WON",'QUOTED PROJECTS-Earlier Yr'!$K$2:$K$2598,"500",'QUOTED PROJECTS-Earlier Yr'!$H$2:$H$2598,"MTU",'QUOTED PROJECTS-Earlier Yr'!$R$2:$R$2598,"MAY")+SUMIFS('QUOTED PROJECTS-Current Year'!$L$2:$L$2525,'QUOTED PROJECTS-Current Year'!$Q$2:$Q$2525,"WON",'QUOTED PROJECTS-Current Year'!$K$2:$K$2525,"500",'QUOTED PROJECTS-Current Year'!$H$2:$H$2525,"MTU",'QUOTED PROJECTS-Current Year'!$R$2:$R$2525,"MAY")</f>
        <v>0</v>
      </c>
      <c r="F15" s="55"/>
      <c r="G15" s="141">
        <f>SUMIFS('QUOTED PROJECTS-Earlier Yr'!$L$2:$L$2598,'QUOTED PROJECTS-Earlier Yr'!$Q$2:$Q$2598,"WON",'QUOTED PROJECTS-Earlier Yr'!$K$2:$K$2598,"500",'QUOTED PROJECTS-Earlier Yr'!$H$2:$H$2598,"MTU",'QUOTED PROJECTS-Earlier Yr'!$R$2:$R$2598,"JUN")+SUMIFS('QUOTED PROJECTS-Current Year'!$L$2:$L$2525,'QUOTED PROJECTS-Current Year'!$Q$2:$Q$2525,"WON",'QUOTED PROJECTS-Current Year'!$K$2:$K$2525,"500",'QUOTED PROJECTS-Current Year'!$H$2:$H$2525,"MTU",'QUOTED PROJECTS-Current Year'!$R$2:$R$2525,"JUN")</f>
        <v>0</v>
      </c>
      <c r="H15" s="55"/>
      <c r="I15" s="141">
        <f>SUMIFS('QUOTED PROJECTS-Earlier Yr'!$L$2:$L$2598,'QUOTED PROJECTS-Earlier Yr'!$Q$2:$Q$2598,"WON",'QUOTED PROJECTS-Earlier Yr'!$K$2:$K$2598,"500",'QUOTED PROJECTS-Earlier Yr'!$H$2:$H$2598,"MTU",'QUOTED PROJECTS-Earlier Yr'!$R$2:$R$2598,"JUL")+SUMIFS('QUOTED PROJECTS-Current Year'!$L$2:$L$2525,'QUOTED PROJECTS-Current Year'!$Q$2:$Q$2525,"WON",'QUOTED PROJECTS-Current Year'!$K$2:$K$2525,"500",'QUOTED PROJECTS-Current Year'!$H$2:$H$2525,"MTU",'QUOTED PROJECTS-Current Year'!$R$2:$R$2525,"JUL")</f>
        <v>0</v>
      </c>
      <c r="J15" s="55"/>
      <c r="K15" s="141">
        <f>SUMIFS('QUOTED PROJECTS-Earlier Yr'!$L$2:$L$2598,'QUOTED PROJECTS-Earlier Yr'!$Q$2:$Q$2598,"WON",'QUOTED PROJECTS-Earlier Yr'!$K$2:$K$2598,"500",'QUOTED PROJECTS-Earlier Yr'!$H$2:$H$2598,"MTU",'QUOTED PROJECTS-Earlier Yr'!$R$2:$R$2598,"AUG")+SUMIFS('QUOTED PROJECTS-Current Year'!$L$2:$L$2525,'QUOTED PROJECTS-Current Year'!$Q$2:$Q$2525,"WON",'QUOTED PROJECTS-Current Year'!$K$2:$K$2525,"500",'QUOTED PROJECTS-Current Year'!$H$2:$H$2525,"MTU",'QUOTED PROJECTS-Current Year'!$R$2:$R$2525,"AUG")</f>
        <v>0</v>
      </c>
      <c r="L15" s="55"/>
      <c r="M15" s="141">
        <f>SUMIFS('QUOTED PROJECTS-Earlier Yr'!$L$2:$L$2598,'QUOTED PROJECTS-Earlier Yr'!$Q$2:$Q$2598,"WON",'QUOTED PROJECTS-Earlier Yr'!$K$2:$K$2598,"500",'QUOTED PROJECTS-Earlier Yr'!$H$2:$H$2598,"MTU",'QUOTED PROJECTS-Earlier Yr'!$R$2:$R$2598,"SEPT")+SUMIFS('QUOTED PROJECTS-Current Year'!$L$2:$L$2525,'QUOTED PROJECTS-Current Year'!$Q$2:$Q$2525,"WON",'QUOTED PROJECTS-Current Year'!$K$2:$K$2525,"500",'QUOTED PROJECTS-Current Year'!$H$2:$H$2525,"MTU",'QUOTED PROJECTS-Current Year'!$R$2:$R$2525,"SEPT")</f>
        <v>0</v>
      </c>
      <c r="N15" s="55"/>
      <c r="O15" s="141">
        <f>SUMIFS('QUOTED PROJECTS-Earlier Yr'!$L$2:$L$2598,'QUOTED PROJECTS-Earlier Yr'!$Q$2:$Q$2598,"WON",'QUOTED PROJECTS-Earlier Yr'!$K$2:$K$2598,"500",'QUOTED PROJECTS-Earlier Yr'!$H$2:$H$2598,"MTU",'QUOTED PROJECTS-Earlier Yr'!$R$2:$R$2598,"OCT")+SUMIFS('QUOTED PROJECTS-Current Year'!$L$2:$L$2525,'QUOTED PROJECTS-Current Year'!$Q$2:$Q$2525,"WON",'QUOTED PROJECTS-Current Year'!$K$2:$K$2525,"500",'QUOTED PROJECTS-Current Year'!$H$2:$H$2525,"MTU",'QUOTED PROJECTS-Current Year'!$R$2:$R$2525,"OCT")</f>
        <v>0</v>
      </c>
      <c r="P15" s="55"/>
      <c r="Q15" s="141">
        <f>SUMIFS('QUOTED PROJECTS-Earlier Yr'!$L$2:$L$2598,'QUOTED PROJECTS-Earlier Yr'!$Q$2:$Q$2598,"WON",'QUOTED PROJECTS-Earlier Yr'!$K$2:$K$2598,"500",'QUOTED PROJECTS-Earlier Yr'!$H$2:$H$2598,"MTU",'QUOTED PROJECTS-Earlier Yr'!$R$2:$R$2598,"NOV")+SUMIFS('QUOTED PROJECTS-Current Year'!$L$2:$L$2525,'QUOTED PROJECTS-Current Year'!$Q$2:$Q$2525,"WON",'QUOTED PROJECTS-Current Year'!$K$2:$K$2525,"500",'QUOTED PROJECTS-Current Year'!$H$2:$H$2525,"MTU",'QUOTED PROJECTS-Current Year'!$R$2:$R$2525,"NOV")</f>
        <v>0</v>
      </c>
      <c r="R15" s="55"/>
      <c r="S15" s="141">
        <f>SUMIFS('QUOTED PROJECTS-Earlier Yr'!$L$2:$L$2598,'QUOTED PROJECTS-Earlier Yr'!$Q$2:$Q$2598,"WON",'QUOTED PROJECTS-Earlier Yr'!$K$2:$K$2598,"500",'QUOTED PROJECTS-Earlier Yr'!$H$2:$H$2598,"MTU",'QUOTED PROJECTS-Earlier Yr'!$R$2:$R$2598,"DEC")+SUMIFS('QUOTED PROJECTS-Current Year'!$L$2:$L$2525,'QUOTED PROJECTS-Current Year'!$Q$2:$Q$2525,"WON",'QUOTED PROJECTS-Current Year'!$K$2:$K$2525,"500",'QUOTED PROJECTS-Current Year'!$H$2:$H$2525,"MTU",'QUOTED PROJECTS-Current Year'!$R$2:$R$2525,"DEC")</f>
        <v>0</v>
      </c>
      <c r="T15" s="55"/>
      <c r="U15" s="141">
        <f>SUMIFS('QUOTED PROJECTS-Earlier Yr'!$L$2:$L$2598,'QUOTED PROJECTS-Earlier Yr'!$Q$2:$Q$2598,"WON",'QUOTED PROJECTS-Earlier Yr'!$K$2:$K$2598,"500",'QUOTED PROJECTS-Earlier Yr'!$H$2:$H$2598,"MTU",'QUOTED PROJECTS-Earlier Yr'!$R$2:$R$2598,"JAN")+SUMIFS('QUOTED PROJECTS-Current Year'!$L$2:$L$2525,'QUOTED PROJECTS-Current Year'!$Q$2:$Q$2525,"WON",'QUOTED PROJECTS-Current Year'!$K$2:$K$2525,"500",'QUOTED PROJECTS-Current Year'!$H$2:$H$2525,"MTU",'QUOTED PROJECTS-Current Year'!$R$2:$R$2525,"JAN")</f>
        <v>0</v>
      </c>
      <c r="V15" s="55"/>
      <c r="W15" s="141">
        <f>SUMIFS('QUOTED PROJECTS-Earlier Yr'!$L$2:$L$2598,'QUOTED PROJECTS-Earlier Yr'!$Q$2:$Q$2598,"WON",'QUOTED PROJECTS-Earlier Yr'!$K$2:$K$2598,"500",'QUOTED PROJECTS-Earlier Yr'!$H$2:$H$2598,"MTU",'QUOTED PROJECTS-Earlier Yr'!$R$2:$R$2598,"FEB")+SUMIFS('QUOTED PROJECTS-Current Year'!$L$2:$L$2525,'QUOTED PROJECTS-Current Year'!$Q$2:$Q$2525,"WON",'QUOTED PROJECTS-Current Year'!$K$2:$K$2525,"500",'QUOTED PROJECTS-Current Year'!$H$2:$H$2525,"MTU",'QUOTED PROJECTS-Current Year'!$R$2:$R$2525,"FEB")</f>
        <v>0</v>
      </c>
      <c r="X15" s="55"/>
      <c r="Y15" s="141">
        <f>SUMIFS('QUOTED PROJECTS-Earlier Yr'!$L$2:$L$2598,'QUOTED PROJECTS-Earlier Yr'!$Q$2:$Q$2598,"WON",'QUOTED PROJECTS-Earlier Yr'!$K$2:$K$2598,"500",'QUOTED PROJECTS-Earlier Yr'!$H$2:$H$2598,"MTU",'QUOTED PROJECTS-Earlier Yr'!$R$2:$R$2598,"MAR")+SUMIFS('QUOTED PROJECTS-Current Year'!$L$2:$L$2525,'QUOTED PROJECTS-Current Year'!$Q$2:$Q$2525,"WON",'QUOTED PROJECTS-Current Year'!$K$2:$K$2525,"500",'QUOTED PROJECTS-Current Year'!$H$2:$H$2525,"MTU",'QUOTED PROJECTS-Current Year'!$R$2:$R$2525,"MAR")</f>
        <v>0</v>
      </c>
      <c r="Z15" s="57">
        <f>B15+D15+F15+H15+J15+L15+N15+P15+R15+T15+V15+X15</f>
        <v>0</v>
      </c>
      <c r="AA15" s="37">
        <f>C15+E15+G15+I15+K15+M15+O15+Q15+S15+U15+W15+Y15</f>
        <v>0</v>
      </c>
    </row>
    <row r="16" spans="1:30">
      <c r="A16" s="19">
        <v>590</v>
      </c>
      <c r="B16" s="109"/>
      <c r="C16" s="141">
        <f>SUMIFS('QUOTED PROJECTS-Earlier Yr'!$L$2:$L$2598,'QUOTED PROJECTS-Earlier Yr'!$Q$2:$Q$2598,"WON",'QUOTED PROJECTS-Earlier Yr'!$K$2:$K$2598,"590",'QUOTED PROJECTS-Earlier Yr'!$H$2:$H$2598,"MTU",'QUOTED PROJECTS-Earlier Yr'!$R$2:$R$2598,"APR")+SUMIFS('QUOTED PROJECTS-Current Year'!$L$2:$L$2525,'QUOTED PROJECTS-Current Year'!$Q$2:$Q$2525,"WON",'QUOTED PROJECTS-Current Year'!$K$2:$K$2525,"590",'QUOTED PROJECTS-Current Year'!$H$2:$H$2525,"MTU",'QUOTED PROJECTS-Current Year'!$R$2:$R$2525,"APR")</f>
        <v>0</v>
      </c>
      <c r="D16" s="109"/>
      <c r="E16" s="141">
        <f>SUMIFS('QUOTED PROJECTS-Earlier Yr'!$L$2:$L$2598,'QUOTED PROJECTS-Earlier Yr'!$Q$2:$Q$2598,"WON",'QUOTED PROJECTS-Earlier Yr'!$K$2:$K$2598,"590",'QUOTED PROJECTS-Earlier Yr'!$H$2:$H$2598,"MTU",'QUOTED PROJECTS-Earlier Yr'!$R$2:$R$2598,"MAY")+SUMIFS('QUOTED PROJECTS-Current Year'!$L$2:$L$2525,'QUOTED PROJECTS-Current Year'!$Q$2:$Q$2525,"WON",'QUOTED PROJECTS-Current Year'!$K$2:$K$2525,"590",'QUOTED PROJECTS-Current Year'!$H$2:$H$2525,"MTU",'QUOTED PROJECTS-Current Year'!$R$2:$R$2525,"MAY")</f>
        <v>0</v>
      </c>
      <c r="F16" s="55"/>
      <c r="G16" s="141">
        <f>SUMIFS('QUOTED PROJECTS-Earlier Yr'!$L$2:$L$2598,'QUOTED PROJECTS-Earlier Yr'!$Q$2:$Q$2598,"WON",'QUOTED PROJECTS-Earlier Yr'!$K$2:$K$2598,"590",'QUOTED PROJECTS-Earlier Yr'!$H$2:$H$2598,"MTU",'QUOTED PROJECTS-Earlier Yr'!$R$2:$R$2598,"JUN")+SUMIFS('QUOTED PROJECTS-Current Year'!$L$2:$L$2525,'QUOTED PROJECTS-Current Year'!$Q$2:$Q$2525,"WON",'QUOTED PROJECTS-Current Year'!$K$2:$K$2525,"590",'QUOTED PROJECTS-Current Year'!$H$2:$H$2525,"MTU",'QUOTED PROJECTS-Current Year'!$R$2:$R$2525,"JUN")</f>
        <v>0</v>
      </c>
      <c r="H16" s="109"/>
      <c r="I16" s="141">
        <f>SUMIFS('QUOTED PROJECTS-Earlier Yr'!$L$2:$L$2598,'QUOTED PROJECTS-Earlier Yr'!$Q$2:$Q$2598,"WON",'QUOTED PROJECTS-Earlier Yr'!$K$2:$K$2598,"590",'QUOTED PROJECTS-Earlier Yr'!$H$2:$H$2598,"MTU",'QUOTED PROJECTS-Earlier Yr'!$R$2:$R$2598,"JUL")+SUMIFS('QUOTED PROJECTS-Current Year'!$L$2:$L$2525,'QUOTED PROJECTS-Current Year'!$Q$2:$Q$2525,"WON",'QUOTED PROJECTS-Current Year'!$K$2:$K$2525,"590",'QUOTED PROJECTS-Current Year'!$H$2:$H$2525,"MTU",'QUOTED PROJECTS-Current Year'!$R$2:$R$2525,"JUL")</f>
        <v>0</v>
      </c>
      <c r="J16" s="55"/>
      <c r="K16" s="141">
        <f>SUMIFS('QUOTED PROJECTS-Earlier Yr'!$L$2:$L$2598,'QUOTED PROJECTS-Earlier Yr'!$Q$2:$Q$2598,"WON",'QUOTED PROJECTS-Earlier Yr'!$K$2:$K$2598,"590",'QUOTED PROJECTS-Earlier Yr'!$H$2:$H$2598,"MTU",'QUOTED PROJECTS-Earlier Yr'!$R$2:$R$2598,"AUG")+SUMIFS('QUOTED PROJECTS-Current Year'!$L$2:$L$2525,'QUOTED PROJECTS-Current Year'!$Q$2:$Q$2525,"WON",'QUOTED PROJECTS-Current Year'!$K$2:$K$2525,"590",'QUOTED PROJECTS-Current Year'!$H$2:$H$2525,"MTU",'QUOTED PROJECTS-Current Year'!$R$2:$R$2525,"AUG")</f>
        <v>0</v>
      </c>
      <c r="L16" s="55"/>
      <c r="M16" s="141">
        <f>SUMIFS('QUOTED PROJECTS-Earlier Yr'!$L$2:$L$2598,'QUOTED PROJECTS-Earlier Yr'!$Q$2:$Q$2598,"WON",'QUOTED PROJECTS-Earlier Yr'!$K$2:$K$2598,"590",'QUOTED PROJECTS-Earlier Yr'!$H$2:$H$2598,"MTU",'QUOTED PROJECTS-Earlier Yr'!$R$2:$R$2598,"SEPT")+SUMIFS('QUOTED PROJECTS-Current Year'!$L$2:$L$2525,'QUOTED PROJECTS-Current Year'!$Q$2:$Q$2525,"WON",'QUOTED PROJECTS-Current Year'!$K$2:$K$2525,"590",'QUOTED PROJECTS-Current Year'!$H$2:$H$2525,"MTU",'QUOTED PROJECTS-Current Year'!$R$2:$R$2525,"SEPT")</f>
        <v>0</v>
      </c>
      <c r="N16" s="109"/>
      <c r="O16" s="141">
        <f>SUMIFS('QUOTED PROJECTS-Earlier Yr'!$L$2:$L$2598,'QUOTED PROJECTS-Earlier Yr'!$Q$2:$Q$2598,"WON",'QUOTED PROJECTS-Earlier Yr'!$K$2:$K$2598,"590",'QUOTED PROJECTS-Earlier Yr'!$H$2:$H$2598,"MTU",'QUOTED PROJECTS-Earlier Yr'!$R$2:$R$2598,"OCT")+SUMIFS('QUOTED PROJECTS-Current Year'!$L$2:$L$2525,'QUOTED PROJECTS-Current Year'!$Q$2:$Q$2525,"WON",'QUOTED PROJECTS-Current Year'!$K$2:$K$2525,"590",'QUOTED PROJECTS-Current Year'!$H$2:$H$2525,"MTU",'QUOTED PROJECTS-Current Year'!$R$2:$R$2525,"OCT")</f>
        <v>0</v>
      </c>
      <c r="P16" s="55"/>
      <c r="Q16" s="141">
        <f>SUMIFS('QUOTED PROJECTS-Earlier Yr'!$L$2:$L$2598,'QUOTED PROJECTS-Earlier Yr'!$Q$2:$Q$2598,"WON",'QUOTED PROJECTS-Earlier Yr'!$K$2:$K$2598,"590",'QUOTED PROJECTS-Earlier Yr'!$H$2:$H$2598,"MTU",'QUOTED PROJECTS-Earlier Yr'!$R$2:$R$2598,"NOV")+SUMIFS('QUOTED PROJECTS-Current Year'!$L$2:$L$2525,'QUOTED PROJECTS-Current Year'!$Q$2:$Q$2525,"WON",'QUOTED PROJECTS-Current Year'!$K$2:$K$2525,"590",'QUOTED PROJECTS-Current Year'!$H$2:$H$2525,"MTU",'QUOTED PROJECTS-Current Year'!$R$2:$R$2525,"NOV")</f>
        <v>0</v>
      </c>
      <c r="R16" s="55"/>
      <c r="S16" s="141">
        <f>SUMIFS('QUOTED PROJECTS-Earlier Yr'!$L$2:$L$2598,'QUOTED PROJECTS-Earlier Yr'!$Q$2:$Q$2598,"WON",'QUOTED PROJECTS-Earlier Yr'!$K$2:$K$2598,"590",'QUOTED PROJECTS-Earlier Yr'!$H$2:$H$2598,"MTU",'QUOTED PROJECTS-Earlier Yr'!$R$2:$R$2598,"DEC")+SUMIFS('QUOTED PROJECTS-Current Year'!$L$2:$L$2525,'QUOTED PROJECTS-Current Year'!$Q$2:$Q$2525,"WON",'QUOTED PROJECTS-Current Year'!$K$2:$K$2525,"590",'QUOTED PROJECTS-Current Year'!$H$2:$H$2525,"MTU",'QUOTED PROJECTS-Current Year'!$R$2:$R$2525,"DEC")</f>
        <v>0</v>
      </c>
      <c r="T16" s="109"/>
      <c r="U16" s="141">
        <f>SUMIFS('QUOTED PROJECTS-Earlier Yr'!$L$2:$L$2598,'QUOTED PROJECTS-Earlier Yr'!$Q$2:$Q$2598,"WON",'QUOTED PROJECTS-Earlier Yr'!$K$2:$K$2598,"590",'QUOTED PROJECTS-Earlier Yr'!$H$2:$H$2598,"MTU",'QUOTED PROJECTS-Earlier Yr'!$R$2:$R$2598,"JAN")+SUMIFS('QUOTED PROJECTS-Current Year'!$L$2:$L$2525,'QUOTED PROJECTS-Current Year'!$Q$2:$Q$2525,"WON",'QUOTED PROJECTS-Current Year'!$K$2:$K$2525,"590",'QUOTED PROJECTS-Current Year'!$H$2:$H$2525,"MTU",'QUOTED PROJECTS-Current Year'!$R$2:$R$2525,"JAN")</f>
        <v>0</v>
      </c>
      <c r="V16" s="55"/>
      <c r="W16" s="141">
        <f>SUMIFS('QUOTED PROJECTS-Earlier Yr'!$L$2:$L$2598,'QUOTED PROJECTS-Earlier Yr'!$Q$2:$Q$2598,"WON",'QUOTED PROJECTS-Earlier Yr'!$K$2:$K$2598,"590",'QUOTED PROJECTS-Earlier Yr'!$H$2:$H$2598,"MTU",'QUOTED PROJECTS-Earlier Yr'!$R$2:$R$2598,"FEB")+SUMIFS('QUOTED PROJECTS-Current Year'!$L$2:$L$2525,'QUOTED PROJECTS-Current Year'!$Q$2:$Q$2525,"WON",'QUOTED PROJECTS-Current Year'!$K$2:$K$2525,"590",'QUOTED PROJECTS-Current Year'!$H$2:$H$2525,"MTU",'QUOTED PROJECTS-Current Year'!$R$2:$R$2525,"FEB")</f>
        <v>0</v>
      </c>
      <c r="X16" s="55"/>
      <c r="Y16" s="141">
        <f>SUMIFS('QUOTED PROJECTS-Earlier Yr'!$L$2:$L$2598,'QUOTED PROJECTS-Earlier Yr'!$Q$2:$Q$2598,"WON",'QUOTED PROJECTS-Earlier Yr'!$K$2:$K$2598,"590",'QUOTED PROJECTS-Earlier Yr'!$H$2:$H$2598,"MTU",'QUOTED PROJECTS-Earlier Yr'!$R$2:$R$2598,"MAR")+SUMIFS('QUOTED PROJECTS-Current Year'!$L$2:$L$2525,'QUOTED PROJECTS-Current Year'!$Q$2:$Q$2525,"WON",'QUOTED PROJECTS-Current Year'!$K$2:$K$2525,"590",'QUOTED PROJECTS-Current Year'!$H$2:$H$2525,"MTU",'QUOTED PROJECTS-Current Year'!$R$2:$R$2525,"MAR")</f>
        <v>0</v>
      </c>
      <c r="Z16" s="57">
        <f t="shared" si="0"/>
        <v>0</v>
      </c>
      <c r="AA16" s="37">
        <f t="shared" si="0"/>
        <v>0</v>
      </c>
    </row>
    <row r="17" spans="1:27" ht="13.5" thickBot="1">
      <c r="A17" s="19">
        <v>650</v>
      </c>
      <c r="B17" s="194"/>
      <c r="C17" s="253">
        <f>SUMIFS('QUOTED PROJECTS-Earlier Yr'!$L$2:$L$2598,'QUOTED PROJECTS-Earlier Yr'!$Q$2:$Q$2598,"WON",'QUOTED PROJECTS-Earlier Yr'!$K$2:$K$2598,"650",'QUOTED PROJECTS-Earlier Yr'!$H$2:$H$2598,"MTU",'QUOTED PROJECTS-Earlier Yr'!$R$2:$R$2598,"APR")+SUMIFS('QUOTED PROJECTS-Current Year'!$L$2:$L$2525,'QUOTED PROJECTS-Current Year'!$Q$2:$Q$2525,"WON",'QUOTED PROJECTS-Current Year'!$K$2:$K$2525,"650",'QUOTED PROJECTS-Current Year'!$H$2:$H$2525,"MTU",'QUOTED PROJECTS-Current Year'!$R$2:$R$2525,"APR")</f>
        <v>0</v>
      </c>
      <c r="D17" s="194"/>
      <c r="E17" s="141">
        <f>SUMIFS('QUOTED PROJECTS-Earlier Yr'!$L$2:$L$2598,'QUOTED PROJECTS-Earlier Yr'!$Q$2:$Q$2598,"WON",'QUOTED PROJECTS-Earlier Yr'!$K$2:$K$2598,"650",'QUOTED PROJECTS-Earlier Yr'!$H$2:$H$2598,"MTU",'QUOTED PROJECTS-Earlier Yr'!$R$2:$R$2598,"MAY")+SUMIFS('QUOTED PROJECTS-Current Year'!$L$2:$L$2525,'QUOTED PROJECTS-Current Year'!$Q$2:$Q$2525,"WON",'QUOTED PROJECTS-Current Year'!$K$2:$K$2525,"650",'QUOTED PROJECTS-Current Year'!$H$2:$H$2525,"MTU",'QUOTED PROJECTS-Current Year'!$R$2:$R$2525,"MAY")</f>
        <v>0</v>
      </c>
      <c r="F17" s="55"/>
      <c r="G17" s="141">
        <f>SUMIFS('QUOTED PROJECTS-Earlier Yr'!$L$2:$L$2598,'QUOTED PROJECTS-Earlier Yr'!$Q$2:$Q$2598,"WON",'QUOTED PROJECTS-Earlier Yr'!$K$2:$K$2598,"650",'QUOTED PROJECTS-Earlier Yr'!$H$2:$H$2598,"MTU",'QUOTED PROJECTS-Earlier Yr'!$R$2:$R$2598,"JUN")+SUMIFS('QUOTED PROJECTS-Current Year'!$L$2:$L$2525,'QUOTED PROJECTS-Current Year'!$Q$2:$Q$2525,"WON",'QUOTED PROJECTS-Current Year'!$K$2:$K$2525,"650",'QUOTED PROJECTS-Current Year'!$H$2:$H$2525,"MTU",'QUOTED PROJECTS-Current Year'!$R$2:$R$2525,"JUN")</f>
        <v>0</v>
      </c>
      <c r="H17" s="194"/>
      <c r="I17" s="141">
        <f>SUMIFS('QUOTED PROJECTS-Earlier Yr'!$L$2:$L$2598,'QUOTED PROJECTS-Earlier Yr'!$Q$2:$Q$2598,"WON",'QUOTED PROJECTS-Earlier Yr'!$K$2:$K$2598,"650",'QUOTED PROJECTS-Earlier Yr'!$H$2:$H$2598,"MTU",'QUOTED PROJECTS-Earlier Yr'!$R$2:$R$2598,"JUL")+SUMIFS('QUOTED PROJECTS-Current Year'!$L$2:$L$2525,'QUOTED PROJECTS-Current Year'!$Q$2:$Q$2525,"WON",'QUOTED PROJECTS-Current Year'!$K$2:$K$2525,"650",'QUOTED PROJECTS-Current Year'!$H$2:$H$2525,"MTU",'QUOTED PROJECTS-Current Year'!$R$2:$R$2525,"JUL")</f>
        <v>0</v>
      </c>
      <c r="J17" s="55"/>
      <c r="K17" s="141">
        <f>SUMIFS('QUOTED PROJECTS-Earlier Yr'!$L$2:$L$2598,'QUOTED PROJECTS-Earlier Yr'!$Q$2:$Q$2598,"WON",'QUOTED PROJECTS-Earlier Yr'!$K$2:$K$2598,"650",'QUOTED PROJECTS-Earlier Yr'!$H$2:$H$2598,"MTU",'QUOTED PROJECTS-Earlier Yr'!$R$2:$R$2598,"AUG")+SUMIFS('QUOTED PROJECTS-Current Year'!$L$2:$L$2525,'QUOTED PROJECTS-Current Year'!$Q$2:$Q$2525,"WON",'QUOTED PROJECTS-Current Year'!$K$2:$K$2525,"650",'QUOTED PROJECTS-Current Year'!$H$2:$H$2525,"MTU",'QUOTED PROJECTS-Current Year'!$R$2:$R$2525,"AUG")</f>
        <v>0</v>
      </c>
      <c r="L17" s="55"/>
      <c r="M17" s="141">
        <f>SUMIFS('QUOTED PROJECTS-Earlier Yr'!$L$2:$L$2598,'QUOTED PROJECTS-Earlier Yr'!$Q$2:$Q$2598,"WON",'QUOTED PROJECTS-Earlier Yr'!$K$2:$K$2598,"650",'QUOTED PROJECTS-Earlier Yr'!$H$2:$H$2598,"MTU",'QUOTED PROJECTS-Earlier Yr'!$R$2:$R$2598,"SEPT")+SUMIFS('QUOTED PROJECTS-Current Year'!$L$2:$L$2525,'QUOTED PROJECTS-Current Year'!$Q$2:$Q$2525,"WON",'QUOTED PROJECTS-Current Year'!$K$2:$K$2525,"650",'QUOTED PROJECTS-Current Year'!$H$2:$H$2525,"MTU",'QUOTED PROJECTS-Current Year'!$R$2:$R$2525,"SEPT")</f>
        <v>0</v>
      </c>
      <c r="N17" s="194"/>
      <c r="O17" s="141">
        <f>SUMIFS('QUOTED PROJECTS-Earlier Yr'!$L$2:$L$2598,'QUOTED PROJECTS-Earlier Yr'!$Q$2:$Q$2598,"WON",'QUOTED PROJECTS-Earlier Yr'!$K$2:$K$2598,"650",'QUOTED PROJECTS-Earlier Yr'!$H$2:$H$2598,"MTU",'QUOTED PROJECTS-Earlier Yr'!$R$2:$R$2598,"OCT")+SUMIFS('QUOTED PROJECTS-Current Year'!$L$2:$L$2525,'QUOTED PROJECTS-Current Year'!$Q$2:$Q$2525,"WON",'QUOTED PROJECTS-Current Year'!$K$2:$K$2525,"650",'QUOTED PROJECTS-Current Year'!$H$2:$H$2525,"MTU",'QUOTED PROJECTS-Current Year'!$R$2:$R$2525,"OCT")</f>
        <v>0</v>
      </c>
      <c r="P17" s="55"/>
      <c r="Q17" s="141">
        <f>SUMIFS('QUOTED PROJECTS-Earlier Yr'!$L$2:$L$2598,'QUOTED PROJECTS-Earlier Yr'!$Q$2:$Q$2598,"WON",'QUOTED PROJECTS-Earlier Yr'!$K$2:$K$2598,"650",'QUOTED PROJECTS-Earlier Yr'!$H$2:$H$2598,"MTU",'QUOTED PROJECTS-Earlier Yr'!$R$2:$R$2598,"NOV")+SUMIFS('QUOTED PROJECTS-Current Year'!$L$2:$L$2525,'QUOTED PROJECTS-Current Year'!$Q$2:$Q$2525,"WON",'QUOTED PROJECTS-Current Year'!$K$2:$K$2525,"650",'QUOTED PROJECTS-Current Year'!$H$2:$H$2525,"MTU",'QUOTED PROJECTS-Current Year'!$R$2:$R$2525,"NOV")</f>
        <v>0</v>
      </c>
      <c r="R17" s="55"/>
      <c r="S17" s="141">
        <f>SUMIFS('QUOTED PROJECTS-Earlier Yr'!$L$2:$L$2598,'QUOTED PROJECTS-Earlier Yr'!$Q$2:$Q$2598,"WON",'QUOTED PROJECTS-Earlier Yr'!$K$2:$K$2598,"650",'QUOTED PROJECTS-Earlier Yr'!$H$2:$H$2598,"MTU",'QUOTED PROJECTS-Earlier Yr'!$R$2:$R$2598,"DEC")+SUMIFS('QUOTED PROJECTS-Current Year'!$L$2:$L$2525,'QUOTED PROJECTS-Current Year'!$Q$2:$Q$2525,"WON",'QUOTED PROJECTS-Current Year'!$K$2:$K$2525,"650",'QUOTED PROJECTS-Current Year'!$H$2:$H$2525,"MTU",'QUOTED PROJECTS-Current Year'!$R$2:$R$2525,"DEC")</f>
        <v>0</v>
      </c>
      <c r="T17" s="194"/>
      <c r="U17" s="141">
        <f>SUMIFS('QUOTED PROJECTS-Earlier Yr'!$L$2:$L$2598,'QUOTED PROJECTS-Earlier Yr'!$Q$2:$Q$2598,"WON",'QUOTED PROJECTS-Earlier Yr'!$K$2:$K$2598,"650",'QUOTED PROJECTS-Earlier Yr'!$H$2:$H$2598,"MTU",'QUOTED PROJECTS-Earlier Yr'!$R$2:$R$2598,"JAN")+SUMIFS('QUOTED PROJECTS-Current Year'!$L$2:$L$2525,'QUOTED PROJECTS-Current Year'!$Q$2:$Q$2525,"WON",'QUOTED PROJECTS-Current Year'!$K$2:$K$2525,"650",'QUOTED PROJECTS-Current Year'!$H$2:$H$2525,"MTU",'QUOTED PROJECTS-Current Year'!$R$2:$R$2525,"JAN")</f>
        <v>0</v>
      </c>
      <c r="V17" s="55"/>
      <c r="W17" s="141">
        <f>SUMIFS('QUOTED PROJECTS-Earlier Yr'!$L$2:$L$2598,'QUOTED PROJECTS-Earlier Yr'!$Q$2:$Q$2598,"WON",'QUOTED PROJECTS-Earlier Yr'!$K$2:$K$2598,"650",'QUOTED PROJECTS-Earlier Yr'!$H$2:$H$2598,"MTU",'QUOTED PROJECTS-Earlier Yr'!$R$2:$R$2598,"FEB")+SUMIFS('QUOTED PROJECTS-Current Year'!$L$2:$L$2525,'QUOTED PROJECTS-Current Year'!$Q$2:$Q$2525,"WON",'QUOTED PROJECTS-Current Year'!$K$2:$K$2525,"650",'QUOTED PROJECTS-Current Year'!$H$2:$H$2525,"MTU",'QUOTED PROJECTS-Current Year'!$R$2:$R$2525,"FEB")</f>
        <v>0</v>
      </c>
      <c r="X17" s="55"/>
      <c r="Y17" s="141">
        <f>SUMIFS('QUOTED PROJECTS-Earlier Yr'!$L$2:$L$2598,'QUOTED PROJECTS-Earlier Yr'!$Q$2:$Q$2598,"WON",'QUOTED PROJECTS-Earlier Yr'!$K$2:$K$2598,"650",'QUOTED PROJECTS-Earlier Yr'!$H$2:$H$2598,"MTU",'QUOTED PROJECTS-Earlier Yr'!$R$2:$R$2598,"MAR")+SUMIFS('QUOTED PROJECTS-Current Year'!$L$2:$L$2525,'QUOTED PROJECTS-Current Year'!$Q$2:$Q$2525,"WON",'QUOTED PROJECTS-Current Year'!$K$2:$K$2525,"650",'QUOTED PROJECTS-Current Year'!$H$2:$H$2525,"MTU",'QUOTED PROJECTS-Current Year'!$R$2:$R$2525,"MAR")</f>
        <v>0</v>
      </c>
      <c r="Z17" s="57"/>
      <c r="AA17" s="37"/>
    </row>
    <row r="18" spans="1:27" s="1" customFormat="1" ht="14.25" thickTop="1" thickBot="1">
      <c r="A18" s="1" t="s">
        <v>64</v>
      </c>
      <c r="B18" s="51">
        <f t="shared" ref="B18:T18" si="1">SUM(B10:B17)</f>
        <v>0</v>
      </c>
      <c r="C18" s="38">
        <f t="shared" si="1"/>
        <v>0</v>
      </c>
      <c r="D18" s="51">
        <f t="shared" si="1"/>
        <v>0</v>
      </c>
      <c r="E18" s="38">
        <f t="shared" si="1"/>
        <v>0</v>
      </c>
      <c r="F18" s="51">
        <f t="shared" si="1"/>
        <v>0</v>
      </c>
      <c r="G18" s="38">
        <f t="shared" si="1"/>
        <v>0</v>
      </c>
      <c r="H18" s="51">
        <f t="shared" si="1"/>
        <v>0</v>
      </c>
      <c r="I18" s="38">
        <f t="shared" si="1"/>
        <v>0</v>
      </c>
      <c r="J18" s="51">
        <f t="shared" si="1"/>
        <v>0</v>
      </c>
      <c r="K18" s="38">
        <f t="shared" si="1"/>
        <v>0</v>
      </c>
      <c r="L18" s="51">
        <f t="shared" si="1"/>
        <v>0</v>
      </c>
      <c r="M18" s="38">
        <f t="shared" si="1"/>
        <v>0</v>
      </c>
      <c r="N18" s="51">
        <f t="shared" si="1"/>
        <v>0</v>
      </c>
      <c r="O18" s="38">
        <f t="shared" si="1"/>
        <v>0</v>
      </c>
      <c r="P18" s="51">
        <f t="shared" si="1"/>
        <v>0</v>
      </c>
      <c r="Q18" s="38">
        <f t="shared" si="1"/>
        <v>0</v>
      </c>
      <c r="R18" s="51">
        <f t="shared" si="1"/>
        <v>0</v>
      </c>
      <c r="S18" s="38">
        <f t="shared" si="1"/>
        <v>0</v>
      </c>
      <c r="T18" s="51">
        <f t="shared" si="1"/>
        <v>0</v>
      </c>
      <c r="U18" s="38">
        <f t="shared" ref="U18:AA18" si="2">SUM(U10:U17)</f>
        <v>0</v>
      </c>
      <c r="V18" s="51">
        <f t="shared" si="2"/>
        <v>0</v>
      </c>
      <c r="W18" s="38">
        <f t="shared" si="2"/>
        <v>0</v>
      </c>
      <c r="X18" s="51">
        <f t="shared" si="2"/>
        <v>0</v>
      </c>
      <c r="Y18" s="38">
        <f t="shared" si="2"/>
        <v>0</v>
      </c>
      <c r="Z18" s="51">
        <f t="shared" si="2"/>
        <v>0</v>
      </c>
      <c r="AA18" s="38">
        <f t="shared" si="2"/>
        <v>0</v>
      </c>
    </row>
    <row r="19" spans="1:27" ht="13.5" thickTop="1">
      <c r="A19" s="1" t="s">
        <v>5</v>
      </c>
      <c r="B19" s="195"/>
      <c r="C19" s="196"/>
      <c r="D19" s="197"/>
      <c r="E19" s="196"/>
      <c r="F19" s="197"/>
      <c r="G19" s="196"/>
      <c r="H19" s="195"/>
      <c r="I19" s="198"/>
      <c r="J19" s="195"/>
      <c r="K19" s="196"/>
      <c r="L19" s="197"/>
      <c r="M19" s="196"/>
      <c r="N19" s="195"/>
      <c r="O19" s="198"/>
      <c r="P19" s="195"/>
      <c r="Q19" s="196"/>
      <c r="R19" s="197"/>
      <c r="S19" s="196"/>
      <c r="T19" s="195"/>
      <c r="U19" s="198"/>
      <c r="V19" s="195"/>
      <c r="W19" s="196"/>
      <c r="X19" s="197"/>
      <c r="Y19" s="196"/>
      <c r="Z19" s="199"/>
      <c r="AA19" s="200"/>
    </row>
    <row r="20" spans="1:27">
      <c r="A20" s="19">
        <v>500</v>
      </c>
      <c r="B20" s="55"/>
      <c r="C20" s="141">
        <f>SUMIFS('QUOTED PROJECTS-Earlier Yr'!$L$2:$L$2598,'QUOTED PROJECTS-Earlier Yr'!$Q$2:$Q$2598,"WON",'QUOTED PROJECTS-Earlier Yr'!$K$2:$K$2598,"500",'QUOTED PROJECTS-Earlier Yr'!$H$2:$H$2598,"PERKINS",'QUOTED PROJECTS-Earlier Yr'!$R$2:$R$2598,"APR")+SUMIFS('QUOTED PROJECTS-Current Year'!$L$2:$L$2525,'QUOTED PROJECTS-Current Year'!$Q$2:$Q$2525,"WON",'QUOTED PROJECTS-Current Year'!$K$2:$K$2525,"500",'QUOTED PROJECTS-Current Year'!$H$2:$H$2525,"PERKINS",'QUOTED PROJECTS-Current Year'!$R$2:$R$2525,"APR")</f>
        <v>0</v>
      </c>
      <c r="D20" s="55"/>
      <c r="E20" s="141">
        <f>SUMIFS('QUOTED PROJECTS-Earlier Yr'!$L$2:$L$2598,'QUOTED PROJECTS-Earlier Yr'!$Q$2:$Q$2598,"WON",'QUOTED PROJECTS-Earlier Yr'!$K$2:$K$2598,"500",'QUOTED PROJECTS-Earlier Yr'!$H$2:$H$2598,"PERKINS",'QUOTED PROJECTS-Earlier Yr'!$R$2:$R$2598,"MAY")+SUMIFS('QUOTED PROJECTS-Current Year'!$L$2:$L$2525,'QUOTED PROJECTS-Current Year'!$Q$2:$Q$2525,"WON",'QUOTED PROJECTS-Current Year'!$K$2:$K$2525,"500",'QUOTED PROJECTS-Current Year'!$H$2:$H$2525,"PERKINS",'QUOTED PROJECTS-Current Year'!$R$2:$R$2525,"MAY")</f>
        <v>0</v>
      </c>
      <c r="F20" s="55"/>
      <c r="G20" s="141">
        <f>SUMIFS('QUOTED PROJECTS-Earlier Yr'!$L$2:$L$2598,'QUOTED PROJECTS-Earlier Yr'!$Q$2:$Q$2598,"WON",'QUOTED PROJECTS-Earlier Yr'!$K$2:$K$2598,"500",'QUOTED PROJECTS-Earlier Yr'!$H$2:$H$2598,"PERKINS",'QUOTED PROJECTS-Earlier Yr'!$R$2:$R$2598,"JUN")+SUMIFS('QUOTED PROJECTS-Current Year'!$L$2:$L$2525,'QUOTED PROJECTS-Current Year'!$Q$2:$Q$2525,"WON",'QUOTED PROJECTS-Current Year'!$K$2:$K$2525,"500",'QUOTED PROJECTS-Current Year'!$H$2:$H$2525,"PERKINS",'QUOTED PROJECTS-Current Year'!$R$2:$R$2525,"JUN")</f>
        <v>0</v>
      </c>
      <c r="H20" s="55"/>
      <c r="I20" s="141">
        <f>SUMIFS('QUOTED PROJECTS-Earlier Yr'!$L$2:$L$2598,'QUOTED PROJECTS-Earlier Yr'!$Q$2:$Q$2598,"WON",'QUOTED PROJECTS-Earlier Yr'!$K$2:$K$2598,"500",'QUOTED PROJECTS-Earlier Yr'!$H$2:$H$2598,"PERKINS",'QUOTED PROJECTS-Earlier Yr'!$R$2:$R$2598,"JUL")+SUMIFS('QUOTED PROJECTS-Current Year'!$L$2:$L$2525,'QUOTED PROJECTS-Current Year'!$Q$2:$Q$2525,"WON",'QUOTED PROJECTS-Current Year'!$K$2:$K$2525,"500",'QUOTED PROJECTS-Current Year'!$H$2:$H$2525,"PERKINS",'QUOTED PROJECTS-Current Year'!$R$2:$R$2525,"JUL")</f>
        <v>6</v>
      </c>
      <c r="J20" s="55"/>
      <c r="K20" s="141">
        <f>SUMIFS('QUOTED PROJECTS-Earlier Yr'!$L$2:$L$2598,'QUOTED PROJECTS-Earlier Yr'!$Q$2:$Q$2598,"WON",'QUOTED PROJECTS-Earlier Yr'!$K$2:$K$2598,"500",'QUOTED PROJECTS-Earlier Yr'!$H$2:$H$2598,"PERKINS",'QUOTED PROJECTS-Earlier Yr'!$R$2:$R$2598,"AUG")+SUMIFS('QUOTED PROJECTS-Current Year'!$L$2:$L$2525,'QUOTED PROJECTS-Current Year'!$Q$2:$Q$2525,"WON",'QUOTED PROJECTS-Current Year'!$K$2:$K$2525,"500",'QUOTED PROJECTS-Current Year'!$H$2:$H$2525,"PERKINS",'QUOTED PROJECTS-Current Year'!$R$2:$R$2525,"AUG")</f>
        <v>0</v>
      </c>
      <c r="L20" s="55"/>
      <c r="M20" s="141">
        <f>SUMIFS('QUOTED PROJECTS-Earlier Yr'!$L$2:$L$2598,'QUOTED PROJECTS-Earlier Yr'!$Q$2:$Q$2598,"WON",'QUOTED PROJECTS-Earlier Yr'!$K$2:$K$2598,"500",'QUOTED PROJECTS-Earlier Yr'!$H$2:$H$2598,"PERKINS",'QUOTED PROJECTS-Earlier Yr'!$R$2:$R$2598,"SEPT")+SUMIFS('QUOTED PROJECTS-Current Year'!$L$2:$L$2525,'QUOTED PROJECTS-Current Year'!$Q$2:$Q$2525,"WON",'QUOTED PROJECTS-Current Year'!$K$2:$K$2525,"500",'QUOTED PROJECTS-Current Year'!$H$2:$H$2525,"PERKINS",'QUOTED PROJECTS-Current Year'!$R$2:$R$2525,"SEPT")</f>
        <v>0</v>
      </c>
      <c r="N20" s="55"/>
      <c r="O20" s="141">
        <f>SUMIFS('QUOTED PROJECTS-Earlier Yr'!$L$2:$L$2598,'QUOTED PROJECTS-Earlier Yr'!$Q$2:$Q$2598,"WON",'QUOTED PROJECTS-Earlier Yr'!$K$2:$K$2598,"500",'QUOTED PROJECTS-Earlier Yr'!$H$2:$H$2598,"PERKINS",'QUOTED PROJECTS-Earlier Yr'!$R$2:$R$2598,"OCT")+SUMIFS('QUOTED PROJECTS-Current Year'!$L$2:$L$2525,'QUOTED PROJECTS-Current Year'!$Q$2:$Q$2525,"WON",'QUOTED PROJECTS-Current Year'!$K$2:$K$2525,"500",'QUOTED PROJECTS-Current Year'!$H$2:$H$2525,"PERKINS",'QUOTED PROJECTS-Current Year'!$R$2:$R$2525,"OCT")</f>
        <v>0</v>
      </c>
      <c r="P20" s="55"/>
      <c r="Q20" s="141">
        <f>SUMIFS('QUOTED PROJECTS-Earlier Yr'!$L$2:$L$2598,'QUOTED PROJECTS-Earlier Yr'!$Q$2:$Q$2598,"WON",'QUOTED PROJECTS-Earlier Yr'!$K$2:$K$2598,"500",'QUOTED PROJECTS-Earlier Yr'!$H$2:$H$2598,"PERKINS",'QUOTED PROJECTS-Earlier Yr'!$R$2:$R$2598,"NOV")+SUMIFS('QUOTED PROJECTS-Current Year'!$L$2:$L$2525,'QUOTED PROJECTS-Current Year'!$Q$2:$Q$2525,"WON",'QUOTED PROJECTS-Current Year'!$K$2:$K$2525,"500",'QUOTED PROJECTS-Current Year'!$H$2:$H$2525,"PERKINS",'QUOTED PROJECTS-Current Year'!$R$2:$R$2525,"NOV")</f>
        <v>0</v>
      </c>
      <c r="R20" s="55"/>
      <c r="S20" s="141">
        <f>SUMIFS('QUOTED PROJECTS-Earlier Yr'!$L$2:$L$2598,'QUOTED PROJECTS-Earlier Yr'!$Q$2:$Q$2598,"WON",'QUOTED PROJECTS-Earlier Yr'!$K$2:$K$2598,"500",'QUOTED PROJECTS-Earlier Yr'!$H$2:$H$2598,"PERKINS",'QUOTED PROJECTS-Earlier Yr'!$R$2:$R$2598,"DEC")+SUMIFS('QUOTED PROJECTS-Current Year'!$L$2:$L$2525,'QUOTED PROJECTS-Current Year'!$Q$2:$Q$2525,"WON",'QUOTED PROJECTS-Current Year'!$K$2:$K$2525,"500",'QUOTED PROJECTS-Current Year'!$H$2:$H$2525,"PERKINS",'QUOTED PROJECTS-Current Year'!$R$2:$R$2525,"DEC")</f>
        <v>0</v>
      </c>
      <c r="T20" s="55"/>
      <c r="U20" s="141">
        <f>SUMIFS('QUOTED PROJECTS-Earlier Yr'!$L$2:$L$2598,'QUOTED PROJECTS-Earlier Yr'!$Q$2:$Q$2598,"WON",'QUOTED PROJECTS-Earlier Yr'!$K$2:$K$2598,"500",'QUOTED PROJECTS-Earlier Yr'!$H$2:$H$2598,"PERKINS",'QUOTED PROJECTS-Earlier Yr'!$R$2:$R$2598,"JAN")+SUMIFS('QUOTED PROJECTS-Current Year'!$L$2:$L$2525,'QUOTED PROJECTS-Current Year'!$Q$2:$Q$2525,"WON",'QUOTED PROJECTS-Current Year'!$K$2:$K$2525,"500",'QUOTED PROJECTS-Current Year'!$H$2:$H$2525,"PERKINS",'QUOTED PROJECTS-Current Year'!$R$2:$R$2525,"JAN")</f>
        <v>0</v>
      </c>
      <c r="V20" s="55"/>
      <c r="W20" s="141">
        <f>SUMIFS('QUOTED PROJECTS-Earlier Yr'!$L$2:$L$2598,'QUOTED PROJECTS-Earlier Yr'!$Q$2:$Q$2598,"WON",'QUOTED PROJECTS-Earlier Yr'!$K$2:$K$2598,"500",'QUOTED PROJECTS-Earlier Yr'!$H$2:$H$2598,"PERKINS",'QUOTED PROJECTS-Earlier Yr'!$R$2:$R$2598,"FEB")+SUMIFS('QUOTED PROJECTS-Current Year'!$L$2:$L$2525,'QUOTED PROJECTS-Current Year'!$Q$2:$Q$2525,"WON",'QUOTED PROJECTS-Current Year'!$K$2:$K$2525,"500",'QUOTED PROJECTS-Current Year'!$H$2:$H$2525,"PERKINS",'QUOTED PROJECTS-Current Year'!$R$2:$R$2525,"FEB")</f>
        <v>0</v>
      </c>
      <c r="X20" s="55"/>
      <c r="Y20" s="141">
        <f>SUMIFS('QUOTED PROJECTS-Earlier Yr'!$L$2:$L$2598,'QUOTED PROJECTS-Earlier Yr'!$Q$2:$Q$2598,"WON",'QUOTED PROJECTS-Earlier Yr'!$K$2:$K$2598,"500",'QUOTED PROJECTS-Earlier Yr'!$H$2:$H$2598,"PERKINS",'QUOTED PROJECTS-Earlier Yr'!$R$2:$R$2598,"MAR")+SUMIFS('QUOTED PROJECTS-Current Year'!$L$2:$L$2525,'QUOTED PROJECTS-Current Year'!$Q$2:$Q$2525,"WON",'QUOTED PROJECTS-Current Year'!$K$2:$K$2525,"500",'QUOTED PROJECTS-Current Year'!$H$2:$H$2525,"PERKINS",'QUOTED PROJECTS-Current Year'!$R$2:$R$2525,"MAR")</f>
        <v>0</v>
      </c>
      <c r="Z20" s="57">
        <f t="shared" ref="Z20:AA22" si="3">B20+D20+F20+H20+J20+L20+N20+P20+R20+T20+V20+X20</f>
        <v>0</v>
      </c>
      <c r="AA20" s="37">
        <f t="shared" si="3"/>
        <v>6</v>
      </c>
    </row>
    <row r="21" spans="1:27" ht="13.5" thickBot="1">
      <c r="A21" s="19">
        <v>600</v>
      </c>
      <c r="B21" s="55"/>
      <c r="C21" s="141">
        <f>SUMIFS('QUOTED PROJECTS-Earlier Yr'!$L$2:$L$2598,'QUOTED PROJECTS-Earlier Yr'!$Q$2:$Q$2598,"WON",'QUOTED PROJECTS-Earlier Yr'!$K$2:$K$2598,"600",'QUOTED PROJECTS-Earlier Yr'!$H$2:$H$2598,"PERKINS",'QUOTED PROJECTS-Earlier Yr'!$R$2:$R$2598,"APR")+SUMIFS('QUOTED PROJECTS-Current Year'!$L$2:$L$2525,'QUOTED PROJECTS-Current Year'!$Q$2:$Q$2525,"WON",'QUOTED PROJECTS-Current Year'!$K$2:$K$2525,"600",'QUOTED PROJECTS-Current Year'!$H$2:$H$2525,"PERKINS",'QUOTED PROJECTS-Current Year'!$R$2:$R$2525,"APR")</f>
        <v>0</v>
      </c>
      <c r="D21" s="55"/>
      <c r="E21" s="141">
        <f>SUMIFS('QUOTED PROJECTS-Earlier Yr'!$L$2:$L$2598,'QUOTED PROJECTS-Earlier Yr'!$Q$2:$Q$2598,"WON",'QUOTED PROJECTS-Earlier Yr'!$K$2:$K$2598,"600",'QUOTED PROJECTS-Earlier Yr'!$H$2:$H$2598,"PERKINS",'QUOTED PROJECTS-Earlier Yr'!$R$2:$R$2598,"MAY")+SUMIFS('QUOTED PROJECTS-Current Year'!$L$2:$L$2525,'QUOTED PROJECTS-Current Year'!$Q$2:$Q$2525,"WON",'QUOTED PROJECTS-Current Year'!$K$2:$K$2525,"600",'QUOTED PROJECTS-Current Year'!$H$2:$H$2525,"PERKINS",'QUOTED PROJECTS-Current Year'!$R$2:$R$2525,"MAY")</f>
        <v>0</v>
      </c>
      <c r="F21" s="55"/>
      <c r="G21" s="141">
        <f>SUMIFS('QUOTED PROJECTS-Earlier Yr'!$L$2:$L$2598,'QUOTED PROJECTS-Earlier Yr'!$Q$2:$Q$2598,"WON",'QUOTED PROJECTS-Earlier Yr'!$K$2:$K$2598,"600",'QUOTED PROJECTS-Earlier Yr'!$H$2:$H$2598,"PERKINS",'QUOTED PROJECTS-Earlier Yr'!$R$2:$R$2598,"JUN")+SUMIFS('QUOTED PROJECTS-Current Year'!$L$2:$L$2525,'QUOTED PROJECTS-Current Year'!$Q$2:$Q$2525,"WON",'QUOTED PROJECTS-Current Year'!$K$2:$K$2525,"600",'QUOTED PROJECTS-Current Year'!$H$2:$H$2525,"PERKINS",'QUOTED PROJECTS-Current Year'!$R$2:$R$2525,"JUN")</f>
        <v>0</v>
      </c>
      <c r="H21" s="55"/>
      <c r="I21" s="141">
        <f>SUMIFS('QUOTED PROJECTS-Earlier Yr'!$L$2:$L$2598,'QUOTED PROJECTS-Earlier Yr'!$Q$2:$Q$2598,"WON",'QUOTED PROJECTS-Earlier Yr'!$K$2:$K$2598,"600",'QUOTED PROJECTS-Earlier Yr'!$H$2:$H$2598,"PERKINS",'QUOTED PROJECTS-Earlier Yr'!$R$2:$R$2598,"JUL")+SUMIFS('QUOTED PROJECTS-Current Year'!$L$2:$L$2525,'QUOTED PROJECTS-Current Year'!$Q$2:$Q$2525,"WON",'QUOTED PROJECTS-Current Year'!$K$2:$K$2525,"600",'QUOTED PROJECTS-Current Year'!$H$2:$H$2525,"PERKINS",'QUOTED PROJECTS-Current Year'!$R$2:$R$2525,"JUL")</f>
        <v>0</v>
      </c>
      <c r="J21" s="55"/>
      <c r="K21" s="141">
        <f>SUMIFS('QUOTED PROJECTS-Earlier Yr'!$L$2:$L$2598,'QUOTED PROJECTS-Earlier Yr'!$Q$2:$Q$2598,"WON",'QUOTED PROJECTS-Earlier Yr'!$K$2:$K$2598,"600",'QUOTED PROJECTS-Earlier Yr'!$H$2:$H$2598,"PERKINS",'QUOTED PROJECTS-Earlier Yr'!$R$2:$R$2598,"AUG")+SUMIFS('QUOTED PROJECTS-Current Year'!$L$2:$L$2525,'QUOTED PROJECTS-Current Year'!$Q$2:$Q$2525,"WON",'QUOTED PROJECTS-Current Year'!$K$2:$K$2525,"600",'QUOTED PROJECTS-Current Year'!$H$2:$H$2525,"PERKINS",'QUOTED PROJECTS-Current Year'!$R$2:$R$2525,"AUG")</f>
        <v>0</v>
      </c>
      <c r="L21" s="55"/>
      <c r="M21" s="141">
        <f>SUMIFS('QUOTED PROJECTS-Earlier Yr'!$L$2:$L$2598,'QUOTED PROJECTS-Earlier Yr'!$Q$2:$Q$2598,"WON",'QUOTED PROJECTS-Earlier Yr'!$K$2:$K$2598,"600",'QUOTED PROJECTS-Earlier Yr'!$H$2:$H$2598,"PERKINS",'QUOTED PROJECTS-Earlier Yr'!$R$2:$R$2598,"SEPT")+SUMIFS('QUOTED PROJECTS-Current Year'!$L$2:$L$2525,'QUOTED PROJECTS-Current Year'!$Q$2:$Q$2525,"WON",'QUOTED PROJECTS-Current Year'!$K$2:$K$2525,"600",'QUOTED PROJECTS-Current Year'!$H$2:$H$2525,"PERKINS",'QUOTED PROJECTS-Current Year'!$R$2:$R$2525,"SEPT")</f>
        <v>0</v>
      </c>
      <c r="N21" s="55"/>
      <c r="O21" s="141">
        <f>SUMIFS('QUOTED PROJECTS-Earlier Yr'!$L$2:$L$2598,'QUOTED PROJECTS-Earlier Yr'!$Q$2:$Q$2598,"WON",'QUOTED PROJECTS-Earlier Yr'!$K$2:$K$2598,"600",'QUOTED PROJECTS-Earlier Yr'!$H$2:$H$2598,"PERKINS",'QUOTED PROJECTS-Earlier Yr'!$R$2:$R$2598,"OCT")+SUMIFS('QUOTED PROJECTS-Current Year'!$L$2:$L$2525,'QUOTED PROJECTS-Current Year'!$Q$2:$Q$2525,"WON",'QUOTED PROJECTS-Current Year'!$K$2:$K$2525,"600",'QUOTED PROJECTS-Current Year'!$H$2:$H$2525,"PERKINS",'QUOTED PROJECTS-Current Year'!$R$2:$R$2525,"OCT")</f>
        <v>0</v>
      </c>
      <c r="P21" s="55"/>
      <c r="Q21" s="141">
        <f>SUMIFS('QUOTED PROJECTS-Earlier Yr'!$L$2:$L$2598,'QUOTED PROJECTS-Earlier Yr'!$Q$2:$Q$2598,"WON",'QUOTED PROJECTS-Earlier Yr'!$K$2:$K$2598,"600",'QUOTED PROJECTS-Earlier Yr'!$H$2:$H$2598,"PERKINS",'QUOTED PROJECTS-Earlier Yr'!$R$2:$R$2598,"NOV")+SUMIFS('QUOTED PROJECTS-Current Year'!$L$2:$L$2525,'QUOTED PROJECTS-Current Year'!$Q$2:$Q$2525,"WON",'QUOTED PROJECTS-Current Year'!$K$2:$K$2525,"600",'QUOTED PROJECTS-Current Year'!$H$2:$H$2525,"PERKINS",'QUOTED PROJECTS-Current Year'!$R$2:$R$2525,"NOV")</f>
        <v>0</v>
      </c>
      <c r="R21" s="55"/>
      <c r="S21" s="141">
        <f>SUMIFS('QUOTED PROJECTS-Earlier Yr'!$L$2:$L$2598,'QUOTED PROJECTS-Earlier Yr'!$Q$2:$Q$2598,"WON",'QUOTED PROJECTS-Earlier Yr'!$K$2:$K$2598,"600",'QUOTED PROJECTS-Earlier Yr'!$H$2:$H$2598,"PERKINS",'QUOTED PROJECTS-Earlier Yr'!$R$2:$R$2598,"DEC")+SUMIFS('QUOTED PROJECTS-Current Year'!$L$2:$L$2525,'QUOTED PROJECTS-Current Year'!$Q$2:$Q$2525,"WON",'QUOTED PROJECTS-Current Year'!$K$2:$K$2525,"600",'QUOTED PROJECTS-Current Year'!$H$2:$H$2525,"PERKINS",'QUOTED PROJECTS-Current Year'!$R$2:$R$2525,"DEC")</f>
        <v>0</v>
      </c>
      <c r="T21" s="55"/>
      <c r="U21" s="141">
        <f>SUMIFS('QUOTED PROJECTS-Earlier Yr'!$L$2:$L$2598,'QUOTED PROJECTS-Earlier Yr'!$Q$2:$Q$2598,"WON",'QUOTED PROJECTS-Earlier Yr'!$K$2:$K$2598,"600",'QUOTED PROJECTS-Earlier Yr'!$H$2:$H$2598,"PERKINS",'QUOTED PROJECTS-Earlier Yr'!$R$2:$R$2598,"JAN")+SUMIFS('QUOTED PROJECTS-Current Year'!$L$2:$L$2525,'QUOTED PROJECTS-Current Year'!$Q$2:$Q$2525,"WON",'QUOTED PROJECTS-Current Year'!$K$2:$K$2525,"600",'QUOTED PROJECTS-Current Year'!$H$2:$H$2525,"PERKINS",'QUOTED PROJECTS-Current Year'!$R$2:$R$2525,"JAN")</f>
        <v>0</v>
      </c>
      <c r="V21" s="55"/>
      <c r="W21" s="141">
        <f>SUMIFS('QUOTED PROJECTS-Earlier Yr'!$L$2:$L$2598,'QUOTED PROJECTS-Earlier Yr'!$Q$2:$Q$2598,"WON",'QUOTED PROJECTS-Earlier Yr'!$K$2:$K$2598,"600",'QUOTED PROJECTS-Earlier Yr'!$H$2:$H$2598,"PERKINS",'QUOTED PROJECTS-Earlier Yr'!$R$2:$R$2598,"FEB")+SUMIFS('QUOTED PROJECTS-Current Year'!$L$2:$L$2525,'QUOTED PROJECTS-Current Year'!$Q$2:$Q$2525,"WON",'QUOTED PROJECTS-Current Year'!$K$2:$K$2525,"600",'QUOTED PROJECTS-Current Year'!$H$2:$H$2525,"PERKINS",'QUOTED PROJECTS-Current Year'!$R$2:$R$2525,"FEB")</f>
        <v>0</v>
      </c>
      <c r="X21" s="55"/>
      <c r="Y21" s="141">
        <f>SUMIFS('QUOTED PROJECTS-Earlier Yr'!$L$2:$L$2598,'QUOTED PROJECTS-Earlier Yr'!$Q$2:$Q$2598,"WON",'QUOTED PROJECTS-Earlier Yr'!$K$2:$K$2598,"600",'QUOTED PROJECTS-Earlier Yr'!$H$2:$H$2598,"PERKINS",'QUOTED PROJECTS-Earlier Yr'!$R$2:$R$2598,"MAR")+SUMIFS('QUOTED PROJECTS-Current Year'!$L$2:$L$2525,'QUOTED PROJECTS-Current Year'!$Q$2:$Q$2525,"WON",'QUOTED PROJECTS-Current Year'!$K$2:$K$2525,"600",'QUOTED PROJECTS-Current Year'!$H$2:$H$2525,"PERKINS",'QUOTED PROJECTS-Current Year'!$R$2:$R$2525,"MAR")</f>
        <v>0</v>
      </c>
      <c r="Z21" s="57">
        <f t="shared" si="3"/>
        <v>0</v>
      </c>
      <c r="AA21" s="37">
        <f t="shared" si="3"/>
        <v>0</v>
      </c>
    </row>
    <row r="22" spans="1:27" s="1" customFormat="1" ht="14.25" thickTop="1" thickBot="1">
      <c r="A22" s="1" t="s">
        <v>65</v>
      </c>
      <c r="B22" s="51">
        <f t="shared" ref="B22:Y22" si="4">SUM(B20:B21)</f>
        <v>0</v>
      </c>
      <c r="C22" s="40">
        <f t="shared" si="4"/>
        <v>0</v>
      </c>
      <c r="D22" s="61">
        <f t="shared" si="4"/>
        <v>0</v>
      </c>
      <c r="E22" s="40">
        <f t="shared" si="4"/>
        <v>0</v>
      </c>
      <c r="F22" s="52">
        <f t="shared" si="4"/>
        <v>0</v>
      </c>
      <c r="G22" s="40">
        <f t="shared" si="4"/>
        <v>0</v>
      </c>
      <c r="H22" s="61">
        <f t="shared" si="4"/>
        <v>0</v>
      </c>
      <c r="I22" s="40">
        <f t="shared" si="4"/>
        <v>6</v>
      </c>
      <c r="J22" s="52">
        <f t="shared" si="4"/>
        <v>0</v>
      </c>
      <c r="K22" s="40">
        <f t="shared" si="4"/>
        <v>0</v>
      </c>
      <c r="L22" s="52">
        <f t="shared" si="4"/>
        <v>0</v>
      </c>
      <c r="M22" s="40">
        <f t="shared" si="4"/>
        <v>0</v>
      </c>
      <c r="N22" s="61">
        <f t="shared" si="4"/>
        <v>0</v>
      </c>
      <c r="O22" s="40">
        <f t="shared" si="4"/>
        <v>0</v>
      </c>
      <c r="P22" s="52">
        <f t="shared" si="4"/>
        <v>0</v>
      </c>
      <c r="Q22" s="40">
        <f t="shared" si="4"/>
        <v>0</v>
      </c>
      <c r="R22" s="52">
        <f t="shared" si="4"/>
        <v>0</v>
      </c>
      <c r="S22" s="40">
        <f t="shared" si="4"/>
        <v>0</v>
      </c>
      <c r="T22" s="61">
        <f t="shared" si="4"/>
        <v>0</v>
      </c>
      <c r="U22" s="40">
        <f t="shared" si="4"/>
        <v>0</v>
      </c>
      <c r="V22" s="52">
        <f t="shared" si="4"/>
        <v>0</v>
      </c>
      <c r="W22" s="40">
        <f t="shared" si="4"/>
        <v>0</v>
      </c>
      <c r="X22" s="52">
        <f t="shared" si="4"/>
        <v>0</v>
      </c>
      <c r="Y22" s="40">
        <f t="shared" si="4"/>
        <v>0</v>
      </c>
      <c r="Z22" s="59">
        <f t="shared" si="3"/>
        <v>0</v>
      </c>
      <c r="AA22" s="42">
        <f t="shared" si="3"/>
        <v>6</v>
      </c>
    </row>
    <row r="23" spans="1:27" ht="13.5" thickTop="1">
      <c r="A23" s="1" t="s">
        <v>4</v>
      </c>
      <c r="B23" s="195"/>
      <c r="C23" s="196"/>
      <c r="D23" s="197"/>
      <c r="E23" s="196"/>
      <c r="F23" s="197"/>
      <c r="G23" s="196"/>
      <c r="H23" s="195"/>
      <c r="I23" s="198"/>
      <c r="J23" s="195"/>
      <c r="K23" s="196"/>
      <c r="L23" s="197"/>
      <c r="M23" s="196"/>
      <c r="N23" s="195"/>
      <c r="O23" s="198"/>
      <c r="P23" s="195"/>
      <c r="Q23" s="196"/>
      <c r="R23" s="197"/>
      <c r="S23" s="196"/>
      <c r="T23" s="195"/>
      <c r="U23" s="198"/>
      <c r="V23" s="195"/>
      <c r="W23" s="196"/>
      <c r="X23" s="197"/>
      <c r="Y23" s="196"/>
      <c r="Z23" s="199"/>
      <c r="AA23" s="200"/>
    </row>
    <row r="24" spans="1:27">
      <c r="A24" s="19">
        <v>250</v>
      </c>
      <c r="B24" s="55"/>
      <c r="C24" s="141">
        <f>SUMIFS('QUOTED PROJECTS-Earlier Yr'!$L$2:$L$2598,'QUOTED PROJECTS-Earlier Yr'!$Q$2:$Q$2598,"WON",'QUOTED PROJECTS-Earlier Yr'!$K$2:$K$2598,"250",'QUOTED PROJECTS-Earlier Yr'!$H$2:$H$2598,"VOLVO",'QUOTED PROJECTS-Earlier Yr'!$R$2:$R$2598,"APR")+SUMIFS('QUOTED PROJECTS-Current Year'!$L$2:$L$2525,'QUOTED PROJECTS-Current Year'!$Q$2:$Q$2525,"WON",'QUOTED PROJECTS-Current Year'!$K$2:$K$2525,"250",'QUOTED PROJECTS-Current Year'!$H$2:$H$2525,"VOLVO",'QUOTED PROJECTS-Current Year'!$R$2:$R$2525,"APR")</f>
        <v>0</v>
      </c>
      <c r="D24" s="55"/>
      <c r="E24" s="141">
        <f>SUMIFS('QUOTED PROJECTS-Earlier Yr'!$L$2:$L$2598,'QUOTED PROJECTS-Earlier Yr'!$Q$2:$Q$2598,"WON",'QUOTED PROJECTS-Earlier Yr'!$K$2:$K$2598,"250",'QUOTED PROJECTS-Earlier Yr'!$H$2:$H$2598,"VOLVO",'QUOTED PROJECTS-Earlier Yr'!$R$2:$R$2598,"MAY")+SUMIFS('QUOTED PROJECTS-Current Year'!$L$2:$L$2525,'QUOTED PROJECTS-Current Year'!$Q$2:$Q$2525,"WON",'QUOTED PROJECTS-Current Year'!$K$2:$K$2525,"250",'QUOTED PROJECTS-Current Year'!$H$2:$H$2525,"VOLVO",'QUOTED PROJECTS-Current Year'!$R$2:$R$2525,"MAY")</f>
        <v>0</v>
      </c>
      <c r="F24" s="55"/>
      <c r="G24" s="141">
        <f>SUMIFS('QUOTED PROJECTS-Earlier Yr'!$L$2:$L$2598,'QUOTED PROJECTS-Earlier Yr'!$Q$2:$Q$2598,"WON",'QUOTED PROJECTS-Earlier Yr'!$K$2:$K$2598,"250",'QUOTED PROJECTS-Earlier Yr'!$H$2:$H$2598,"VOLVO",'QUOTED PROJECTS-Earlier Yr'!$R$2:$R$2598,"JUN")+SUMIFS('QUOTED PROJECTS-Current Year'!$L$2:$L$2525,'QUOTED PROJECTS-Current Year'!$Q$2:$Q$2525,"WON",'QUOTED PROJECTS-Current Year'!$K$2:$K$2525,"250",'QUOTED PROJECTS-Current Year'!$H$2:$H$2525,"VOLVO",'QUOTED PROJECTS-Current Year'!$R$2:$R$2525,"JUN")</f>
        <v>0</v>
      </c>
      <c r="H24" s="55"/>
      <c r="I24" s="141">
        <f>SUMIFS('QUOTED PROJECTS-Earlier Yr'!$L$2:$L$2598,'QUOTED PROJECTS-Earlier Yr'!$Q$2:$Q$2598,"WON",'QUOTED PROJECTS-Earlier Yr'!$K$2:$K$2598,"250",'QUOTED PROJECTS-Earlier Yr'!$H$2:$H$2598,"VOLVO",'QUOTED PROJECTS-Earlier Yr'!$R$2:$R$2598,"JUL")+SUMIFS('QUOTED PROJECTS-Current Year'!$L$2:$L$2525,'QUOTED PROJECTS-Current Year'!$Q$2:$Q$2525,"WON",'QUOTED PROJECTS-Current Year'!$K$2:$K$2525,"250",'QUOTED PROJECTS-Current Year'!$H$2:$H$2525,"VOLVO",'QUOTED PROJECTS-Current Year'!$R$2:$R$2525,"JUL")</f>
        <v>0</v>
      </c>
      <c r="J24" s="55"/>
      <c r="K24" s="141">
        <f>SUMIFS('QUOTED PROJECTS-Earlier Yr'!$L$2:$L$2598,'QUOTED PROJECTS-Earlier Yr'!$Q$2:$Q$2598,"WON",'QUOTED PROJECTS-Earlier Yr'!$K$2:$K$2598,"250",'QUOTED PROJECTS-Earlier Yr'!$H$2:$H$2598,"VOLVO",'QUOTED PROJECTS-Earlier Yr'!$R$2:$R$2598,"AUG")+SUMIFS('QUOTED PROJECTS-Current Year'!$L$2:$L$2525,'QUOTED PROJECTS-Current Year'!$Q$2:$Q$2525,"WON",'QUOTED PROJECTS-Current Year'!$K$2:$K$2525,"250",'QUOTED PROJECTS-Current Year'!$H$2:$H$2525,"VOLVO",'QUOTED PROJECTS-Current Year'!$R$2:$R$2525,"AUG")</f>
        <v>0</v>
      </c>
      <c r="L24" s="55"/>
      <c r="M24" s="141">
        <f>SUMIFS('QUOTED PROJECTS-Earlier Yr'!$L$2:$L$2598,'QUOTED PROJECTS-Earlier Yr'!$Q$2:$Q$2598,"WON",'QUOTED PROJECTS-Earlier Yr'!$K$2:$K$2598,"250",'QUOTED PROJECTS-Earlier Yr'!$H$2:$H$2598,"VOLVO",'QUOTED PROJECTS-Earlier Yr'!$R$2:$R$2598,"SEPT")+SUMIFS('QUOTED PROJECTS-Current Year'!$L$2:$L$2525,'QUOTED PROJECTS-Current Year'!$Q$2:$Q$2525,"WON",'QUOTED PROJECTS-Current Year'!$K$2:$K$2525,"250",'QUOTED PROJECTS-Current Year'!$H$2:$H$2525,"VOLVO",'QUOTED PROJECTS-Current Year'!$R$2:$R$2525,"SEPT")</f>
        <v>0</v>
      </c>
      <c r="N24" s="55"/>
      <c r="O24" s="141">
        <f>SUMIFS('QUOTED PROJECTS-Earlier Yr'!$L$2:$L$2598,'QUOTED PROJECTS-Earlier Yr'!$Q$2:$Q$2598,"WON",'QUOTED PROJECTS-Earlier Yr'!$K$2:$K$2598,"250",'QUOTED PROJECTS-Earlier Yr'!$H$2:$H$2598,"VOLVO",'QUOTED PROJECTS-Earlier Yr'!$R$2:$R$2598,"OCT")+SUMIFS('QUOTED PROJECTS-Current Year'!$L$2:$L$2525,'QUOTED PROJECTS-Current Year'!$Q$2:$Q$2525,"WON",'QUOTED PROJECTS-Current Year'!$K$2:$K$2525,"250",'QUOTED PROJECTS-Current Year'!$H$2:$H$2525,"VOLVO",'QUOTED PROJECTS-Current Year'!$R$2:$R$2525,"OCT")</f>
        <v>0</v>
      </c>
      <c r="P24" s="55"/>
      <c r="Q24" s="141">
        <f>SUMIFS('QUOTED PROJECTS-Earlier Yr'!$L$2:$L$2598,'QUOTED PROJECTS-Earlier Yr'!$Q$2:$Q$2598,"WON",'QUOTED PROJECTS-Earlier Yr'!$K$2:$K$2598,"250",'QUOTED PROJECTS-Earlier Yr'!$H$2:$H$2598,"VOLVO",'QUOTED PROJECTS-Earlier Yr'!$R$2:$R$2598,"NOV")+SUMIFS('QUOTED PROJECTS-Current Year'!$L$2:$L$2525,'QUOTED PROJECTS-Current Year'!$Q$2:$Q$2525,"WON",'QUOTED PROJECTS-Current Year'!$K$2:$K$2525,"250",'QUOTED PROJECTS-Current Year'!$H$2:$H$2525,"VOLVO",'QUOTED PROJECTS-Current Year'!$R$2:$R$2525,"NOV")</f>
        <v>0</v>
      </c>
      <c r="R24" s="55"/>
      <c r="S24" s="141">
        <f>SUMIFS('QUOTED PROJECTS-Earlier Yr'!$L$2:$L$2598,'QUOTED PROJECTS-Earlier Yr'!$Q$2:$Q$2598,"WON",'QUOTED PROJECTS-Earlier Yr'!$K$2:$K$2598,"250",'QUOTED PROJECTS-Earlier Yr'!$H$2:$H$2598,"VOLVO",'QUOTED PROJECTS-Earlier Yr'!$R$2:$R$2598,"DEC")+SUMIFS('QUOTED PROJECTS-Current Year'!$L$2:$L$2525,'QUOTED PROJECTS-Current Year'!$Q$2:$Q$2525,"WON",'QUOTED PROJECTS-Current Year'!$K$2:$K$2525,"250",'QUOTED PROJECTS-Current Year'!$H$2:$H$2525,"VOLVO",'QUOTED PROJECTS-Current Year'!$R$2:$R$2525,"DEC")</f>
        <v>0</v>
      </c>
      <c r="T24" s="55"/>
      <c r="U24" s="141">
        <f>SUMIFS('QUOTED PROJECTS-Earlier Yr'!$L$2:$L$2598,'QUOTED PROJECTS-Earlier Yr'!$Q$2:$Q$2598,"WON",'QUOTED PROJECTS-Earlier Yr'!$K$2:$K$2598,"250",'QUOTED PROJECTS-Earlier Yr'!$H$2:$H$2598,"VOLVO",'QUOTED PROJECTS-Earlier Yr'!$R$2:$R$2598,"JAN")+SUMIFS('QUOTED PROJECTS-Current Year'!$L$2:$L$2525,'QUOTED PROJECTS-Current Year'!$Q$2:$Q$2525,"WON",'QUOTED PROJECTS-Current Year'!$K$2:$K$2525,"250",'QUOTED PROJECTS-Current Year'!$H$2:$H$2525,"VOLVO",'QUOTED PROJECTS-Current Year'!$R$2:$R$2525,"JAN")</f>
        <v>0</v>
      </c>
      <c r="V24" s="55"/>
      <c r="W24" s="141">
        <f>SUMIFS('QUOTED PROJECTS-Earlier Yr'!$L$2:$L$2598,'QUOTED PROJECTS-Earlier Yr'!$Q$2:$Q$2598,"WON",'QUOTED PROJECTS-Earlier Yr'!$K$2:$K$2598,"250",'QUOTED PROJECTS-Earlier Yr'!$H$2:$H$2598,"VOLVO",'QUOTED PROJECTS-Earlier Yr'!$R$2:$R$2598,"FEB")+SUMIFS('QUOTED PROJECTS-Current Year'!$L$2:$L$2525,'QUOTED PROJECTS-Current Year'!$Q$2:$Q$2525,"WON",'QUOTED PROJECTS-Current Year'!$K$2:$K$2525,"250",'QUOTED PROJECTS-Current Year'!$H$2:$H$2525,"VOLVO",'QUOTED PROJECTS-Current Year'!$R$2:$R$2525,"FEB")</f>
        <v>0</v>
      </c>
      <c r="X24" s="55"/>
      <c r="Y24" s="141">
        <f>SUMIFS('QUOTED PROJECTS-Earlier Yr'!$L$2:$L$2598,'QUOTED PROJECTS-Earlier Yr'!$Q$2:$Q$2598,"WON",'QUOTED PROJECTS-Earlier Yr'!$K$2:$K$2598,"250",'QUOTED PROJECTS-Earlier Yr'!$H$2:$H$2598,"VOLVO",'QUOTED PROJECTS-Earlier Yr'!$R$2:$R$2598,"MAR")+SUMIFS('QUOTED PROJECTS-Current Year'!$L$2:$L$2525,'QUOTED PROJECTS-Current Year'!$Q$2:$Q$2525,"WON",'QUOTED PROJECTS-Current Year'!$K$2:$K$2525,"250",'QUOTED PROJECTS-Current Year'!$H$2:$H$2525,"VOLVO",'QUOTED PROJECTS-Current Year'!$R$2:$R$2525,"MAR")</f>
        <v>0</v>
      </c>
      <c r="Z24" s="57">
        <f t="shared" ref="Z24:AA31" si="5">B24+D24+F24+H24+J24+L24+N24+P24+R24+T24+V24+X24</f>
        <v>0</v>
      </c>
      <c r="AA24" s="37">
        <f t="shared" si="5"/>
        <v>0</v>
      </c>
    </row>
    <row r="25" spans="1:27">
      <c r="A25" s="19">
        <v>320</v>
      </c>
      <c r="B25" s="55"/>
      <c r="C25" s="141">
        <f>SUMIFS('QUOTED PROJECTS-Earlier Yr'!$L$2:$L$2598,'QUOTED PROJECTS-Earlier Yr'!$Q$2:$Q$2598,"WON",'QUOTED PROJECTS-Earlier Yr'!$K$2:$K$2598,"320",'QUOTED PROJECTS-Earlier Yr'!$H$2:$H$2598,"VOLVO",'QUOTED PROJECTS-Earlier Yr'!$R$2:$R$2598,"APR")+SUMIFS('QUOTED PROJECTS-Current Year'!$L$2:$L$2525,'QUOTED PROJECTS-Current Year'!$Q$2:$Q$2525,"WON",'QUOTED PROJECTS-Current Year'!$K$2:$K$2525,"320",'QUOTED PROJECTS-Current Year'!$H$2:$H$2525,"VOLVO",'QUOTED PROJECTS-Current Year'!$R$2:$R$2525,"APR")</f>
        <v>0</v>
      </c>
      <c r="D25" s="55"/>
      <c r="E25" s="141">
        <f>SUMIFS('QUOTED PROJECTS-Earlier Yr'!$L$2:$L$2598,'QUOTED PROJECTS-Earlier Yr'!$Q$2:$Q$2598,"WON",'QUOTED PROJECTS-Earlier Yr'!$K$2:$K$2598,"320",'QUOTED PROJECTS-Earlier Yr'!$H$2:$H$2598,"VOLVO",'QUOTED PROJECTS-Earlier Yr'!$R$2:$R$2598,"MAY")+SUMIFS('QUOTED PROJECTS-Current Year'!$L$2:$L$2525,'QUOTED PROJECTS-Current Year'!$Q$2:$Q$2525,"WON",'QUOTED PROJECTS-Current Year'!$K$2:$K$2525,"320",'QUOTED PROJECTS-Current Year'!$H$2:$H$2525,"VOLVO",'QUOTED PROJECTS-Current Year'!$R$2:$R$2525,"MAY")</f>
        <v>0</v>
      </c>
      <c r="F25" s="55"/>
      <c r="G25" s="141">
        <f>SUMIFS('QUOTED PROJECTS-Earlier Yr'!$L$2:$L$2598,'QUOTED PROJECTS-Earlier Yr'!$Q$2:$Q$2598,"WON",'QUOTED PROJECTS-Earlier Yr'!$K$2:$K$2598,"320",'QUOTED PROJECTS-Earlier Yr'!$H$2:$H$2598,"VOLVO",'QUOTED PROJECTS-Earlier Yr'!$R$2:$R$2598,"JUN")+SUMIFS('QUOTED PROJECTS-Current Year'!$L$2:$L$2525,'QUOTED PROJECTS-Current Year'!$Q$2:$Q$2525,"WON",'QUOTED PROJECTS-Current Year'!$K$2:$K$2525,"320",'QUOTED PROJECTS-Current Year'!$H$2:$H$2525,"VOLVO",'QUOTED PROJECTS-Current Year'!$R$2:$R$2525,"JUN")</f>
        <v>0</v>
      </c>
      <c r="H25" s="55"/>
      <c r="I25" s="141">
        <f>SUMIFS('QUOTED PROJECTS-Earlier Yr'!$L$2:$L$2598,'QUOTED PROJECTS-Earlier Yr'!$Q$2:$Q$2598,"WON",'QUOTED PROJECTS-Earlier Yr'!$K$2:$K$2598,"320",'QUOTED PROJECTS-Earlier Yr'!$H$2:$H$2598,"VOLVO",'QUOTED PROJECTS-Earlier Yr'!$R$2:$R$2598,"JUL")+SUMIFS('QUOTED PROJECTS-Current Year'!$L$2:$L$2525,'QUOTED PROJECTS-Current Year'!$Q$2:$Q$2525,"WON",'QUOTED PROJECTS-Current Year'!$K$2:$K$2525,"320",'QUOTED PROJECTS-Current Year'!$H$2:$H$2525,"VOLVO",'QUOTED PROJECTS-Current Year'!$R$2:$R$2525,"JUL")</f>
        <v>0</v>
      </c>
      <c r="J25" s="55"/>
      <c r="K25" s="141">
        <f>SUMIFS('QUOTED PROJECTS-Earlier Yr'!$L$2:$L$2598,'QUOTED PROJECTS-Earlier Yr'!$Q$2:$Q$2598,"WON",'QUOTED PROJECTS-Earlier Yr'!$K$2:$K$2598,"320",'QUOTED PROJECTS-Earlier Yr'!$H$2:$H$2598,"VOLVO",'QUOTED PROJECTS-Earlier Yr'!$R$2:$R$2598,"AUG")+SUMIFS('QUOTED PROJECTS-Current Year'!$L$2:$L$2525,'QUOTED PROJECTS-Current Year'!$Q$2:$Q$2525,"WON",'QUOTED PROJECTS-Current Year'!$K$2:$K$2525,"320",'QUOTED PROJECTS-Current Year'!$H$2:$H$2525,"VOLVO",'QUOTED PROJECTS-Current Year'!$R$2:$R$2525,"AUG")</f>
        <v>0</v>
      </c>
      <c r="L25" s="55"/>
      <c r="M25" s="141">
        <f>SUMIFS('QUOTED PROJECTS-Earlier Yr'!$L$2:$L$2598,'QUOTED PROJECTS-Earlier Yr'!$Q$2:$Q$2598,"WON",'QUOTED PROJECTS-Earlier Yr'!$K$2:$K$2598,"320",'QUOTED PROJECTS-Earlier Yr'!$H$2:$H$2598,"VOLVO",'QUOTED PROJECTS-Earlier Yr'!$R$2:$R$2598,"SEPT")+SUMIFS('QUOTED PROJECTS-Current Year'!$L$2:$L$2525,'QUOTED PROJECTS-Current Year'!$Q$2:$Q$2525,"WON",'QUOTED PROJECTS-Current Year'!$K$2:$K$2525,"320",'QUOTED PROJECTS-Current Year'!$H$2:$H$2525,"VOLVO",'QUOTED PROJECTS-Current Year'!$R$2:$R$2525,"SEPT")</f>
        <v>0</v>
      </c>
      <c r="N25" s="55"/>
      <c r="O25" s="141">
        <f>SUMIFS('QUOTED PROJECTS-Earlier Yr'!$L$2:$L$2598,'QUOTED PROJECTS-Earlier Yr'!$Q$2:$Q$2598,"WON",'QUOTED PROJECTS-Earlier Yr'!$K$2:$K$2598,"320",'QUOTED PROJECTS-Earlier Yr'!$H$2:$H$2598,"VOLVO",'QUOTED PROJECTS-Earlier Yr'!$R$2:$R$2598,"OCT")+SUMIFS('QUOTED PROJECTS-Current Year'!$L$2:$L$2525,'QUOTED PROJECTS-Current Year'!$Q$2:$Q$2525,"WON",'QUOTED PROJECTS-Current Year'!$K$2:$K$2525,"320",'QUOTED PROJECTS-Current Year'!$H$2:$H$2525,"VOLVO",'QUOTED PROJECTS-Current Year'!$R$2:$R$2525,"OCT")</f>
        <v>0</v>
      </c>
      <c r="P25" s="55"/>
      <c r="Q25" s="141">
        <f>SUMIFS('QUOTED PROJECTS-Earlier Yr'!$L$2:$L$2598,'QUOTED PROJECTS-Earlier Yr'!$Q$2:$Q$2598,"WON",'QUOTED PROJECTS-Earlier Yr'!$K$2:$K$2598,"320",'QUOTED PROJECTS-Earlier Yr'!$H$2:$H$2598,"VOLVO",'QUOTED PROJECTS-Earlier Yr'!$R$2:$R$2598,"NOV")+SUMIFS('QUOTED PROJECTS-Current Year'!$L$2:$L$2525,'QUOTED PROJECTS-Current Year'!$Q$2:$Q$2525,"WON",'QUOTED PROJECTS-Current Year'!$K$2:$K$2525,"320",'QUOTED PROJECTS-Current Year'!$H$2:$H$2525,"VOLVO",'QUOTED PROJECTS-Current Year'!$R$2:$R$2525,"NOV")</f>
        <v>0</v>
      </c>
      <c r="R25" s="55"/>
      <c r="S25" s="141">
        <f>SUMIFS('QUOTED PROJECTS-Earlier Yr'!$L$2:$L$2598,'QUOTED PROJECTS-Earlier Yr'!$Q$2:$Q$2598,"WON",'QUOTED PROJECTS-Earlier Yr'!$K$2:$K$2598,"320",'QUOTED PROJECTS-Earlier Yr'!$H$2:$H$2598,"VOLVO",'QUOTED PROJECTS-Earlier Yr'!$R$2:$R$2598,"DEC")+SUMIFS('QUOTED PROJECTS-Current Year'!$L$2:$L$2525,'QUOTED PROJECTS-Current Year'!$Q$2:$Q$2525,"WON",'QUOTED PROJECTS-Current Year'!$K$2:$K$2525,"320",'QUOTED PROJECTS-Current Year'!$H$2:$H$2525,"VOLVO",'QUOTED PROJECTS-Current Year'!$R$2:$R$2525,"DEC")</f>
        <v>0</v>
      </c>
      <c r="T25" s="55"/>
      <c r="U25" s="141">
        <f>SUMIFS('QUOTED PROJECTS-Earlier Yr'!$L$2:$L$2598,'QUOTED PROJECTS-Earlier Yr'!$Q$2:$Q$2598,"WON",'QUOTED PROJECTS-Earlier Yr'!$K$2:$K$2598,"320",'QUOTED PROJECTS-Earlier Yr'!$H$2:$H$2598,"VOLVO",'QUOTED PROJECTS-Earlier Yr'!$R$2:$R$2598,"JAN")+SUMIFS('QUOTED PROJECTS-Current Year'!$L$2:$L$2525,'QUOTED PROJECTS-Current Year'!$Q$2:$Q$2525,"WON",'QUOTED PROJECTS-Current Year'!$K$2:$K$2525,"320",'QUOTED PROJECTS-Current Year'!$H$2:$H$2525,"VOLVO",'QUOTED PROJECTS-Current Year'!$R$2:$R$2525,"JAN")</f>
        <v>0</v>
      </c>
      <c r="V25" s="55"/>
      <c r="W25" s="141">
        <f>SUMIFS('QUOTED PROJECTS-Earlier Yr'!$L$2:$L$2598,'QUOTED PROJECTS-Earlier Yr'!$Q$2:$Q$2598,"WON",'QUOTED PROJECTS-Earlier Yr'!$K$2:$K$2598,"320",'QUOTED PROJECTS-Earlier Yr'!$H$2:$H$2598,"VOLVO",'QUOTED PROJECTS-Earlier Yr'!$R$2:$R$2598,"FEB")+SUMIFS('QUOTED PROJECTS-Current Year'!$L$2:$L$2525,'QUOTED PROJECTS-Current Year'!$Q$2:$Q$2525,"WON",'QUOTED PROJECTS-Current Year'!$K$2:$K$2525,"320",'QUOTED PROJECTS-Current Year'!$H$2:$H$2525,"VOLVO",'QUOTED PROJECTS-Current Year'!$R$2:$R$2525,"FEB")</f>
        <v>0</v>
      </c>
      <c r="X25" s="55"/>
      <c r="Y25" s="141">
        <f>SUMIFS('QUOTED PROJECTS-Earlier Yr'!$L$2:$L$2598,'QUOTED PROJECTS-Earlier Yr'!$Q$2:$Q$2598,"WON",'QUOTED PROJECTS-Earlier Yr'!$K$2:$K$2598,"320",'QUOTED PROJECTS-Earlier Yr'!$H$2:$H$2598,"VOLVO",'QUOTED PROJECTS-Earlier Yr'!$R$2:$R$2598,"MAR")+SUMIFS('QUOTED PROJECTS-Current Year'!$L$2:$L$2525,'QUOTED PROJECTS-Current Year'!$Q$2:$Q$2525,"WON",'QUOTED PROJECTS-Current Year'!$K$2:$K$2525,"320",'QUOTED PROJECTS-Current Year'!$H$2:$H$2525,"VOLVO",'QUOTED PROJECTS-Current Year'!$R$2:$R$2525,"MAR")</f>
        <v>0</v>
      </c>
      <c r="Z25" s="57">
        <f t="shared" si="5"/>
        <v>0</v>
      </c>
      <c r="AA25" s="37">
        <f t="shared" si="5"/>
        <v>0</v>
      </c>
    </row>
    <row r="26" spans="1:27">
      <c r="A26" s="19">
        <v>380</v>
      </c>
      <c r="B26" s="55"/>
      <c r="C26" s="141">
        <f>SUMIFS('QUOTED PROJECTS-Earlier Yr'!$L$2:$L$2598,'QUOTED PROJECTS-Earlier Yr'!$Q$2:$Q$2598,"WON",'QUOTED PROJECTS-Earlier Yr'!$K$2:$K$2598,"380",'QUOTED PROJECTS-Earlier Yr'!$H$2:$H$2598,"VOLVO",'QUOTED PROJECTS-Earlier Yr'!$R$2:$R$2598,"APR")+SUMIFS('QUOTED PROJECTS-Current Year'!$L$2:$L$2525,'QUOTED PROJECTS-Current Year'!$Q$2:$Q$2525,"WON",'QUOTED PROJECTS-Current Year'!$K$2:$K$2525,"380",'QUOTED PROJECTS-Current Year'!$H$2:$H$2525,"VOLVO",'QUOTED PROJECTS-Current Year'!$R$2:$R$2525,"APR")</f>
        <v>0</v>
      </c>
      <c r="D26" s="55"/>
      <c r="E26" s="141">
        <f>SUMIFS('QUOTED PROJECTS-Earlier Yr'!$L$2:$L$2598,'QUOTED PROJECTS-Earlier Yr'!$Q$2:$Q$2598,"WON",'QUOTED PROJECTS-Earlier Yr'!$K$2:$K$2598,"380",'QUOTED PROJECTS-Earlier Yr'!$H$2:$H$2598,"VOLVO",'QUOTED PROJECTS-Earlier Yr'!$R$2:$R$2598,"MAY")+SUMIFS('QUOTED PROJECTS-Current Year'!$L$2:$L$2525,'QUOTED PROJECTS-Current Year'!$Q$2:$Q$2525,"WON",'QUOTED PROJECTS-Current Year'!$K$2:$K$2525,"380",'QUOTED PROJECTS-Current Year'!$H$2:$H$2525,"VOLVO",'QUOTED PROJECTS-Current Year'!$R$2:$R$2525,"MAY")</f>
        <v>0</v>
      </c>
      <c r="F26" s="55"/>
      <c r="G26" s="141">
        <f>SUMIFS('QUOTED PROJECTS-Earlier Yr'!$L$2:$L$2598,'QUOTED PROJECTS-Earlier Yr'!$Q$2:$Q$2598,"WON",'QUOTED PROJECTS-Earlier Yr'!$K$2:$K$2598,"380",'QUOTED PROJECTS-Earlier Yr'!$H$2:$H$2598,"VOLVO",'QUOTED PROJECTS-Earlier Yr'!$R$2:$R$2598,"JUN")+SUMIFS('QUOTED PROJECTS-Current Year'!$L$2:$L$2525,'QUOTED PROJECTS-Current Year'!$Q$2:$Q$2525,"WON",'QUOTED PROJECTS-Current Year'!$K$2:$K$2525,"380",'QUOTED PROJECTS-Current Year'!$H$2:$H$2525,"VOLVO",'QUOTED PROJECTS-Current Year'!$R$2:$R$2525,"JUN")</f>
        <v>0</v>
      </c>
      <c r="H26" s="55"/>
      <c r="I26" s="141">
        <f>SUMIFS('QUOTED PROJECTS-Earlier Yr'!$L$2:$L$2598,'QUOTED PROJECTS-Earlier Yr'!$Q$2:$Q$2598,"WON",'QUOTED PROJECTS-Earlier Yr'!$K$2:$K$2598,"380",'QUOTED PROJECTS-Earlier Yr'!$H$2:$H$2598,"VOLVO",'QUOTED PROJECTS-Earlier Yr'!$R$2:$R$2598,"JUL")+SUMIFS('QUOTED PROJECTS-Current Year'!$L$2:$L$2525,'QUOTED PROJECTS-Current Year'!$Q$2:$Q$2525,"WON",'QUOTED PROJECTS-Current Year'!$K$2:$K$2525,"380",'QUOTED PROJECTS-Current Year'!$H$2:$H$2525,"VOLVO",'QUOTED PROJECTS-Current Year'!$R$2:$R$2525,"JUL")</f>
        <v>0</v>
      </c>
      <c r="J26" s="55"/>
      <c r="K26" s="141">
        <f>SUMIFS('QUOTED PROJECTS-Earlier Yr'!$L$2:$L$2598,'QUOTED PROJECTS-Earlier Yr'!$Q$2:$Q$2598,"WON",'QUOTED PROJECTS-Earlier Yr'!$K$2:$K$2598,"380",'QUOTED PROJECTS-Earlier Yr'!$H$2:$H$2598,"VOLVO",'QUOTED PROJECTS-Earlier Yr'!$R$2:$R$2598,"AUG")+SUMIFS('QUOTED PROJECTS-Current Year'!$L$2:$L$2525,'QUOTED PROJECTS-Current Year'!$Q$2:$Q$2525,"WON",'QUOTED PROJECTS-Current Year'!$K$2:$K$2525,"380",'QUOTED PROJECTS-Current Year'!$H$2:$H$2525,"VOLVO",'QUOTED PROJECTS-Current Year'!$R$2:$R$2525,"AUG")</f>
        <v>0</v>
      </c>
      <c r="L26" s="55"/>
      <c r="M26" s="141">
        <f>SUMIFS('QUOTED PROJECTS-Earlier Yr'!$L$2:$L$2598,'QUOTED PROJECTS-Earlier Yr'!$Q$2:$Q$2598,"WON",'QUOTED PROJECTS-Earlier Yr'!$K$2:$K$2598,"380",'QUOTED PROJECTS-Earlier Yr'!$H$2:$H$2598,"VOLVO",'QUOTED PROJECTS-Earlier Yr'!$R$2:$R$2598,"SEPT")+SUMIFS('QUOTED PROJECTS-Current Year'!$L$2:$L$2525,'QUOTED PROJECTS-Current Year'!$Q$2:$Q$2525,"WON",'QUOTED PROJECTS-Current Year'!$K$2:$K$2525,"380",'QUOTED PROJECTS-Current Year'!$H$2:$H$2525,"VOLVO",'QUOTED PROJECTS-Current Year'!$R$2:$R$2525,"SEPT")</f>
        <v>0</v>
      </c>
      <c r="N26" s="55"/>
      <c r="O26" s="141">
        <f>SUMIFS('QUOTED PROJECTS-Earlier Yr'!$L$2:$L$2598,'QUOTED PROJECTS-Earlier Yr'!$Q$2:$Q$2598,"WON",'QUOTED PROJECTS-Earlier Yr'!$K$2:$K$2598,"380",'QUOTED PROJECTS-Earlier Yr'!$H$2:$H$2598,"VOLVO",'QUOTED PROJECTS-Earlier Yr'!$R$2:$R$2598,"OCT")+SUMIFS('QUOTED PROJECTS-Current Year'!$L$2:$L$2525,'QUOTED PROJECTS-Current Year'!$Q$2:$Q$2525,"WON",'QUOTED PROJECTS-Current Year'!$K$2:$K$2525,"380",'QUOTED PROJECTS-Current Year'!$H$2:$H$2525,"VOLVO",'QUOTED PROJECTS-Current Year'!$R$2:$R$2525,"OCT")</f>
        <v>0</v>
      </c>
      <c r="P26" s="55"/>
      <c r="Q26" s="141">
        <f>SUMIFS('QUOTED PROJECTS-Earlier Yr'!$L$2:$L$2598,'QUOTED PROJECTS-Earlier Yr'!$Q$2:$Q$2598,"WON",'QUOTED PROJECTS-Earlier Yr'!$K$2:$K$2598,"380",'QUOTED PROJECTS-Earlier Yr'!$H$2:$H$2598,"VOLVO",'QUOTED PROJECTS-Earlier Yr'!$R$2:$R$2598,"NOV")+SUMIFS('QUOTED PROJECTS-Current Year'!$L$2:$L$2525,'QUOTED PROJECTS-Current Year'!$Q$2:$Q$2525,"WON",'QUOTED PROJECTS-Current Year'!$K$2:$K$2525,"380",'QUOTED PROJECTS-Current Year'!$H$2:$H$2525,"VOLVO",'QUOTED PROJECTS-Current Year'!$R$2:$R$2525,"NOV")</f>
        <v>0</v>
      </c>
      <c r="R26" s="55"/>
      <c r="S26" s="141">
        <f>SUMIFS('QUOTED PROJECTS-Earlier Yr'!$L$2:$L$2598,'QUOTED PROJECTS-Earlier Yr'!$Q$2:$Q$2598,"WON",'QUOTED PROJECTS-Earlier Yr'!$K$2:$K$2598,"380",'QUOTED PROJECTS-Earlier Yr'!$H$2:$H$2598,"VOLVO",'QUOTED PROJECTS-Earlier Yr'!$R$2:$R$2598,"DEC")+SUMIFS('QUOTED PROJECTS-Current Year'!$L$2:$L$2525,'QUOTED PROJECTS-Current Year'!$Q$2:$Q$2525,"WON",'QUOTED PROJECTS-Current Year'!$K$2:$K$2525,"380",'QUOTED PROJECTS-Current Year'!$H$2:$H$2525,"VOLVO",'QUOTED PROJECTS-Current Year'!$R$2:$R$2525,"DEC")</f>
        <v>0</v>
      </c>
      <c r="T26" s="55"/>
      <c r="U26" s="141">
        <f>SUMIFS('QUOTED PROJECTS-Earlier Yr'!$L$2:$L$2598,'QUOTED PROJECTS-Earlier Yr'!$Q$2:$Q$2598,"WON",'QUOTED PROJECTS-Earlier Yr'!$K$2:$K$2598,"380",'QUOTED PROJECTS-Earlier Yr'!$H$2:$H$2598,"VOLVO",'QUOTED PROJECTS-Earlier Yr'!$R$2:$R$2598,"JAN")+SUMIFS('QUOTED PROJECTS-Current Year'!$L$2:$L$2525,'QUOTED PROJECTS-Current Year'!$Q$2:$Q$2525,"WON",'QUOTED PROJECTS-Current Year'!$K$2:$K$2525,"380",'QUOTED PROJECTS-Current Year'!$H$2:$H$2525,"VOLVO",'QUOTED PROJECTS-Current Year'!$R$2:$R$2525,"JAN")</f>
        <v>0</v>
      </c>
      <c r="V26" s="55"/>
      <c r="W26" s="141">
        <f>SUMIFS('QUOTED PROJECTS-Earlier Yr'!$L$2:$L$2598,'QUOTED PROJECTS-Earlier Yr'!$Q$2:$Q$2598,"WON",'QUOTED PROJECTS-Earlier Yr'!$K$2:$K$2598,"380",'QUOTED PROJECTS-Earlier Yr'!$H$2:$H$2598,"VOLVO",'QUOTED PROJECTS-Earlier Yr'!$R$2:$R$2598,"FEB")+SUMIFS('QUOTED PROJECTS-Current Year'!$L$2:$L$2525,'QUOTED PROJECTS-Current Year'!$Q$2:$Q$2525,"WON",'QUOTED PROJECTS-Current Year'!$K$2:$K$2525,"380",'QUOTED PROJECTS-Current Year'!$H$2:$H$2525,"VOLVO",'QUOTED PROJECTS-Current Year'!$R$2:$R$2525,"FEB")</f>
        <v>0</v>
      </c>
      <c r="X26" s="55"/>
      <c r="Y26" s="141">
        <f>SUMIFS('QUOTED PROJECTS-Earlier Yr'!$L$2:$L$2598,'QUOTED PROJECTS-Earlier Yr'!$Q$2:$Q$2598,"WON",'QUOTED PROJECTS-Earlier Yr'!$K$2:$K$2598,"380",'QUOTED PROJECTS-Earlier Yr'!$H$2:$H$2598,"VOLVO",'QUOTED PROJECTS-Earlier Yr'!$R$2:$R$2598,"MAR")+SUMIFS('QUOTED PROJECTS-Current Year'!$L$2:$L$2525,'QUOTED PROJECTS-Current Year'!$Q$2:$Q$2525,"WON",'QUOTED PROJECTS-Current Year'!$K$2:$K$2525,"380",'QUOTED PROJECTS-Current Year'!$H$2:$H$2525,"VOLVO",'QUOTED PROJECTS-Current Year'!$R$2:$R$2525,"MAR")</f>
        <v>0</v>
      </c>
      <c r="Z26" s="57">
        <f>B26+D26+F26+H26+J26+L26+N26+P26+R26+T26+V26+X26</f>
        <v>0</v>
      </c>
      <c r="AA26" s="37">
        <f>C26+E26+G26+I26+K26+M26+O26+Q26+S26+U26+W26+Y26</f>
        <v>0</v>
      </c>
    </row>
    <row r="27" spans="1:27">
      <c r="A27" s="19">
        <v>400</v>
      </c>
      <c r="B27" s="55"/>
      <c r="C27" s="141">
        <f>SUMIFS('QUOTED PROJECTS-Earlier Yr'!$L$2:$L$2598,'QUOTED PROJECTS-Earlier Yr'!$Q$2:$Q$2598,"WON",'QUOTED PROJECTS-Earlier Yr'!$K$2:$K$2598,"400",'QUOTED PROJECTS-Earlier Yr'!$H$2:$H$2598,"VOLVO",'QUOTED PROJECTS-Earlier Yr'!$R$2:$R$2598,"APR")+SUMIFS('QUOTED PROJECTS-Current Year'!$L$2:$L$2525,'QUOTED PROJECTS-Current Year'!$Q$2:$Q$2525,"WON",'QUOTED PROJECTS-Current Year'!$K$2:$K$2525,"400",'QUOTED PROJECTS-Current Year'!$H$2:$H$2525,"VOLVO",'QUOTED PROJECTS-Current Year'!$R$2:$R$2525,"APR")</f>
        <v>0</v>
      </c>
      <c r="D27" s="55"/>
      <c r="E27" s="141">
        <f>SUMIFS('QUOTED PROJECTS-Earlier Yr'!$L$2:$L$2598,'QUOTED PROJECTS-Earlier Yr'!$Q$2:$Q$2598,"WON",'QUOTED PROJECTS-Earlier Yr'!$K$2:$K$2598,"400",'QUOTED PROJECTS-Earlier Yr'!$H$2:$H$2598,"VOLVO",'QUOTED PROJECTS-Earlier Yr'!$R$2:$R$2598,"MAY")+SUMIFS('QUOTED PROJECTS-Current Year'!$L$2:$L$2525,'QUOTED PROJECTS-Current Year'!$Q$2:$Q$2525,"WON",'QUOTED PROJECTS-Current Year'!$K$2:$K$2525,"400",'QUOTED PROJECTS-Current Year'!$H$2:$H$2525,"VOLVO",'QUOTED PROJECTS-Current Year'!$R$2:$R$2525,"MAY")</f>
        <v>0</v>
      </c>
      <c r="F27" s="55"/>
      <c r="G27" s="141">
        <f>SUMIFS('QUOTED PROJECTS-Earlier Yr'!$L$2:$L$2598,'QUOTED PROJECTS-Earlier Yr'!$Q$2:$Q$2598,"WON",'QUOTED PROJECTS-Earlier Yr'!$K$2:$K$2598,"400",'QUOTED PROJECTS-Earlier Yr'!$H$2:$H$2598,"VOLVO",'QUOTED PROJECTS-Earlier Yr'!$R$2:$R$2598,"JUN")+SUMIFS('QUOTED PROJECTS-Current Year'!$L$2:$L$2525,'QUOTED PROJECTS-Current Year'!$Q$2:$Q$2525,"WON",'QUOTED PROJECTS-Current Year'!$K$2:$K$2525,"400",'QUOTED PROJECTS-Current Year'!$H$2:$H$2525,"VOLVO",'QUOTED PROJECTS-Current Year'!$R$2:$R$2525,"JUN")</f>
        <v>0</v>
      </c>
      <c r="H27" s="55"/>
      <c r="I27" s="141">
        <f>SUMIFS('QUOTED PROJECTS-Earlier Yr'!$L$2:$L$2598,'QUOTED PROJECTS-Earlier Yr'!$Q$2:$Q$2598,"WON",'QUOTED PROJECTS-Earlier Yr'!$K$2:$K$2598,"400",'QUOTED PROJECTS-Earlier Yr'!$H$2:$H$2598,"VOLVO",'QUOTED PROJECTS-Earlier Yr'!$R$2:$R$2598,"JUL")+SUMIFS('QUOTED PROJECTS-Current Year'!$L$2:$L$2525,'QUOTED PROJECTS-Current Year'!$Q$2:$Q$2525,"WON",'QUOTED PROJECTS-Current Year'!$K$2:$K$2525,"400",'QUOTED PROJECTS-Current Year'!$H$2:$H$2525,"VOLVO",'QUOTED PROJECTS-Current Year'!$R$2:$R$2525,"JUL")</f>
        <v>0</v>
      </c>
      <c r="J27" s="55"/>
      <c r="K27" s="141">
        <f>SUMIFS('QUOTED PROJECTS-Earlier Yr'!$L$2:$L$2598,'QUOTED PROJECTS-Earlier Yr'!$Q$2:$Q$2598,"WON",'QUOTED PROJECTS-Earlier Yr'!$K$2:$K$2598,"400",'QUOTED PROJECTS-Earlier Yr'!$H$2:$H$2598,"VOLVO",'QUOTED PROJECTS-Earlier Yr'!$R$2:$R$2598,"AUG")+SUMIFS('QUOTED PROJECTS-Current Year'!$L$2:$L$2525,'QUOTED PROJECTS-Current Year'!$Q$2:$Q$2525,"WON",'QUOTED PROJECTS-Current Year'!$K$2:$K$2525,"400",'QUOTED PROJECTS-Current Year'!$H$2:$H$2525,"VOLVO",'QUOTED PROJECTS-Current Year'!$R$2:$R$2525,"AUG")</f>
        <v>0</v>
      </c>
      <c r="L27" s="55"/>
      <c r="M27" s="141">
        <f>SUMIFS('QUOTED PROJECTS-Earlier Yr'!$L$2:$L$2598,'QUOTED PROJECTS-Earlier Yr'!$Q$2:$Q$2598,"WON",'QUOTED PROJECTS-Earlier Yr'!$K$2:$K$2598,"400",'QUOTED PROJECTS-Earlier Yr'!$H$2:$H$2598,"VOLVO",'QUOTED PROJECTS-Earlier Yr'!$R$2:$R$2598,"SEPT")+SUMIFS('QUOTED PROJECTS-Current Year'!$L$2:$L$2525,'QUOTED PROJECTS-Current Year'!$Q$2:$Q$2525,"WON",'QUOTED PROJECTS-Current Year'!$K$2:$K$2525,"400",'QUOTED PROJECTS-Current Year'!$H$2:$H$2525,"VOLVO",'QUOTED PROJECTS-Current Year'!$R$2:$R$2525,"SEPT")</f>
        <v>0</v>
      </c>
      <c r="N27" s="55"/>
      <c r="O27" s="141">
        <f>SUMIFS('QUOTED PROJECTS-Earlier Yr'!$L$2:$L$2598,'QUOTED PROJECTS-Earlier Yr'!$Q$2:$Q$2598,"WON",'QUOTED PROJECTS-Earlier Yr'!$K$2:$K$2598,"400",'QUOTED PROJECTS-Earlier Yr'!$H$2:$H$2598,"VOLVO",'QUOTED PROJECTS-Earlier Yr'!$R$2:$R$2598,"OCT")+SUMIFS('QUOTED PROJECTS-Current Year'!$L$2:$L$2525,'QUOTED PROJECTS-Current Year'!$Q$2:$Q$2525,"WON",'QUOTED PROJECTS-Current Year'!$K$2:$K$2525,"400",'QUOTED PROJECTS-Current Year'!$H$2:$H$2525,"VOLVO",'QUOTED PROJECTS-Current Year'!$R$2:$R$2525,"OCT")</f>
        <v>0</v>
      </c>
      <c r="P27" s="55"/>
      <c r="Q27" s="141">
        <f>SUMIFS('QUOTED PROJECTS-Earlier Yr'!$L$2:$L$2598,'QUOTED PROJECTS-Earlier Yr'!$Q$2:$Q$2598,"WON",'QUOTED PROJECTS-Earlier Yr'!$K$2:$K$2598,"400",'QUOTED PROJECTS-Earlier Yr'!$H$2:$H$2598,"VOLVO",'QUOTED PROJECTS-Earlier Yr'!$R$2:$R$2598,"NOV")+SUMIFS('QUOTED PROJECTS-Current Year'!$L$2:$L$2525,'QUOTED PROJECTS-Current Year'!$Q$2:$Q$2525,"WON",'QUOTED PROJECTS-Current Year'!$K$2:$K$2525,"400",'QUOTED PROJECTS-Current Year'!$H$2:$H$2525,"VOLVO",'QUOTED PROJECTS-Current Year'!$R$2:$R$2525,"NOV")</f>
        <v>0</v>
      </c>
      <c r="R27" s="55"/>
      <c r="S27" s="141">
        <f>SUMIFS('QUOTED PROJECTS-Earlier Yr'!$L$2:$L$2598,'QUOTED PROJECTS-Earlier Yr'!$Q$2:$Q$2598,"WON",'QUOTED PROJECTS-Earlier Yr'!$K$2:$K$2598,"400",'QUOTED PROJECTS-Earlier Yr'!$H$2:$H$2598,"VOLVO",'QUOTED PROJECTS-Earlier Yr'!$R$2:$R$2598,"DEC")+SUMIFS('QUOTED PROJECTS-Current Year'!$L$2:$L$2525,'QUOTED PROJECTS-Current Year'!$Q$2:$Q$2525,"WON",'QUOTED PROJECTS-Current Year'!$K$2:$K$2525,"400",'QUOTED PROJECTS-Current Year'!$H$2:$H$2525,"VOLVO",'QUOTED PROJECTS-Current Year'!$R$2:$R$2525,"DEC")</f>
        <v>0</v>
      </c>
      <c r="T27" s="55"/>
      <c r="U27" s="141">
        <f>SUMIFS('QUOTED PROJECTS-Earlier Yr'!$L$2:$L$2598,'QUOTED PROJECTS-Earlier Yr'!$Q$2:$Q$2598,"WON",'QUOTED PROJECTS-Earlier Yr'!$K$2:$K$2598,"400",'QUOTED PROJECTS-Earlier Yr'!$H$2:$H$2598,"VOLVO",'QUOTED PROJECTS-Earlier Yr'!$R$2:$R$2598,"JAN")+SUMIFS('QUOTED PROJECTS-Current Year'!$L$2:$L$2525,'QUOTED PROJECTS-Current Year'!$Q$2:$Q$2525,"WON",'QUOTED PROJECTS-Current Year'!$K$2:$K$2525,"400",'QUOTED PROJECTS-Current Year'!$H$2:$H$2525,"VOLVO",'QUOTED PROJECTS-Current Year'!$R$2:$R$2525,"JAN")</f>
        <v>0</v>
      </c>
      <c r="V27" s="55"/>
      <c r="W27" s="141">
        <f>SUMIFS('QUOTED PROJECTS-Earlier Yr'!$L$2:$L$2598,'QUOTED PROJECTS-Earlier Yr'!$Q$2:$Q$2598,"WON",'QUOTED PROJECTS-Earlier Yr'!$K$2:$K$2598,"400",'QUOTED PROJECTS-Earlier Yr'!$H$2:$H$2598,"VOLVO",'QUOTED PROJECTS-Earlier Yr'!$R$2:$R$2598,"FEB")+SUMIFS('QUOTED PROJECTS-Current Year'!$L$2:$L$2525,'QUOTED PROJECTS-Current Year'!$Q$2:$Q$2525,"WON",'QUOTED PROJECTS-Current Year'!$K$2:$K$2525,"400",'QUOTED PROJECTS-Current Year'!$H$2:$H$2525,"VOLVO",'QUOTED PROJECTS-Current Year'!$R$2:$R$2525,"FEB")</f>
        <v>0</v>
      </c>
      <c r="X27" s="55"/>
      <c r="Y27" s="141">
        <f>SUMIFS('QUOTED PROJECTS-Earlier Yr'!$L$2:$L$2598,'QUOTED PROJECTS-Earlier Yr'!$Q$2:$Q$2598,"WON",'QUOTED PROJECTS-Earlier Yr'!$K$2:$K$2598,"400",'QUOTED PROJECTS-Earlier Yr'!$H$2:$H$2598,"VOLVO",'QUOTED PROJECTS-Earlier Yr'!$R$2:$R$2598,"MAR")+SUMIFS('QUOTED PROJECTS-Current Year'!$L$2:$L$2525,'QUOTED PROJECTS-Current Year'!$Q$2:$Q$2525,"WON",'QUOTED PROJECTS-Current Year'!$K$2:$K$2525,"400",'QUOTED PROJECTS-Current Year'!$H$2:$H$2525,"VOLVO",'QUOTED PROJECTS-Current Year'!$R$2:$R$2525,"MAR")</f>
        <v>0</v>
      </c>
      <c r="Z27" s="57">
        <f t="shared" si="5"/>
        <v>0</v>
      </c>
      <c r="AA27" s="37">
        <f t="shared" si="5"/>
        <v>0</v>
      </c>
    </row>
    <row r="28" spans="1:27">
      <c r="A28" s="19">
        <v>500</v>
      </c>
      <c r="B28" s="55"/>
      <c r="C28" s="141">
        <f>SUMIFS('QUOTED PROJECTS-Earlier Yr'!$L$2:$L$2598,'QUOTED PROJECTS-Earlier Yr'!$Q$2:$Q$2598,"WON",'QUOTED PROJECTS-Earlier Yr'!$K$2:$K$2598,"500",'QUOTED PROJECTS-Earlier Yr'!$H$2:$H$2598,"VOLVO",'QUOTED PROJECTS-Earlier Yr'!$R$2:$R$2598,"APR")+SUMIFS('QUOTED PROJECTS-Current Year'!$L$2:$L$2525,'QUOTED PROJECTS-Current Year'!$Q$2:$Q$2525,"WON",'QUOTED PROJECTS-Current Year'!$K$2:$K$2525,"500",'QUOTED PROJECTS-Current Year'!$H$2:$H$2525,"VOLVO",'QUOTED PROJECTS-Current Year'!$R$2:$R$2525,"APR")</f>
        <v>0</v>
      </c>
      <c r="D28" s="55"/>
      <c r="E28" s="141">
        <f>SUMIFS('QUOTED PROJECTS-Earlier Yr'!$L$2:$L$2598,'QUOTED PROJECTS-Earlier Yr'!$Q$2:$Q$2598,"WON",'QUOTED PROJECTS-Earlier Yr'!$K$2:$K$2598,"500",'QUOTED PROJECTS-Earlier Yr'!$H$2:$H$2598,"VOLVO",'QUOTED PROJECTS-Earlier Yr'!$R$2:$R$2598,"MAY")+SUMIFS('QUOTED PROJECTS-Current Year'!$L$2:$L$2525,'QUOTED PROJECTS-Current Year'!$Q$2:$Q$2525,"WON",'QUOTED PROJECTS-Current Year'!$K$2:$K$2525,"500",'QUOTED PROJECTS-Current Year'!$H$2:$H$2525,"VOLVO",'QUOTED PROJECTS-Current Year'!$R$2:$R$2525,"MAY")</f>
        <v>0</v>
      </c>
      <c r="F28" s="55"/>
      <c r="G28" s="141">
        <f>SUMIFS('QUOTED PROJECTS-Earlier Yr'!$L$2:$L$2598,'QUOTED PROJECTS-Earlier Yr'!$Q$2:$Q$2598,"WON",'QUOTED PROJECTS-Earlier Yr'!$K$2:$K$2598,"500",'QUOTED PROJECTS-Earlier Yr'!$H$2:$H$2598,"VOLVO",'QUOTED PROJECTS-Earlier Yr'!$R$2:$R$2598,"JUN")+SUMIFS('QUOTED PROJECTS-Current Year'!$L$2:$L$2525,'QUOTED PROJECTS-Current Year'!$Q$2:$Q$2525,"WON",'QUOTED PROJECTS-Current Year'!$K$2:$K$2525,"500",'QUOTED PROJECTS-Current Year'!$H$2:$H$2525,"VOLVO",'QUOTED PROJECTS-Current Year'!$R$2:$R$2525,"JUN")</f>
        <v>0</v>
      </c>
      <c r="H28" s="55"/>
      <c r="I28" s="141">
        <f>SUMIFS('QUOTED PROJECTS-Earlier Yr'!$L$2:$L$2598,'QUOTED PROJECTS-Earlier Yr'!$Q$2:$Q$2598,"WON",'QUOTED PROJECTS-Earlier Yr'!$K$2:$K$2598,"500",'QUOTED PROJECTS-Earlier Yr'!$H$2:$H$2598,"VOLVO",'QUOTED PROJECTS-Earlier Yr'!$R$2:$R$2598,"JUL")+SUMIFS('QUOTED PROJECTS-Current Year'!$L$2:$L$2525,'QUOTED PROJECTS-Current Year'!$Q$2:$Q$2525,"WON",'QUOTED PROJECTS-Current Year'!$K$2:$K$2525,"500",'QUOTED PROJECTS-Current Year'!$H$2:$H$2525,"VOLVO",'QUOTED PROJECTS-Current Year'!$R$2:$R$2525,"JUL")</f>
        <v>0.5</v>
      </c>
      <c r="J28" s="55"/>
      <c r="K28" s="141">
        <f>SUMIFS('QUOTED PROJECTS-Earlier Yr'!$L$2:$L$2598,'QUOTED PROJECTS-Earlier Yr'!$Q$2:$Q$2598,"WON",'QUOTED PROJECTS-Earlier Yr'!$K$2:$K$2598,"500",'QUOTED PROJECTS-Earlier Yr'!$H$2:$H$2598,"VOLVO",'QUOTED PROJECTS-Earlier Yr'!$R$2:$R$2598,"AUG")+SUMIFS('QUOTED PROJECTS-Current Year'!$L$2:$L$2525,'QUOTED PROJECTS-Current Year'!$Q$2:$Q$2525,"WON",'QUOTED PROJECTS-Current Year'!$K$2:$K$2525,"500",'QUOTED PROJECTS-Current Year'!$H$2:$H$2525,"VOLVO",'QUOTED PROJECTS-Current Year'!$R$2:$R$2525,"AUG")</f>
        <v>0</v>
      </c>
      <c r="L28" s="55"/>
      <c r="M28" s="141">
        <f>SUMIFS('QUOTED PROJECTS-Earlier Yr'!$L$2:$L$2598,'QUOTED PROJECTS-Earlier Yr'!$Q$2:$Q$2598,"WON",'QUOTED PROJECTS-Earlier Yr'!$K$2:$K$2598,"500",'QUOTED PROJECTS-Earlier Yr'!$H$2:$H$2598,"VOLVO",'QUOTED PROJECTS-Earlier Yr'!$R$2:$R$2598,"SEPT")+SUMIFS('QUOTED PROJECTS-Current Year'!$L$2:$L$2525,'QUOTED PROJECTS-Current Year'!$Q$2:$Q$2525,"WON",'QUOTED PROJECTS-Current Year'!$K$2:$K$2525,"500",'QUOTED PROJECTS-Current Year'!$H$2:$H$2525,"VOLVO",'QUOTED PROJECTS-Current Year'!$R$2:$R$2525,"SEPT")</f>
        <v>0</v>
      </c>
      <c r="N28" s="55"/>
      <c r="O28" s="141">
        <f>SUMIFS('QUOTED PROJECTS-Earlier Yr'!$L$2:$L$2598,'QUOTED PROJECTS-Earlier Yr'!$Q$2:$Q$2598,"WON",'QUOTED PROJECTS-Earlier Yr'!$K$2:$K$2598,"500",'QUOTED PROJECTS-Earlier Yr'!$H$2:$H$2598,"VOLVO",'QUOTED PROJECTS-Earlier Yr'!$R$2:$R$2598,"OCT")+SUMIFS('QUOTED PROJECTS-Current Year'!$L$2:$L$2525,'QUOTED PROJECTS-Current Year'!$Q$2:$Q$2525,"WON",'QUOTED PROJECTS-Current Year'!$K$2:$K$2525,"500",'QUOTED PROJECTS-Current Year'!$H$2:$H$2525,"VOLVO",'QUOTED PROJECTS-Current Year'!$R$2:$R$2525,"OCT")</f>
        <v>0</v>
      </c>
      <c r="P28" s="55"/>
      <c r="Q28" s="141">
        <f>SUMIFS('QUOTED PROJECTS-Earlier Yr'!$L$2:$L$2598,'QUOTED PROJECTS-Earlier Yr'!$Q$2:$Q$2598,"WON",'QUOTED PROJECTS-Earlier Yr'!$K$2:$K$2598,"500",'QUOTED PROJECTS-Earlier Yr'!$H$2:$H$2598,"VOLVO",'QUOTED PROJECTS-Earlier Yr'!$R$2:$R$2598,"NOV")+SUMIFS('QUOTED PROJECTS-Current Year'!$L$2:$L$2525,'QUOTED PROJECTS-Current Year'!$Q$2:$Q$2525,"WON",'QUOTED PROJECTS-Current Year'!$K$2:$K$2525,"500",'QUOTED PROJECTS-Current Year'!$H$2:$H$2525,"VOLVO",'QUOTED PROJECTS-Current Year'!$R$2:$R$2525,"NOV")</f>
        <v>0</v>
      </c>
      <c r="R28" s="55"/>
      <c r="S28" s="141">
        <f>SUMIFS('QUOTED PROJECTS-Earlier Yr'!$L$2:$L$2598,'QUOTED PROJECTS-Earlier Yr'!$Q$2:$Q$2598,"WON",'QUOTED PROJECTS-Earlier Yr'!$K$2:$K$2598,"500",'QUOTED PROJECTS-Earlier Yr'!$H$2:$H$2598,"VOLVO",'QUOTED PROJECTS-Earlier Yr'!$R$2:$R$2598,"DEC")+SUMIFS('QUOTED PROJECTS-Current Year'!$L$2:$L$2525,'QUOTED PROJECTS-Current Year'!$Q$2:$Q$2525,"WON",'QUOTED PROJECTS-Current Year'!$K$2:$K$2525,"500",'QUOTED PROJECTS-Current Year'!$H$2:$H$2525,"VOLVO",'QUOTED PROJECTS-Current Year'!$R$2:$R$2525,"DEC")</f>
        <v>0</v>
      </c>
      <c r="T28" s="55"/>
      <c r="U28" s="141">
        <f>SUMIFS('QUOTED PROJECTS-Earlier Yr'!$L$2:$L$2598,'QUOTED PROJECTS-Earlier Yr'!$Q$2:$Q$2598,"WON",'QUOTED PROJECTS-Earlier Yr'!$K$2:$K$2598,"500",'QUOTED PROJECTS-Earlier Yr'!$H$2:$H$2598,"VOLVO",'QUOTED PROJECTS-Earlier Yr'!$R$2:$R$2598,"JAN")+SUMIFS('QUOTED PROJECTS-Current Year'!$L$2:$L$2525,'QUOTED PROJECTS-Current Year'!$Q$2:$Q$2525,"WON",'QUOTED PROJECTS-Current Year'!$K$2:$K$2525,"500",'QUOTED PROJECTS-Current Year'!$H$2:$H$2525,"VOLVO",'QUOTED PROJECTS-Current Year'!$R$2:$R$2525,"JAN")</f>
        <v>0</v>
      </c>
      <c r="V28" s="55"/>
      <c r="W28" s="141">
        <f>SUMIFS('QUOTED PROJECTS-Earlier Yr'!$L$2:$L$2598,'QUOTED PROJECTS-Earlier Yr'!$Q$2:$Q$2598,"WON",'QUOTED PROJECTS-Earlier Yr'!$K$2:$K$2598,"500",'QUOTED PROJECTS-Earlier Yr'!$H$2:$H$2598,"VOLVO",'QUOTED PROJECTS-Earlier Yr'!$R$2:$R$2598,"FEB")+SUMIFS('QUOTED PROJECTS-Current Year'!$L$2:$L$2525,'QUOTED PROJECTS-Current Year'!$Q$2:$Q$2525,"WON",'QUOTED PROJECTS-Current Year'!$K$2:$K$2525,"500",'QUOTED PROJECTS-Current Year'!$H$2:$H$2525,"VOLVO",'QUOTED PROJECTS-Current Year'!$R$2:$R$2525,"FEB")</f>
        <v>0</v>
      </c>
      <c r="X28" s="55"/>
      <c r="Y28" s="141">
        <f>SUMIFS('QUOTED PROJECTS-Earlier Yr'!$L$2:$L$2598,'QUOTED PROJECTS-Earlier Yr'!$Q$2:$Q$2598,"WON",'QUOTED PROJECTS-Earlier Yr'!$K$2:$K$2598,"500",'QUOTED PROJECTS-Earlier Yr'!$H$2:$H$2598,"VOLVO",'QUOTED PROJECTS-Earlier Yr'!$R$2:$R$2598,"MAR")+SUMIFS('QUOTED PROJECTS-Current Year'!$L$2:$L$2525,'QUOTED PROJECTS-Current Year'!$Q$2:$Q$2525,"WON",'QUOTED PROJECTS-Current Year'!$K$2:$K$2525,"500",'QUOTED PROJECTS-Current Year'!$H$2:$H$2525,"VOLVO",'QUOTED PROJECTS-Current Year'!$R$2:$R$2525,"MAR")</f>
        <v>0</v>
      </c>
      <c r="Z28" s="57">
        <f t="shared" si="5"/>
        <v>0</v>
      </c>
      <c r="AA28" s="37">
        <f t="shared" si="5"/>
        <v>0.5</v>
      </c>
    </row>
    <row r="29" spans="1:27">
      <c r="A29" s="19">
        <v>600</v>
      </c>
      <c r="B29" s="55"/>
      <c r="C29" s="141">
        <f>SUMIFS('QUOTED PROJECTS-Earlier Yr'!$L$2:$L$2598,'QUOTED PROJECTS-Earlier Yr'!$Q$2:$Q$2598,"WON",'QUOTED PROJECTS-Earlier Yr'!$K$2:$K$2598,"600",'QUOTED PROJECTS-Earlier Yr'!$H$2:$H$2598,"VOLVO",'QUOTED PROJECTS-Earlier Yr'!$R$2:$R$2598,"APR")+SUMIFS('QUOTED PROJECTS-Current Year'!$L$2:$L$2525,'QUOTED PROJECTS-Current Year'!$Q$2:$Q$2525,"WON",'QUOTED PROJECTS-Current Year'!$K$2:$K$2525,"600",'QUOTED PROJECTS-Current Year'!$H$2:$H$2525,"VOLVO",'QUOTED PROJECTS-Current Year'!$R$2:$R$2525,"APR")</f>
        <v>0</v>
      </c>
      <c r="D29" s="55"/>
      <c r="E29" s="141">
        <f>SUMIFS('QUOTED PROJECTS-Earlier Yr'!$L$2:$L$2598,'QUOTED PROJECTS-Earlier Yr'!$Q$2:$Q$2598,"WON",'QUOTED PROJECTS-Earlier Yr'!$K$2:$K$2598,"600",'QUOTED PROJECTS-Earlier Yr'!$H$2:$H$2598,"VOLVO",'QUOTED PROJECTS-Earlier Yr'!$R$2:$R$2598,"MAY")+SUMIFS('QUOTED PROJECTS-Current Year'!$L$2:$L$2525,'QUOTED PROJECTS-Current Year'!$Q$2:$Q$2525,"WON",'QUOTED PROJECTS-Current Year'!$K$2:$K$2525,"600",'QUOTED PROJECTS-Current Year'!$H$2:$H$2525,"VOLVO",'QUOTED PROJECTS-Current Year'!$R$2:$R$2525,"MAY")</f>
        <v>0</v>
      </c>
      <c r="F29" s="55"/>
      <c r="G29" s="141">
        <f>SUMIFS('QUOTED PROJECTS-Earlier Yr'!$L$2:$L$2598,'QUOTED PROJECTS-Earlier Yr'!$Q$2:$Q$2598,"WON",'QUOTED PROJECTS-Earlier Yr'!$K$2:$K$2598,"600",'QUOTED PROJECTS-Earlier Yr'!$H$2:$H$2598,"VOLVO",'QUOTED PROJECTS-Earlier Yr'!$R$2:$R$2598,"JUN")+SUMIFS('QUOTED PROJECTS-Current Year'!$L$2:$L$2525,'QUOTED PROJECTS-Current Year'!$Q$2:$Q$2525,"WON",'QUOTED PROJECTS-Current Year'!$K$2:$K$2525,"600",'QUOTED PROJECTS-Current Year'!$H$2:$H$2525,"VOLVO",'QUOTED PROJECTS-Current Year'!$R$2:$R$2525,"JUN")</f>
        <v>0</v>
      </c>
      <c r="H29" s="55"/>
      <c r="I29" s="141">
        <f>SUMIFS('QUOTED PROJECTS-Earlier Yr'!$L$2:$L$2598,'QUOTED PROJECTS-Earlier Yr'!$Q$2:$Q$2598,"WON",'QUOTED PROJECTS-Earlier Yr'!$K$2:$K$2598,"600",'QUOTED PROJECTS-Earlier Yr'!$H$2:$H$2598,"VOLVO",'QUOTED PROJECTS-Earlier Yr'!$R$2:$R$2598,"JUL")+SUMIFS('QUOTED PROJECTS-Current Year'!$L$2:$L$2525,'QUOTED PROJECTS-Current Year'!$Q$2:$Q$2525,"WON",'QUOTED PROJECTS-Current Year'!$K$2:$K$2525,"600",'QUOTED PROJECTS-Current Year'!$H$2:$H$2525,"VOLVO",'QUOTED PROJECTS-Current Year'!$R$2:$R$2525,"JUL")</f>
        <v>1</v>
      </c>
      <c r="J29" s="55"/>
      <c r="K29" s="141">
        <f>SUMIFS('QUOTED PROJECTS-Earlier Yr'!$L$2:$L$2598,'QUOTED PROJECTS-Earlier Yr'!$Q$2:$Q$2598,"WON",'QUOTED PROJECTS-Earlier Yr'!$K$2:$K$2598,"600",'QUOTED PROJECTS-Earlier Yr'!$H$2:$H$2598,"VOLVO",'QUOTED PROJECTS-Earlier Yr'!$R$2:$R$2598,"AUG")+SUMIFS('QUOTED PROJECTS-Current Year'!$L$2:$L$2525,'QUOTED PROJECTS-Current Year'!$Q$2:$Q$2525,"WON",'QUOTED PROJECTS-Current Year'!$K$2:$K$2525,"600",'QUOTED PROJECTS-Current Year'!$H$2:$H$2525,"VOLVO",'QUOTED PROJECTS-Current Year'!$R$2:$R$2525,"AUG")</f>
        <v>2</v>
      </c>
      <c r="L29" s="55"/>
      <c r="M29" s="141">
        <f>SUMIFS('QUOTED PROJECTS-Earlier Yr'!$L$2:$L$2598,'QUOTED PROJECTS-Earlier Yr'!$Q$2:$Q$2598,"WON",'QUOTED PROJECTS-Earlier Yr'!$K$2:$K$2598,"600",'QUOTED PROJECTS-Earlier Yr'!$H$2:$H$2598,"VOLVO",'QUOTED PROJECTS-Earlier Yr'!$R$2:$R$2598,"SEPT")+SUMIFS('QUOTED PROJECTS-Current Year'!$L$2:$L$2525,'QUOTED PROJECTS-Current Year'!$Q$2:$Q$2525,"WON",'QUOTED PROJECTS-Current Year'!$K$2:$K$2525,"600",'QUOTED PROJECTS-Current Year'!$H$2:$H$2525,"VOLVO",'QUOTED PROJECTS-Current Year'!$R$2:$R$2525,"SEPT")</f>
        <v>0</v>
      </c>
      <c r="N29" s="55"/>
      <c r="O29" s="141">
        <f>SUMIFS('QUOTED PROJECTS-Earlier Yr'!$L$2:$L$2598,'QUOTED PROJECTS-Earlier Yr'!$Q$2:$Q$2598,"WON",'QUOTED PROJECTS-Earlier Yr'!$K$2:$K$2598,"600",'QUOTED PROJECTS-Earlier Yr'!$H$2:$H$2598,"VOLVO",'QUOTED PROJECTS-Earlier Yr'!$R$2:$R$2598,"OCT")+SUMIFS('QUOTED PROJECTS-Current Year'!$L$2:$L$2525,'QUOTED PROJECTS-Current Year'!$Q$2:$Q$2525,"WON",'QUOTED PROJECTS-Current Year'!$K$2:$K$2525,"600",'QUOTED PROJECTS-Current Year'!$H$2:$H$2525,"VOLVO",'QUOTED PROJECTS-Current Year'!$R$2:$R$2525,"OCT")</f>
        <v>0</v>
      </c>
      <c r="P29" s="55"/>
      <c r="Q29" s="141">
        <f>SUMIFS('QUOTED PROJECTS-Earlier Yr'!$L$2:$L$2598,'QUOTED PROJECTS-Earlier Yr'!$Q$2:$Q$2598,"WON",'QUOTED PROJECTS-Earlier Yr'!$K$2:$K$2598,"600",'QUOTED PROJECTS-Earlier Yr'!$H$2:$H$2598,"VOLVO",'QUOTED PROJECTS-Earlier Yr'!$R$2:$R$2598,"NOV")+SUMIFS('QUOTED PROJECTS-Current Year'!$L$2:$L$2525,'QUOTED PROJECTS-Current Year'!$Q$2:$Q$2525,"WON",'QUOTED PROJECTS-Current Year'!$K$2:$K$2525,"600",'QUOTED PROJECTS-Current Year'!$H$2:$H$2525,"VOLVO",'QUOTED PROJECTS-Current Year'!$R$2:$R$2525,"NOV")</f>
        <v>0</v>
      </c>
      <c r="R29" s="55">
        <v>0</v>
      </c>
      <c r="S29" s="141">
        <f>SUMIFS('QUOTED PROJECTS-Earlier Yr'!$L$2:$L$2598,'QUOTED PROJECTS-Earlier Yr'!$Q$2:$Q$2598,"WON",'QUOTED PROJECTS-Earlier Yr'!$K$2:$K$2598,"600",'QUOTED PROJECTS-Earlier Yr'!$H$2:$H$2598,"VOLVO",'QUOTED PROJECTS-Earlier Yr'!$R$2:$R$2598,"DEC")+SUMIFS('QUOTED PROJECTS-Current Year'!$L$2:$L$2525,'QUOTED PROJECTS-Current Year'!$Q$2:$Q$2525,"WON",'QUOTED PROJECTS-Current Year'!$K$2:$K$2525,"600",'QUOTED PROJECTS-Current Year'!$H$2:$H$2525,"VOLVO",'QUOTED PROJECTS-Current Year'!$R$2:$R$2525,"DEC")</f>
        <v>0</v>
      </c>
      <c r="T29" s="55"/>
      <c r="U29" s="141">
        <f>SUMIFS('QUOTED PROJECTS-Earlier Yr'!$L$2:$L$2598,'QUOTED PROJECTS-Earlier Yr'!$Q$2:$Q$2598,"WON",'QUOTED PROJECTS-Earlier Yr'!$K$2:$K$2598,"600",'QUOTED PROJECTS-Earlier Yr'!$H$2:$H$2598,"VOLVO",'QUOTED PROJECTS-Earlier Yr'!$R$2:$R$2598,"JAN")+SUMIFS('QUOTED PROJECTS-Current Year'!$L$2:$L$2525,'QUOTED PROJECTS-Current Year'!$Q$2:$Q$2525,"WON",'QUOTED PROJECTS-Current Year'!$K$2:$K$2525,"600",'QUOTED PROJECTS-Current Year'!$H$2:$H$2525,"VOLVO",'QUOTED PROJECTS-Current Year'!$R$2:$R$2525,"JAN")</f>
        <v>0</v>
      </c>
      <c r="V29" s="55"/>
      <c r="W29" s="141">
        <f>SUMIFS('QUOTED PROJECTS-Earlier Yr'!$L$2:$L$2598,'QUOTED PROJECTS-Earlier Yr'!$Q$2:$Q$2598,"WON",'QUOTED PROJECTS-Earlier Yr'!$K$2:$K$2598,"600",'QUOTED PROJECTS-Earlier Yr'!$H$2:$H$2598,"VOLVO",'QUOTED PROJECTS-Earlier Yr'!$R$2:$R$2598,"FEB")+SUMIFS('QUOTED PROJECTS-Current Year'!$L$2:$L$2525,'QUOTED PROJECTS-Current Year'!$Q$2:$Q$2525,"WON",'QUOTED PROJECTS-Current Year'!$K$2:$K$2525,"600",'QUOTED PROJECTS-Current Year'!$H$2:$H$2525,"VOLVO",'QUOTED PROJECTS-Current Year'!$R$2:$R$2525,"FEB")</f>
        <v>0</v>
      </c>
      <c r="X29" s="55"/>
      <c r="Y29" s="141">
        <f>SUMIFS('QUOTED PROJECTS-Earlier Yr'!$L$2:$L$2598,'QUOTED PROJECTS-Earlier Yr'!$Q$2:$Q$2598,"WON",'QUOTED PROJECTS-Earlier Yr'!$K$2:$K$2598,"600",'QUOTED PROJECTS-Earlier Yr'!$H$2:$H$2598,"VOLVO",'QUOTED PROJECTS-Earlier Yr'!$R$2:$R$2598,"MAR")+SUMIFS('QUOTED PROJECTS-Current Year'!$L$2:$L$2525,'QUOTED PROJECTS-Current Year'!$Q$2:$Q$2525,"WON",'QUOTED PROJECTS-Current Year'!$K$2:$K$2525,"600",'QUOTED PROJECTS-Current Year'!$H$2:$H$2525,"VOLVO",'QUOTED PROJECTS-Current Year'!$R$2:$R$2525,"MAR")</f>
        <v>0</v>
      </c>
      <c r="Z29" s="57">
        <f>B29+D29+F29+H29+J29+L29+N29+P29+R29+T29+V29+X29</f>
        <v>0</v>
      </c>
      <c r="AA29" s="37">
        <f>C29+E29+G29+I29+K29+M29+O29+Q29+S29+U29+W29+Y29</f>
        <v>3</v>
      </c>
    </row>
    <row r="30" spans="1:27" ht="13.5" thickBot="1">
      <c r="A30" s="19">
        <v>630</v>
      </c>
      <c r="B30" s="55"/>
      <c r="C30" s="141">
        <f>SUMIFS('QUOTED PROJECTS-Earlier Yr'!$L$2:$L$2598,'QUOTED PROJECTS-Earlier Yr'!$Q$2:$Q$2598,"WON",'QUOTED PROJECTS-Earlier Yr'!$K$2:$K$2598,"630",'QUOTED PROJECTS-Earlier Yr'!$H$2:$H$2598,"VOLVO",'QUOTED PROJECTS-Earlier Yr'!$R$2:$R$2598,"APR")+SUMIFS('QUOTED PROJECTS-Current Year'!$L$2:$L$2525,'QUOTED PROJECTS-Current Year'!$Q$2:$Q$2525,"WON",'QUOTED PROJECTS-Current Year'!$K$2:$K$2525,"630",'QUOTED PROJECTS-Current Year'!$H$2:$H$2525,"VOLVO",'QUOTED PROJECTS-Current Year'!$R$2:$R$2525,"APR")</f>
        <v>0</v>
      </c>
      <c r="D30" s="55"/>
      <c r="E30" s="141">
        <f>SUMIFS('QUOTED PROJECTS-Earlier Yr'!$L$2:$L$2598,'QUOTED PROJECTS-Earlier Yr'!$Q$2:$Q$2598,"WON",'QUOTED PROJECTS-Earlier Yr'!$K$2:$K$2598,"630",'QUOTED PROJECTS-Earlier Yr'!$H$2:$H$2598,"VOLVO",'QUOTED PROJECTS-Earlier Yr'!$R$2:$R$2598,"MAY")+SUMIFS('QUOTED PROJECTS-Current Year'!$L$2:$L$2525,'QUOTED PROJECTS-Current Year'!$Q$2:$Q$2525,"WON",'QUOTED PROJECTS-Current Year'!$K$2:$K$2525,"630",'QUOTED PROJECTS-Current Year'!$H$2:$H$2525,"VOLVO",'QUOTED PROJECTS-Current Year'!$R$2:$R$2525,"MAY")</f>
        <v>0</v>
      </c>
      <c r="F30" s="55"/>
      <c r="G30" s="141">
        <f>SUMIFS('QUOTED PROJECTS-Earlier Yr'!$L$2:$L$2598,'QUOTED PROJECTS-Earlier Yr'!$Q$2:$Q$2598,"WON",'QUOTED PROJECTS-Earlier Yr'!$K$2:$K$2598,"630",'QUOTED PROJECTS-Earlier Yr'!$H$2:$H$2598,"VOLVO",'QUOTED PROJECTS-Earlier Yr'!$R$2:$R$2598,"JUN")+SUMIFS('QUOTED PROJECTS-Current Year'!$L$2:$L$2525,'QUOTED PROJECTS-Current Year'!$Q$2:$Q$2525,"WON",'QUOTED PROJECTS-Current Year'!$K$2:$K$2525,"630",'QUOTED PROJECTS-Current Year'!$H$2:$H$2525,"VOLVO",'QUOTED PROJECTS-Current Year'!$R$2:$R$2525,"JUN")</f>
        <v>0</v>
      </c>
      <c r="H30" s="55"/>
      <c r="I30" s="141">
        <f>SUMIFS('QUOTED PROJECTS-Earlier Yr'!$L$2:$L$2598,'QUOTED PROJECTS-Earlier Yr'!$Q$2:$Q$2598,"WON",'QUOTED PROJECTS-Earlier Yr'!$K$2:$K$2598,"630",'QUOTED PROJECTS-Earlier Yr'!$H$2:$H$2598,"VOLVO",'QUOTED PROJECTS-Earlier Yr'!$R$2:$R$2598,"JUL")+SUMIFS('QUOTED PROJECTS-Current Year'!$L$2:$L$2525,'QUOTED PROJECTS-Current Year'!$Q$2:$Q$2525,"WON",'QUOTED PROJECTS-Current Year'!$K$2:$K$2525,"630",'QUOTED PROJECTS-Current Year'!$H$2:$H$2525,"VOLVO",'QUOTED PROJECTS-Current Year'!$R$2:$R$2525,"JUL")</f>
        <v>0</v>
      </c>
      <c r="J30" s="55"/>
      <c r="K30" s="141">
        <f>SUMIFS('QUOTED PROJECTS-Earlier Yr'!$L$2:$L$2598,'QUOTED PROJECTS-Earlier Yr'!$Q$2:$Q$2598,"WON",'QUOTED PROJECTS-Earlier Yr'!$K$2:$K$2598,"630",'QUOTED PROJECTS-Earlier Yr'!$H$2:$H$2598,"VOLVO",'QUOTED PROJECTS-Earlier Yr'!$R$2:$R$2598,"AUG")+SUMIFS('QUOTED PROJECTS-Current Year'!$L$2:$L$2525,'QUOTED PROJECTS-Current Year'!$Q$2:$Q$2525,"WON",'QUOTED PROJECTS-Current Year'!$K$2:$K$2525,"630",'QUOTED PROJECTS-Current Year'!$H$2:$H$2525,"VOLVO",'QUOTED PROJECTS-Current Year'!$R$2:$R$2525,"AUG")</f>
        <v>0</v>
      </c>
      <c r="L30" s="55"/>
      <c r="M30" s="141">
        <f>SUMIFS('QUOTED PROJECTS-Earlier Yr'!$L$2:$L$2598,'QUOTED PROJECTS-Earlier Yr'!$Q$2:$Q$2598,"WON",'QUOTED PROJECTS-Earlier Yr'!$K$2:$K$2598,"630",'QUOTED PROJECTS-Earlier Yr'!$H$2:$H$2598,"VOLVO",'QUOTED PROJECTS-Earlier Yr'!$R$2:$R$2598,"SEPT")+SUMIFS('QUOTED PROJECTS-Current Year'!$L$2:$L$2525,'QUOTED PROJECTS-Current Year'!$Q$2:$Q$2525,"WON",'QUOTED PROJECTS-Current Year'!$K$2:$K$2525,"630",'QUOTED PROJECTS-Current Year'!$H$2:$H$2525,"VOLVO",'QUOTED PROJECTS-Current Year'!$R$2:$R$2525,"SEPT")</f>
        <v>0</v>
      </c>
      <c r="N30" s="55"/>
      <c r="O30" s="141">
        <f>SUMIFS('QUOTED PROJECTS-Earlier Yr'!$L$2:$L$2598,'QUOTED PROJECTS-Earlier Yr'!$Q$2:$Q$2598,"WON",'QUOTED PROJECTS-Earlier Yr'!$K$2:$K$2598,"630",'QUOTED PROJECTS-Earlier Yr'!$H$2:$H$2598,"VOLVO",'QUOTED PROJECTS-Earlier Yr'!$R$2:$R$2598,"OCT")+SUMIFS('QUOTED PROJECTS-Current Year'!$L$2:$L$2525,'QUOTED PROJECTS-Current Year'!$Q$2:$Q$2525,"WON",'QUOTED PROJECTS-Current Year'!$K$2:$K$2525,"630",'QUOTED PROJECTS-Current Year'!$H$2:$H$2525,"VOLVO",'QUOTED PROJECTS-Current Year'!$R$2:$R$2525,"OCT")</f>
        <v>0</v>
      </c>
      <c r="P30" s="55"/>
      <c r="Q30" s="141">
        <f>SUMIFS('QUOTED PROJECTS-Earlier Yr'!$L$2:$L$2598,'QUOTED PROJECTS-Earlier Yr'!$Q$2:$Q$2598,"WON",'QUOTED PROJECTS-Earlier Yr'!$K$2:$K$2598,"630",'QUOTED PROJECTS-Earlier Yr'!$H$2:$H$2598,"VOLVO",'QUOTED PROJECTS-Earlier Yr'!$R$2:$R$2598,"NOV")+SUMIFS('QUOTED PROJECTS-Current Year'!$L$2:$L$2525,'QUOTED PROJECTS-Current Year'!$Q$2:$Q$2525,"WON",'QUOTED PROJECTS-Current Year'!$K$2:$K$2525,"630",'QUOTED PROJECTS-Current Year'!$H$2:$H$2525,"VOLVO",'QUOTED PROJECTS-Current Year'!$R$2:$R$2525,"NOV")</f>
        <v>0</v>
      </c>
      <c r="R30" s="55"/>
      <c r="S30" s="141">
        <f>SUMIFS('QUOTED PROJECTS-Earlier Yr'!$L$2:$L$2598,'QUOTED PROJECTS-Earlier Yr'!$Q$2:$Q$2598,"WON",'QUOTED PROJECTS-Earlier Yr'!$K$2:$K$2598,"630",'QUOTED PROJECTS-Earlier Yr'!$H$2:$H$2598,"VOLVO",'QUOTED PROJECTS-Earlier Yr'!$R$2:$R$2598,"DEC")+SUMIFS('QUOTED PROJECTS-Current Year'!$L$2:$L$2525,'QUOTED PROJECTS-Current Year'!$Q$2:$Q$2525,"WON",'QUOTED PROJECTS-Current Year'!$K$2:$K$2525,"630",'QUOTED PROJECTS-Current Year'!$H$2:$H$2525,"VOLVO",'QUOTED PROJECTS-Current Year'!$R$2:$R$2525,"DEC")</f>
        <v>0</v>
      </c>
      <c r="T30" s="55"/>
      <c r="U30" s="141">
        <f>SUMIFS('QUOTED PROJECTS-Earlier Yr'!$L$2:$L$2598,'QUOTED PROJECTS-Earlier Yr'!$Q$2:$Q$2598,"WON",'QUOTED PROJECTS-Earlier Yr'!$K$2:$K$2598,"630",'QUOTED PROJECTS-Earlier Yr'!$H$2:$H$2598,"VOLVO",'QUOTED PROJECTS-Earlier Yr'!$R$2:$R$2598,"JAN")+SUMIFS('QUOTED PROJECTS-Current Year'!$L$2:$L$2525,'QUOTED PROJECTS-Current Year'!$Q$2:$Q$2525,"WON",'QUOTED PROJECTS-Current Year'!$K$2:$K$2525,"630",'QUOTED PROJECTS-Current Year'!$H$2:$H$2525,"VOLVO",'QUOTED PROJECTS-Current Year'!$R$2:$R$2525,"JAN")</f>
        <v>0</v>
      </c>
      <c r="V30" s="55"/>
      <c r="W30" s="141">
        <f>SUMIFS('QUOTED PROJECTS-Earlier Yr'!$L$2:$L$2598,'QUOTED PROJECTS-Earlier Yr'!$Q$2:$Q$2598,"WON",'QUOTED PROJECTS-Earlier Yr'!$K$2:$K$2598,"630",'QUOTED PROJECTS-Earlier Yr'!$H$2:$H$2598,"VOLVO",'QUOTED PROJECTS-Earlier Yr'!$R$2:$R$2598,"FEB")+SUMIFS('QUOTED PROJECTS-Current Year'!$L$2:$L$2525,'QUOTED PROJECTS-Current Year'!$Q$2:$Q$2525,"WON",'QUOTED PROJECTS-Current Year'!$K$2:$K$2525,"630",'QUOTED PROJECTS-Current Year'!$H$2:$H$2525,"VOLVO",'QUOTED PROJECTS-Current Year'!$R$2:$R$2525,"FEB")</f>
        <v>0</v>
      </c>
      <c r="X30" s="55"/>
      <c r="Y30" s="141">
        <f>SUMIFS('QUOTED PROJECTS-Earlier Yr'!$L$2:$L$2598,'QUOTED PROJECTS-Earlier Yr'!$Q$2:$Q$2598,"WON",'QUOTED PROJECTS-Earlier Yr'!$K$2:$K$2598,"630",'QUOTED PROJECTS-Earlier Yr'!$H$2:$H$2598,"VOLVO",'QUOTED PROJECTS-Earlier Yr'!$R$2:$R$2598,"MAR")+SUMIFS('QUOTED PROJECTS-Current Year'!$L$2:$L$2525,'QUOTED PROJECTS-Current Year'!$Q$2:$Q$2525,"WON",'QUOTED PROJECTS-Current Year'!$K$2:$K$2525,"630",'QUOTED PROJECTS-Current Year'!$H$2:$H$2525,"VOLVO",'QUOTED PROJECTS-Current Year'!$R$2:$R$2525,"MAR")</f>
        <v>0</v>
      </c>
      <c r="Z30" s="62">
        <f t="shared" si="5"/>
        <v>0</v>
      </c>
      <c r="AA30" s="39">
        <f t="shared" si="5"/>
        <v>0</v>
      </c>
    </row>
    <row r="31" spans="1:27" s="1" customFormat="1" ht="14.25" thickTop="1" thickBot="1">
      <c r="A31" s="1" t="s">
        <v>66</v>
      </c>
      <c r="B31" s="60">
        <f>SUM(B24:B30)</f>
        <v>0</v>
      </c>
      <c r="C31" s="41">
        <f t="shared" ref="C31:Y31" si="6">SUM(C24:C30)</f>
        <v>0</v>
      </c>
      <c r="D31" s="59">
        <f t="shared" si="6"/>
        <v>0</v>
      </c>
      <c r="E31" s="41">
        <f t="shared" si="6"/>
        <v>0</v>
      </c>
      <c r="F31" s="59">
        <f t="shared" si="6"/>
        <v>0</v>
      </c>
      <c r="G31" s="41">
        <f t="shared" si="6"/>
        <v>0</v>
      </c>
      <c r="H31" s="59">
        <f t="shared" si="6"/>
        <v>0</v>
      </c>
      <c r="I31" s="41">
        <f t="shared" si="6"/>
        <v>1.5</v>
      </c>
      <c r="J31" s="59">
        <f t="shared" si="6"/>
        <v>0</v>
      </c>
      <c r="K31" s="41">
        <f t="shared" si="6"/>
        <v>2</v>
      </c>
      <c r="L31" s="59">
        <f t="shared" si="6"/>
        <v>0</v>
      </c>
      <c r="M31" s="41">
        <f t="shared" si="6"/>
        <v>0</v>
      </c>
      <c r="N31" s="59">
        <f t="shared" si="6"/>
        <v>0</v>
      </c>
      <c r="O31" s="41">
        <f t="shared" si="6"/>
        <v>0</v>
      </c>
      <c r="P31" s="59">
        <f t="shared" si="6"/>
        <v>0</v>
      </c>
      <c r="Q31" s="41">
        <f t="shared" si="6"/>
        <v>0</v>
      </c>
      <c r="R31" s="59">
        <f t="shared" si="6"/>
        <v>0</v>
      </c>
      <c r="S31" s="41">
        <f t="shared" si="6"/>
        <v>0</v>
      </c>
      <c r="T31" s="59">
        <f t="shared" si="6"/>
        <v>0</v>
      </c>
      <c r="U31" s="41">
        <f t="shared" si="6"/>
        <v>0</v>
      </c>
      <c r="V31" s="59">
        <f t="shared" si="6"/>
        <v>0</v>
      </c>
      <c r="W31" s="41">
        <f t="shared" si="6"/>
        <v>0</v>
      </c>
      <c r="X31" s="59">
        <f t="shared" si="6"/>
        <v>0</v>
      </c>
      <c r="Y31" s="40">
        <f t="shared" si="6"/>
        <v>0</v>
      </c>
      <c r="Z31" s="63">
        <f t="shared" si="5"/>
        <v>0</v>
      </c>
      <c r="AA31" s="44">
        <f t="shared" si="5"/>
        <v>3.5</v>
      </c>
    </row>
    <row r="32" spans="1:27" ht="13.5" thickTop="1">
      <c r="A32" s="1" t="s">
        <v>73</v>
      </c>
      <c r="B32" s="195"/>
      <c r="C32" s="196"/>
      <c r="D32" s="197"/>
      <c r="E32" s="196"/>
      <c r="F32" s="197"/>
      <c r="G32" s="196"/>
      <c r="H32" s="195"/>
      <c r="I32" s="198"/>
      <c r="J32" s="195"/>
      <c r="K32" s="196"/>
      <c r="L32" s="197"/>
      <c r="M32" s="196"/>
      <c r="N32" s="195"/>
      <c r="O32" s="198"/>
      <c r="P32" s="195"/>
      <c r="Q32" s="196"/>
      <c r="R32" s="197"/>
      <c r="S32" s="196"/>
      <c r="T32" s="195"/>
      <c r="U32" s="198"/>
      <c r="V32" s="195"/>
      <c r="W32" s="196"/>
      <c r="X32" s="197"/>
      <c r="Y32" s="196"/>
      <c r="Z32" s="199"/>
      <c r="AA32" s="200"/>
    </row>
    <row r="33" spans="1:27">
      <c r="A33" s="19">
        <v>125</v>
      </c>
      <c r="B33" s="55"/>
      <c r="C33" s="141">
        <f>SUMIFS('QUOTED PROJECTS-Earlier Yr'!$L$2:$L$2598,'QUOTED PROJECTS-Earlier Yr'!$Q$2:$Q$2598,"WON",'QUOTED PROJECTS-Earlier Yr'!$K$2:$K$2598,"125",'QUOTED PROJECTS-Earlier Yr'!$H$2:$H$2598,"MAXFORCE",'QUOTED PROJECTS-Earlier Yr'!$R$2:$R$2598,"APR")+SUMIFS('QUOTED PROJECTS-Current Year'!$L$2:$L$2525,'QUOTED PROJECTS-Current Year'!$Q$2:$Q$2525,"WON",'QUOTED PROJECTS-Current Year'!$K$2:$K$2525,"125",'QUOTED PROJECTS-Current Year'!$H$2:$H$2525,"MAXFORCE",'QUOTED PROJECTS-Current Year'!$R$2:$R$2525,"APR")</f>
        <v>0</v>
      </c>
      <c r="D33" s="55"/>
      <c r="E33" s="141">
        <f>SUMIFS('QUOTED PROJECTS-Earlier Yr'!$L$2:$L$2598,'QUOTED PROJECTS-Earlier Yr'!$Q$2:$Q$2598,"WON",'QUOTED PROJECTS-Earlier Yr'!$K$2:$K$2598,"125",'QUOTED PROJECTS-Earlier Yr'!$H$2:$H$2598,"MAXFORCE",'QUOTED PROJECTS-Earlier Yr'!$R$2:$R$2598,"MAY")+SUMIFS('QUOTED PROJECTS-Current Year'!$L$2:$L$2525,'QUOTED PROJECTS-Current Year'!$Q$2:$Q$2525,"WON",'QUOTED PROJECTS-Current Year'!$K$2:$K$2525,"125",'QUOTED PROJECTS-Current Year'!$H$2:$H$2525,"MAXFORCE",'QUOTED PROJECTS-Current Year'!$R$2:$R$2525,"MAY")</f>
        <v>0</v>
      </c>
      <c r="F33" s="55"/>
      <c r="G33" s="141">
        <f>SUMIFS('QUOTED PROJECTS-Earlier Yr'!$L$2:$L$2598,'QUOTED PROJECTS-Earlier Yr'!$Q$2:$Q$2598,"WON",'QUOTED PROJECTS-Earlier Yr'!$K$2:$K$2598,"125",'QUOTED PROJECTS-Earlier Yr'!$H$2:$H$2598,"MAXFORCE",'QUOTED PROJECTS-Earlier Yr'!$R$2:$R$2598,"JUN")+SUMIFS('QUOTED PROJECTS-Current Year'!$L$2:$L$2525,'QUOTED PROJECTS-Current Year'!$Q$2:$Q$2525,"WON",'QUOTED PROJECTS-Current Year'!$K$2:$K$2525,"125",'QUOTED PROJECTS-Current Year'!$H$2:$H$2525,"MAXFORCE",'QUOTED PROJECTS-Current Year'!$R$2:$R$2525,"JUN")</f>
        <v>0</v>
      </c>
      <c r="H33" s="55"/>
      <c r="I33" s="141">
        <f>SUMIFS('QUOTED PROJECTS-Earlier Yr'!$L$2:$L$2598,'QUOTED PROJECTS-Earlier Yr'!$Q$2:$Q$2598,"WON",'QUOTED PROJECTS-Earlier Yr'!$K$2:$K$2598,"125",'QUOTED PROJECTS-Earlier Yr'!$H$2:$H$2598,"MAXFORCE",'QUOTED PROJECTS-Earlier Yr'!$R$2:$R$2598,"JUL")+SUMIFS('QUOTED PROJECTS-Current Year'!$L$2:$L$2525,'QUOTED PROJECTS-Current Year'!$Q$2:$Q$2525,"WON",'QUOTED PROJECTS-Current Year'!$K$2:$K$2525,"125",'QUOTED PROJECTS-Current Year'!$H$2:$H$2525,"MAXFORCE",'QUOTED PROJECTS-Current Year'!$R$2:$R$2525,"JUL")</f>
        <v>0</v>
      </c>
      <c r="J33" s="55"/>
      <c r="K33" s="141">
        <f>SUMIFS('QUOTED PROJECTS-Earlier Yr'!$L$2:$L$2598,'QUOTED PROJECTS-Earlier Yr'!$Q$2:$Q$2598,"WON",'QUOTED PROJECTS-Earlier Yr'!$K$2:$K$2598,"125",'QUOTED PROJECTS-Earlier Yr'!$H$2:$H$2598,"MAXFORCE",'QUOTED PROJECTS-Earlier Yr'!$R$2:$R$2598,"AUG")+SUMIFS('QUOTED PROJECTS-Current Year'!$L$2:$L$2525,'QUOTED PROJECTS-Current Year'!$Q$2:$Q$2525,"WON",'QUOTED PROJECTS-Current Year'!$K$2:$K$2525,"125",'QUOTED PROJECTS-Current Year'!$H$2:$H$2525,"MAXFORCE",'QUOTED PROJECTS-Current Year'!$R$2:$R$2525,"AUG")</f>
        <v>0</v>
      </c>
      <c r="L33" s="55"/>
      <c r="M33" s="141">
        <f>SUMIFS('QUOTED PROJECTS-Earlier Yr'!$L$2:$L$2598,'QUOTED PROJECTS-Earlier Yr'!$Q$2:$Q$2598,"WON",'QUOTED PROJECTS-Earlier Yr'!$K$2:$K$2598,"125",'QUOTED PROJECTS-Earlier Yr'!$H$2:$H$2598,"MAXFORCE",'QUOTED PROJECTS-Earlier Yr'!$R$2:$R$2598,"SEPT")+SUMIFS('QUOTED PROJECTS-Current Year'!$L$2:$L$2525,'QUOTED PROJECTS-Current Year'!$Q$2:$Q$2525,"WON",'QUOTED PROJECTS-Current Year'!$K$2:$K$2525,"125",'QUOTED PROJECTS-Current Year'!$H$2:$H$2525,"MAXFORCE",'QUOTED PROJECTS-Current Year'!$R$2:$R$2525,"SEPT")</f>
        <v>0</v>
      </c>
      <c r="N33" s="55"/>
      <c r="O33" s="141">
        <f>SUMIFS('QUOTED PROJECTS-Earlier Yr'!$L$2:$L$2598,'QUOTED PROJECTS-Earlier Yr'!$Q$2:$Q$2598,"WON",'QUOTED PROJECTS-Earlier Yr'!$K$2:$K$2598,"125",'QUOTED PROJECTS-Earlier Yr'!$H$2:$H$2598,"MAXFORCE",'QUOTED PROJECTS-Earlier Yr'!$R$2:$R$2598,"OCT")+SUMIFS('QUOTED PROJECTS-Current Year'!$L$2:$L$2525,'QUOTED PROJECTS-Current Year'!$Q$2:$Q$2525,"WON",'QUOTED PROJECTS-Current Year'!$K$2:$K$2525,"125",'QUOTED PROJECTS-Current Year'!$H$2:$H$2525,"MAXFORCE",'QUOTED PROJECTS-Current Year'!$R$2:$R$2525,"OCT")</f>
        <v>0</v>
      </c>
      <c r="P33" s="55"/>
      <c r="Q33" s="141">
        <f>SUMIFS('QUOTED PROJECTS-Earlier Yr'!$L$2:$L$2598,'QUOTED PROJECTS-Earlier Yr'!$Q$2:$Q$2598,"WON",'QUOTED PROJECTS-Earlier Yr'!$K$2:$K$2598,"125",'QUOTED PROJECTS-Earlier Yr'!$H$2:$H$2598,"MAXFORCE",'QUOTED PROJECTS-Earlier Yr'!$R$2:$R$2598,"NOV")+SUMIFS('QUOTED PROJECTS-Current Year'!$L$2:$L$2525,'QUOTED PROJECTS-Current Year'!$Q$2:$Q$2525,"WON",'QUOTED PROJECTS-Current Year'!$K$2:$K$2525,"125",'QUOTED PROJECTS-Current Year'!$H$2:$H$2525,"MAXFORCE",'QUOTED PROJECTS-Current Year'!$R$2:$R$2525,"NOV")</f>
        <v>0</v>
      </c>
      <c r="R33" s="55"/>
      <c r="S33" s="141">
        <f>SUMIFS('QUOTED PROJECTS-Earlier Yr'!$L$2:$L$2598,'QUOTED PROJECTS-Earlier Yr'!$Q$2:$Q$2598,"WON",'QUOTED PROJECTS-Earlier Yr'!$K$2:$K$2598,"125",'QUOTED PROJECTS-Earlier Yr'!$H$2:$H$2598,"MAXFORCE",'QUOTED PROJECTS-Earlier Yr'!$R$2:$R$2598,"DEC")+SUMIFS('QUOTED PROJECTS-Current Year'!$L$2:$L$2525,'QUOTED PROJECTS-Current Year'!$Q$2:$Q$2525,"WON",'QUOTED PROJECTS-Current Year'!$K$2:$K$2525,"125",'QUOTED PROJECTS-Current Year'!$H$2:$H$2525,"MAXFORCE",'QUOTED PROJECTS-Current Year'!$R$2:$R$2525,"DEC")</f>
        <v>0</v>
      </c>
      <c r="T33" s="55"/>
      <c r="U33" s="141">
        <f>SUMIFS('QUOTED PROJECTS-Earlier Yr'!$L$2:$L$2598,'QUOTED PROJECTS-Earlier Yr'!$Q$2:$Q$2598,"WON",'QUOTED PROJECTS-Earlier Yr'!$K$2:$K$2598,"125",'QUOTED PROJECTS-Earlier Yr'!$H$2:$H$2598,"MAXFORCE",'QUOTED PROJECTS-Earlier Yr'!$R$2:$R$2598,"JAN")+SUMIFS('QUOTED PROJECTS-Current Year'!$L$2:$L$2525,'QUOTED PROJECTS-Current Year'!$Q$2:$Q$2525,"WON",'QUOTED PROJECTS-Current Year'!$K$2:$K$2525,"125",'QUOTED PROJECTS-Current Year'!$H$2:$H$2525,"MAXFORCE",'QUOTED PROJECTS-Current Year'!$R$2:$R$2525,"JAN")</f>
        <v>0</v>
      </c>
      <c r="V33" s="55"/>
      <c r="W33" s="141">
        <f>SUMIFS('QUOTED PROJECTS-Earlier Yr'!$L$2:$L$2598,'QUOTED PROJECTS-Earlier Yr'!$Q$2:$Q$2598,"WON",'QUOTED PROJECTS-Earlier Yr'!$K$2:$K$2598,"125",'QUOTED PROJECTS-Earlier Yr'!$H$2:$H$2598,"MAXFORCE",'QUOTED PROJECTS-Earlier Yr'!$R$2:$R$2598,"FEB")+SUMIFS('QUOTED PROJECTS-Current Year'!$L$2:$L$2525,'QUOTED PROJECTS-Current Year'!$Q$2:$Q$2525,"WON",'QUOTED PROJECTS-Current Year'!$K$2:$K$2525,"125",'QUOTED PROJECTS-Current Year'!$H$2:$H$2525,"MAXFORCE",'QUOTED PROJECTS-Current Year'!$R$2:$R$2525,"FEB")</f>
        <v>0</v>
      </c>
      <c r="X33" s="55"/>
      <c r="Y33" s="141">
        <f>SUMIFS('QUOTED PROJECTS-Earlier Yr'!$L$2:$L$2598,'QUOTED PROJECTS-Earlier Yr'!$Q$2:$Q$2598,"WON",'QUOTED PROJECTS-Earlier Yr'!$K$2:$K$2598,"125",'QUOTED PROJECTS-Earlier Yr'!$H$2:$H$2598,"MAXFORCE",'QUOTED PROJECTS-Earlier Yr'!$R$2:$R$2598,"MAR")+SUMIFS('QUOTED PROJECTS-Current Year'!$L$2:$L$2525,'QUOTED PROJECTS-Current Year'!$Q$2:$Q$2525,"WON",'QUOTED PROJECTS-Current Year'!$K$2:$K$2525,"125",'QUOTED PROJECTS-Current Year'!$H$2:$H$2525,"MAXFORCE",'QUOTED PROJECTS-Current Year'!$R$2:$R$2525,"MAR")</f>
        <v>0</v>
      </c>
      <c r="Z33" s="57">
        <f t="shared" ref="Z33:AA38" si="7">B33+D33+F33+H33+J33+L33+N33+P33+R33+T33+V33+X33</f>
        <v>0</v>
      </c>
      <c r="AA33" s="37">
        <f t="shared" si="7"/>
        <v>0</v>
      </c>
    </row>
    <row r="34" spans="1:27">
      <c r="A34" s="19">
        <v>140</v>
      </c>
      <c r="B34" s="55"/>
      <c r="C34" s="141">
        <f>SUMIFS('QUOTED PROJECTS-Earlier Yr'!$L$2:$L$2598,'QUOTED PROJECTS-Earlier Yr'!$Q$2:$Q$2598,"WON",'QUOTED PROJECTS-Earlier Yr'!$K$2:$K$2598,"140",'QUOTED PROJECTS-Earlier Yr'!$H$2:$H$2598,"MAXFORCE",'QUOTED PROJECTS-Earlier Yr'!$R$2:$R$2598,"APR")+SUMIFS('QUOTED PROJECTS-Current Year'!$L$2:$L$2525,'QUOTED PROJECTS-Current Year'!$Q$2:$Q$2525,"WON",'QUOTED PROJECTS-Current Year'!$K$2:$K$2525,"140",'QUOTED PROJECTS-Current Year'!$H$2:$H$2525,"MAXFORCE",'QUOTED PROJECTS-Current Year'!$R$2:$R$2525,"APR")</f>
        <v>0</v>
      </c>
      <c r="D34" s="55"/>
      <c r="E34" s="141">
        <f>SUMIFS('QUOTED PROJECTS-Earlier Yr'!$L$2:$L$2598,'QUOTED PROJECTS-Earlier Yr'!$Q$2:$Q$2598,"WON",'QUOTED PROJECTS-Earlier Yr'!$K$2:$K$2598,"140",'QUOTED PROJECTS-Earlier Yr'!$H$2:$H$2598,"MAXFORCE",'QUOTED PROJECTS-Earlier Yr'!$R$2:$R$2598,"MAY")+SUMIFS('QUOTED PROJECTS-Current Year'!$L$2:$L$2525,'QUOTED PROJECTS-Current Year'!$Q$2:$Q$2525,"WON",'QUOTED PROJECTS-Current Year'!$K$2:$K$2525,"140",'QUOTED PROJECTS-Current Year'!$H$2:$H$2525,"MAXFORCE",'QUOTED PROJECTS-Current Year'!$R$2:$R$2525,"MAY")</f>
        <v>0</v>
      </c>
      <c r="F34" s="55"/>
      <c r="G34" s="141">
        <f>SUMIFS('QUOTED PROJECTS-Earlier Yr'!$L$2:$L$2598,'QUOTED PROJECTS-Earlier Yr'!$Q$2:$Q$2598,"WON",'QUOTED PROJECTS-Earlier Yr'!$K$2:$K$2598,"140",'QUOTED PROJECTS-Earlier Yr'!$H$2:$H$2598,"MAXFORCE",'QUOTED PROJECTS-Earlier Yr'!$R$2:$R$2598,"JUN")+SUMIFS('QUOTED PROJECTS-Current Year'!$L$2:$L$2525,'QUOTED PROJECTS-Current Year'!$Q$2:$Q$2525,"WON",'QUOTED PROJECTS-Current Year'!$K$2:$K$2525,"140",'QUOTED PROJECTS-Current Year'!$H$2:$H$2525,"MAXFORCE",'QUOTED PROJECTS-Current Year'!$R$2:$R$2525,"JUN")</f>
        <v>0</v>
      </c>
      <c r="H34" s="55"/>
      <c r="I34" s="141">
        <f>SUMIFS('QUOTED PROJECTS-Earlier Yr'!$L$2:$L$2598,'QUOTED PROJECTS-Earlier Yr'!$Q$2:$Q$2598,"WON",'QUOTED PROJECTS-Earlier Yr'!$K$2:$K$2598,"140",'QUOTED PROJECTS-Earlier Yr'!$H$2:$H$2598,"MAXFORCE",'QUOTED PROJECTS-Earlier Yr'!$R$2:$R$2598,"JUL")+SUMIFS('QUOTED PROJECTS-Current Year'!$L$2:$L$2525,'QUOTED PROJECTS-Current Year'!$Q$2:$Q$2525,"WON",'QUOTED PROJECTS-Current Year'!$K$2:$K$2525,"140",'QUOTED PROJECTS-Current Year'!$H$2:$H$2525,"MAXFORCE",'QUOTED PROJECTS-Current Year'!$R$2:$R$2525,"JUL")</f>
        <v>0</v>
      </c>
      <c r="J34" s="55"/>
      <c r="K34" s="141">
        <f>SUMIFS('QUOTED PROJECTS-Earlier Yr'!$L$2:$L$2598,'QUOTED PROJECTS-Earlier Yr'!$Q$2:$Q$2598,"WON",'QUOTED PROJECTS-Earlier Yr'!$K$2:$K$2598,"140",'QUOTED PROJECTS-Earlier Yr'!$H$2:$H$2598,"MAXFORCE",'QUOTED PROJECTS-Earlier Yr'!$R$2:$R$2598,"AUG")+SUMIFS('QUOTED PROJECTS-Current Year'!$L$2:$L$2525,'QUOTED PROJECTS-Current Year'!$Q$2:$Q$2525,"WON",'QUOTED PROJECTS-Current Year'!$K$2:$K$2525,"140",'QUOTED PROJECTS-Current Year'!$H$2:$H$2525,"MAXFORCE",'QUOTED PROJECTS-Current Year'!$R$2:$R$2525,"AUG")</f>
        <v>0</v>
      </c>
      <c r="L34" s="55"/>
      <c r="M34" s="141">
        <f>SUMIFS('QUOTED PROJECTS-Earlier Yr'!$L$2:$L$2598,'QUOTED PROJECTS-Earlier Yr'!$Q$2:$Q$2598,"WON",'QUOTED PROJECTS-Earlier Yr'!$K$2:$K$2598,"140",'QUOTED PROJECTS-Earlier Yr'!$H$2:$H$2598,"MAXFORCE",'QUOTED PROJECTS-Earlier Yr'!$R$2:$R$2598,"SEPT")+SUMIFS('QUOTED PROJECTS-Current Year'!$L$2:$L$2525,'QUOTED PROJECTS-Current Year'!$Q$2:$Q$2525,"WON",'QUOTED PROJECTS-Current Year'!$K$2:$K$2525,"140",'QUOTED PROJECTS-Current Year'!$H$2:$H$2525,"MAXFORCE",'QUOTED PROJECTS-Current Year'!$R$2:$R$2525,"SEPT")</f>
        <v>0</v>
      </c>
      <c r="N34" s="55"/>
      <c r="O34" s="141">
        <f>SUMIFS('QUOTED PROJECTS-Earlier Yr'!$L$2:$L$2598,'QUOTED PROJECTS-Earlier Yr'!$Q$2:$Q$2598,"WON",'QUOTED PROJECTS-Earlier Yr'!$K$2:$K$2598,"140",'QUOTED PROJECTS-Earlier Yr'!$H$2:$H$2598,"MAXFORCE",'QUOTED PROJECTS-Earlier Yr'!$R$2:$R$2598,"OCT")+SUMIFS('QUOTED PROJECTS-Current Year'!$L$2:$L$2525,'QUOTED PROJECTS-Current Year'!$Q$2:$Q$2525,"WON",'QUOTED PROJECTS-Current Year'!$K$2:$K$2525,"140",'QUOTED PROJECTS-Current Year'!$H$2:$H$2525,"MAXFORCE",'QUOTED PROJECTS-Current Year'!$R$2:$R$2525,"OCT")</f>
        <v>0</v>
      </c>
      <c r="P34" s="55"/>
      <c r="Q34" s="141">
        <f>SUMIFS('QUOTED PROJECTS-Earlier Yr'!$L$2:$L$2598,'QUOTED PROJECTS-Earlier Yr'!$Q$2:$Q$2598,"WON",'QUOTED PROJECTS-Earlier Yr'!$K$2:$K$2598,"140",'QUOTED PROJECTS-Earlier Yr'!$H$2:$H$2598,"MAXFORCE",'QUOTED PROJECTS-Earlier Yr'!$R$2:$R$2598,"NOV")+SUMIFS('QUOTED PROJECTS-Current Year'!$L$2:$L$2525,'QUOTED PROJECTS-Current Year'!$Q$2:$Q$2525,"WON",'QUOTED PROJECTS-Current Year'!$K$2:$K$2525,"140",'QUOTED PROJECTS-Current Year'!$H$2:$H$2525,"MAXFORCE",'QUOTED PROJECTS-Current Year'!$R$2:$R$2525,"NOV")</f>
        <v>0</v>
      </c>
      <c r="R34" s="55"/>
      <c r="S34" s="141">
        <f>SUMIFS('QUOTED PROJECTS-Earlier Yr'!$L$2:$L$2598,'QUOTED PROJECTS-Earlier Yr'!$Q$2:$Q$2598,"WON",'QUOTED PROJECTS-Earlier Yr'!$K$2:$K$2598,"140",'QUOTED PROJECTS-Earlier Yr'!$H$2:$H$2598,"MAXFORCE",'QUOTED PROJECTS-Earlier Yr'!$R$2:$R$2598,"DEC")+SUMIFS('QUOTED PROJECTS-Current Year'!$L$2:$L$2525,'QUOTED PROJECTS-Current Year'!$Q$2:$Q$2525,"WON",'QUOTED PROJECTS-Current Year'!$K$2:$K$2525,"140",'QUOTED PROJECTS-Current Year'!$H$2:$H$2525,"MAXFORCE",'QUOTED PROJECTS-Current Year'!$R$2:$R$2525,"DEC")</f>
        <v>0</v>
      </c>
      <c r="T34" s="55"/>
      <c r="U34" s="141">
        <f>SUMIFS('QUOTED PROJECTS-Earlier Yr'!$L$2:$L$2598,'QUOTED PROJECTS-Earlier Yr'!$Q$2:$Q$2598,"WON",'QUOTED PROJECTS-Earlier Yr'!$K$2:$K$2598,"140",'QUOTED PROJECTS-Earlier Yr'!$H$2:$H$2598,"MAXFORCE",'QUOTED PROJECTS-Earlier Yr'!$R$2:$R$2598,"JAN")+SUMIFS('QUOTED PROJECTS-Current Year'!$L$2:$L$2525,'QUOTED PROJECTS-Current Year'!$Q$2:$Q$2525,"WON",'QUOTED PROJECTS-Current Year'!$K$2:$K$2525,"140",'QUOTED PROJECTS-Current Year'!$H$2:$H$2525,"MAXFORCE",'QUOTED PROJECTS-Current Year'!$R$2:$R$2525,"JAN")</f>
        <v>0</v>
      </c>
      <c r="V34" s="55"/>
      <c r="W34" s="141">
        <f>SUMIFS('QUOTED PROJECTS-Earlier Yr'!$L$2:$L$2598,'QUOTED PROJECTS-Earlier Yr'!$Q$2:$Q$2598,"WON",'QUOTED PROJECTS-Earlier Yr'!$K$2:$K$2598,"140",'QUOTED PROJECTS-Earlier Yr'!$H$2:$H$2598,"MAXFORCE",'QUOTED PROJECTS-Earlier Yr'!$R$2:$R$2598,"FEB")+SUMIFS('QUOTED PROJECTS-Current Year'!$L$2:$L$2525,'QUOTED PROJECTS-Current Year'!$Q$2:$Q$2525,"WON",'QUOTED PROJECTS-Current Year'!$K$2:$K$2525,"140",'QUOTED PROJECTS-Current Year'!$H$2:$H$2525,"MAXFORCE",'QUOTED PROJECTS-Current Year'!$R$2:$R$2525,"FEB")</f>
        <v>0</v>
      </c>
      <c r="X34" s="55"/>
      <c r="Y34" s="141">
        <f>SUMIFS('QUOTED PROJECTS-Earlier Yr'!$L$2:$L$2598,'QUOTED PROJECTS-Earlier Yr'!$Q$2:$Q$2598,"WON",'QUOTED PROJECTS-Earlier Yr'!$K$2:$K$2598,"140",'QUOTED PROJECTS-Earlier Yr'!$H$2:$H$2598,"MAXFORCE",'QUOTED PROJECTS-Earlier Yr'!$R$2:$R$2598,"MAR")+SUMIFS('QUOTED PROJECTS-Current Year'!$L$2:$L$2525,'QUOTED PROJECTS-Current Year'!$Q$2:$Q$2525,"WON",'QUOTED PROJECTS-Current Year'!$K$2:$K$2525,"140",'QUOTED PROJECTS-Current Year'!$H$2:$H$2525,"MAXFORCE",'QUOTED PROJECTS-Current Year'!$R$2:$R$2525,"MAR")</f>
        <v>0</v>
      </c>
      <c r="Z34" s="57">
        <f t="shared" si="7"/>
        <v>0</v>
      </c>
      <c r="AA34" s="37">
        <f t="shared" si="7"/>
        <v>0</v>
      </c>
    </row>
    <row r="35" spans="1:27">
      <c r="A35" s="19">
        <v>160</v>
      </c>
      <c r="B35" s="55"/>
      <c r="C35" s="141">
        <f>SUMIFS('QUOTED PROJECTS-Earlier Yr'!$L$2:$L$2598,'QUOTED PROJECTS-Earlier Yr'!$Q$2:$Q$2598,"WON",'QUOTED PROJECTS-Earlier Yr'!$K$2:$K$2598,"160",'QUOTED PROJECTS-Earlier Yr'!$H$2:$H$2598,"MAXFORCE",'QUOTED PROJECTS-Earlier Yr'!$R$2:$R$2598,"APR")+SUMIFS('QUOTED PROJECTS-Current Year'!$L$2:$L$2525,'QUOTED PROJECTS-Current Year'!$Q$2:$Q$2525,"WON",'QUOTED PROJECTS-Current Year'!$K$2:$K$2525,"160",'QUOTED PROJECTS-Current Year'!$H$2:$H$2525,"MAXFORCE",'QUOTED PROJECTS-Current Year'!$R$2:$R$2525,"APR")</f>
        <v>0</v>
      </c>
      <c r="D35" s="55"/>
      <c r="E35" s="141">
        <f>SUMIFS('QUOTED PROJECTS-Earlier Yr'!$L$2:$L$2598,'QUOTED PROJECTS-Earlier Yr'!$Q$2:$Q$2598,"WON",'QUOTED PROJECTS-Earlier Yr'!$K$2:$K$2598,"160",'QUOTED PROJECTS-Earlier Yr'!$H$2:$H$2598,"MAXFORCE",'QUOTED PROJECTS-Earlier Yr'!$R$2:$R$2598,"MAY")+SUMIFS('QUOTED PROJECTS-Current Year'!$L$2:$L$2525,'QUOTED PROJECTS-Current Year'!$Q$2:$Q$2525,"WON",'QUOTED PROJECTS-Current Year'!$K$2:$K$2525,"160",'QUOTED PROJECTS-Current Year'!$H$2:$H$2525,"MAXFORCE",'QUOTED PROJECTS-Current Year'!$R$2:$R$2525,"MAY")</f>
        <v>0</v>
      </c>
      <c r="F35" s="55"/>
      <c r="G35" s="141">
        <f>SUMIFS('QUOTED PROJECTS-Earlier Yr'!$L$2:$L$2598,'QUOTED PROJECTS-Earlier Yr'!$Q$2:$Q$2598,"WON",'QUOTED PROJECTS-Earlier Yr'!$K$2:$K$2598,"160",'QUOTED PROJECTS-Earlier Yr'!$H$2:$H$2598,"MAXFORCE",'QUOTED PROJECTS-Earlier Yr'!$R$2:$R$2598,"JUN")+SUMIFS('QUOTED PROJECTS-Current Year'!$L$2:$L$2525,'QUOTED PROJECTS-Current Year'!$Q$2:$Q$2525,"WON",'QUOTED PROJECTS-Current Year'!$K$2:$K$2525,"160",'QUOTED PROJECTS-Current Year'!$H$2:$H$2525,"MAXFORCE",'QUOTED PROJECTS-Current Year'!$R$2:$R$2525,"JUN")</f>
        <v>0</v>
      </c>
      <c r="H35" s="55"/>
      <c r="I35" s="141">
        <f>SUMIFS('QUOTED PROJECTS-Earlier Yr'!$L$2:$L$2598,'QUOTED PROJECTS-Earlier Yr'!$Q$2:$Q$2598,"WON",'QUOTED PROJECTS-Earlier Yr'!$K$2:$K$2598,"160",'QUOTED PROJECTS-Earlier Yr'!$H$2:$H$2598,"MAXFORCE",'QUOTED PROJECTS-Earlier Yr'!$R$2:$R$2598,"JUL")+SUMIFS('QUOTED PROJECTS-Current Year'!$L$2:$L$2525,'QUOTED PROJECTS-Current Year'!$Q$2:$Q$2525,"WON",'QUOTED PROJECTS-Current Year'!$K$2:$K$2525,"160",'QUOTED PROJECTS-Current Year'!$H$2:$H$2525,"MAXFORCE",'QUOTED PROJECTS-Current Year'!$R$2:$R$2525,"JUL")</f>
        <v>0</v>
      </c>
      <c r="J35" s="55"/>
      <c r="K35" s="141">
        <f>SUMIFS('QUOTED PROJECTS-Earlier Yr'!$L$2:$L$2598,'QUOTED PROJECTS-Earlier Yr'!$Q$2:$Q$2598,"WON",'QUOTED PROJECTS-Earlier Yr'!$K$2:$K$2598,"160",'QUOTED PROJECTS-Earlier Yr'!$H$2:$H$2598,"MAXFORCE",'QUOTED PROJECTS-Earlier Yr'!$R$2:$R$2598,"AUG")+SUMIFS('QUOTED PROJECTS-Current Year'!$L$2:$L$2525,'QUOTED PROJECTS-Current Year'!$Q$2:$Q$2525,"WON",'QUOTED PROJECTS-Current Year'!$K$2:$K$2525,"160",'QUOTED PROJECTS-Current Year'!$H$2:$H$2525,"MAXFORCE",'QUOTED PROJECTS-Current Year'!$R$2:$R$2525,"AUG")</f>
        <v>0</v>
      </c>
      <c r="L35" s="55"/>
      <c r="M35" s="141">
        <f>SUMIFS('QUOTED PROJECTS-Earlier Yr'!$L$2:$L$2598,'QUOTED PROJECTS-Earlier Yr'!$Q$2:$Q$2598,"WON",'QUOTED PROJECTS-Earlier Yr'!$K$2:$K$2598,"160",'QUOTED PROJECTS-Earlier Yr'!$H$2:$H$2598,"MAXFORCE",'QUOTED PROJECTS-Earlier Yr'!$R$2:$R$2598,"SEPT")+SUMIFS('QUOTED PROJECTS-Current Year'!$L$2:$L$2525,'QUOTED PROJECTS-Current Year'!$Q$2:$Q$2525,"WON",'QUOTED PROJECTS-Current Year'!$K$2:$K$2525,"160",'QUOTED PROJECTS-Current Year'!$H$2:$H$2525,"MAXFORCE",'QUOTED PROJECTS-Current Year'!$R$2:$R$2525,"SEPT")</f>
        <v>0</v>
      </c>
      <c r="N35" s="55"/>
      <c r="O35" s="141">
        <f>SUMIFS('QUOTED PROJECTS-Earlier Yr'!$L$2:$L$2598,'QUOTED PROJECTS-Earlier Yr'!$Q$2:$Q$2598,"WON",'QUOTED PROJECTS-Earlier Yr'!$K$2:$K$2598,"160",'QUOTED PROJECTS-Earlier Yr'!$H$2:$H$2598,"MAXFORCE",'QUOTED PROJECTS-Earlier Yr'!$R$2:$R$2598,"OCT")+SUMIFS('QUOTED PROJECTS-Current Year'!$L$2:$L$2525,'QUOTED PROJECTS-Current Year'!$Q$2:$Q$2525,"WON",'QUOTED PROJECTS-Current Year'!$K$2:$K$2525,"160",'QUOTED PROJECTS-Current Year'!$H$2:$H$2525,"MAXFORCE",'QUOTED PROJECTS-Current Year'!$R$2:$R$2525,"OCT")</f>
        <v>0</v>
      </c>
      <c r="P35" s="55"/>
      <c r="Q35" s="141">
        <f>SUMIFS('QUOTED PROJECTS-Earlier Yr'!$L$2:$L$2598,'QUOTED PROJECTS-Earlier Yr'!$Q$2:$Q$2598,"WON",'QUOTED PROJECTS-Earlier Yr'!$K$2:$K$2598,"160",'QUOTED PROJECTS-Earlier Yr'!$H$2:$H$2598,"MAXFORCE",'QUOTED PROJECTS-Earlier Yr'!$R$2:$R$2598,"NOV")+SUMIFS('QUOTED PROJECTS-Current Year'!$L$2:$L$2525,'QUOTED PROJECTS-Current Year'!$Q$2:$Q$2525,"WON",'QUOTED PROJECTS-Current Year'!$K$2:$K$2525,"160",'QUOTED PROJECTS-Current Year'!$H$2:$H$2525,"MAXFORCE",'QUOTED PROJECTS-Current Year'!$R$2:$R$2525,"NOV")</f>
        <v>0</v>
      </c>
      <c r="R35" s="55"/>
      <c r="S35" s="141">
        <f>SUMIFS('QUOTED PROJECTS-Earlier Yr'!$L$2:$L$2598,'QUOTED PROJECTS-Earlier Yr'!$Q$2:$Q$2598,"WON",'QUOTED PROJECTS-Earlier Yr'!$K$2:$K$2598,"160",'QUOTED PROJECTS-Earlier Yr'!$H$2:$H$2598,"MAXFORCE",'QUOTED PROJECTS-Earlier Yr'!$R$2:$R$2598,"DEC")+SUMIFS('QUOTED PROJECTS-Current Year'!$L$2:$L$2525,'QUOTED PROJECTS-Current Year'!$Q$2:$Q$2525,"WON",'QUOTED PROJECTS-Current Year'!$K$2:$K$2525,"160",'QUOTED PROJECTS-Current Year'!$H$2:$H$2525,"MAXFORCE",'QUOTED PROJECTS-Current Year'!$R$2:$R$2525,"DEC")</f>
        <v>0</v>
      </c>
      <c r="T35" s="55"/>
      <c r="U35" s="141">
        <f>SUMIFS('QUOTED PROJECTS-Earlier Yr'!$L$2:$L$2598,'QUOTED PROJECTS-Earlier Yr'!$Q$2:$Q$2598,"WON",'QUOTED PROJECTS-Earlier Yr'!$K$2:$K$2598,"160",'QUOTED PROJECTS-Earlier Yr'!$H$2:$H$2598,"MAXFORCE",'QUOTED PROJECTS-Earlier Yr'!$R$2:$R$2598,"JAN")+SUMIFS('QUOTED PROJECTS-Current Year'!$L$2:$L$2525,'QUOTED PROJECTS-Current Year'!$Q$2:$Q$2525,"WON",'QUOTED PROJECTS-Current Year'!$K$2:$K$2525,"160",'QUOTED PROJECTS-Current Year'!$H$2:$H$2525,"MAXFORCE",'QUOTED PROJECTS-Current Year'!$R$2:$R$2525,"JAN")</f>
        <v>0</v>
      </c>
      <c r="V35" s="55"/>
      <c r="W35" s="141">
        <f>SUMIFS('QUOTED PROJECTS-Earlier Yr'!$L$2:$L$2598,'QUOTED PROJECTS-Earlier Yr'!$Q$2:$Q$2598,"WON",'QUOTED PROJECTS-Earlier Yr'!$K$2:$K$2598,"160",'QUOTED PROJECTS-Earlier Yr'!$H$2:$H$2598,"MAXFORCE",'QUOTED PROJECTS-Earlier Yr'!$R$2:$R$2598,"FEB")+SUMIFS('QUOTED PROJECTS-Current Year'!$L$2:$L$2525,'QUOTED PROJECTS-Current Year'!$Q$2:$Q$2525,"WON",'QUOTED PROJECTS-Current Year'!$K$2:$K$2525,"160",'QUOTED PROJECTS-Current Year'!$H$2:$H$2525,"MAXFORCE",'QUOTED PROJECTS-Current Year'!$R$2:$R$2525,"FEB")</f>
        <v>0</v>
      </c>
      <c r="X35" s="55"/>
      <c r="Y35" s="141">
        <f>SUMIFS('QUOTED PROJECTS-Earlier Yr'!$L$2:$L$2598,'QUOTED PROJECTS-Earlier Yr'!$Q$2:$Q$2598,"WON",'QUOTED PROJECTS-Earlier Yr'!$K$2:$K$2598,"160",'QUOTED PROJECTS-Earlier Yr'!$H$2:$H$2598,"MAXFORCE",'QUOTED PROJECTS-Earlier Yr'!$R$2:$R$2598,"MAR")+SUMIFS('QUOTED PROJECTS-Current Year'!$L$2:$L$2525,'QUOTED PROJECTS-Current Year'!$Q$2:$Q$2525,"WON",'QUOTED PROJECTS-Current Year'!$K$2:$K$2525,"160",'QUOTED PROJECTS-Current Year'!$H$2:$H$2525,"MAXFORCE",'QUOTED PROJECTS-Current Year'!$R$2:$R$2525,"MAR")</f>
        <v>0</v>
      </c>
      <c r="Z35" s="57">
        <f t="shared" si="7"/>
        <v>0</v>
      </c>
      <c r="AA35" s="37">
        <f t="shared" si="7"/>
        <v>0</v>
      </c>
    </row>
    <row r="36" spans="1:27">
      <c r="A36" s="19">
        <v>180</v>
      </c>
      <c r="B36" s="55"/>
      <c r="C36" s="141">
        <f>SUMIFS('QUOTED PROJECTS-Earlier Yr'!$L$2:$L$2598,'QUOTED PROJECTS-Earlier Yr'!$Q$2:$Q$2598,"WON",'QUOTED PROJECTS-Earlier Yr'!$K$2:$K$2598,"180",'QUOTED PROJECTS-Earlier Yr'!$H$2:$H$2598,"MAXFORCE",'QUOTED PROJECTS-Earlier Yr'!$R$2:$R$2598,"APR")+SUMIFS('QUOTED PROJECTS-Current Year'!$L$2:$L$2525,'QUOTED PROJECTS-Current Year'!$Q$2:$Q$2525,"WON",'QUOTED PROJECTS-Current Year'!$K$2:$K$2525,"180",'QUOTED PROJECTS-Current Year'!$H$2:$H$2525,"MAXFORCE",'QUOTED PROJECTS-Current Year'!$R$2:$R$2525,"APR")</f>
        <v>0</v>
      </c>
      <c r="D36" s="55"/>
      <c r="E36" s="141">
        <f>SUMIFS('QUOTED PROJECTS-Earlier Yr'!$L$2:$L$2598,'QUOTED PROJECTS-Earlier Yr'!$Q$2:$Q$2598,"WON",'QUOTED PROJECTS-Earlier Yr'!$K$2:$K$2598,"180",'QUOTED PROJECTS-Earlier Yr'!$H$2:$H$2598,"MAXFORCE",'QUOTED PROJECTS-Earlier Yr'!$R$2:$R$2598,"MAY")+SUMIFS('QUOTED PROJECTS-Current Year'!$L$2:$L$2525,'QUOTED PROJECTS-Current Year'!$Q$2:$Q$2525,"WON",'QUOTED PROJECTS-Current Year'!$K$2:$K$2525,"180",'QUOTED PROJECTS-Current Year'!$H$2:$H$2525,"MAXFORCE",'QUOTED PROJECTS-Current Year'!$R$2:$R$2525,"MAY")</f>
        <v>0</v>
      </c>
      <c r="F36" s="55"/>
      <c r="G36" s="141">
        <f>SUMIFS('QUOTED PROJECTS-Earlier Yr'!$L$2:$L$2598,'QUOTED PROJECTS-Earlier Yr'!$Q$2:$Q$2598,"WON",'QUOTED PROJECTS-Earlier Yr'!$K$2:$K$2598,"180",'QUOTED PROJECTS-Earlier Yr'!$H$2:$H$2598,"MAXFORCE",'QUOTED PROJECTS-Earlier Yr'!$R$2:$R$2598,"JUN")+SUMIFS('QUOTED PROJECTS-Current Year'!$L$2:$L$2525,'QUOTED PROJECTS-Current Year'!$Q$2:$Q$2525,"WON",'QUOTED PROJECTS-Current Year'!$K$2:$K$2525,"180",'QUOTED PROJECTS-Current Year'!$H$2:$H$2525,"MAXFORCE",'QUOTED PROJECTS-Current Year'!$R$2:$R$2525,"JUN")</f>
        <v>0</v>
      </c>
      <c r="H36" s="55"/>
      <c r="I36" s="141">
        <f>SUMIFS('QUOTED PROJECTS-Earlier Yr'!$L$2:$L$2598,'QUOTED PROJECTS-Earlier Yr'!$Q$2:$Q$2598,"WON",'QUOTED PROJECTS-Earlier Yr'!$K$2:$K$2598,"180",'QUOTED PROJECTS-Earlier Yr'!$H$2:$H$2598,"MAXFORCE",'QUOTED PROJECTS-Earlier Yr'!$R$2:$R$2598,"JUL")+SUMIFS('QUOTED PROJECTS-Current Year'!$L$2:$L$2525,'QUOTED PROJECTS-Current Year'!$Q$2:$Q$2525,"WON",'QUOTED PROJECTS-Current Year'!$K$2:$K$2525,"180",'QUOTED PROJECTS-Current Year'!$H$2:$H$2525,"MAXFORCE",'QUOTED PROJECTS-Current Year'!$R$2:$R$2525,"JUL")</f>
        <v>0</v>
      </c>
      <c r="J36" s="55"/>
      <c r="K36" s="141">
        <f>SUMIFS('QUOTED PROJECTS-Earlier Yr'!$L$2:$L$2598,'QUOTED PROJECTS-Earlier Yr'!$Q$2:$Q$2598,"WON",'QUOTED PROJECTS-Earlier Yr'!$K$2:$K$2598,"180",'QUOTED PROJECTS-Earlier Yr'!$H$2:$H$2598,"MAXFORCE",'QUOTED PROJECTS-Earlier Yr'!$R$2:$R$2598,"AUG")+SUMIFS('QUOTED PROJECTS-Current Year'!$L$2:$L$2525,'QUOTED PROJECTS-Current Year'!$Q$2:$Q$2525,"WON",'QUOTED PROJECTS-Current Year'!$K$2:$K$2525,"180",'QUOTED PROJECTS-Current Year'!$H$2:$H$2525,"MAXFORCE",'QUOTED PROJECTS-Current Year'!$R$2:$R$2525,"AUG")</f>
        <v>0</v>
      </c>
      <c r="L36" s="55"/>
      <c r="M36" s="141">
        <f>SUMIFS('QUOTED PROJECTS-Earlier Yr'!$L$2:$L$2598,'QUOTED PROJECTS-Earlier Yr'!$Q$2:$Q$2598,"WON",'QUOTED PROJECTS-Earlier Yr'!$K$2:$K$2598,"180",'QUOTED PROJECTS-Earlier Yr'!$H$2:$H$2598,"MAXFORCE",'QUOTED PROJECTS-Earlier Yr'!$R$2:$R$2598,"SEPT")+SUMIFS('QUOTED PROJECTS-Current Year'!$L$2:$L$2525,'QUOTED PROJECTS-Current Year'!$Q$2:$Q$2525,"WON",'QUOTED PROJECTS-Current Year'!$K$2:$K$2525,"180",'QUOTED PROJECTS-Current Year'!$H$2:$H$2525,"MAXFORCE",'QUOTED PROJECTS-Current Year'!$R$2:$R$2525,"SEPT")</f>
        <v>0</v>
      </c>
      <c r="N36" s="55"/>
      <c r="O36" s="141">
        <f>SUMIFS('QUOTED PROJECTS-Earlier Yr'!$L$2:$L$2598,'QUOTED PROJECTS-Earlier Yr'!$Q$2:$Q$2598,"WON",'QUOTED PROJECTS-Earlier Yr'!$K$2:$K$2598,"180",'QUOTED PROJECTS-Earlier Yr'!$H$2:$H$2598,"MAXFORCE",'QUOTED PROJECTS-Earlier Yr'!$R$2:$R$2598,"OCT")+SUMIFS('QUOTED PROJECTS-Current Year'!$L$2:$L$2525,'QUOTED PROJECTS-Current Year'!$Q$2:$Q$2525,"WON",'QUOTED PROJECTS-Current Year'!$K$2:$K$2525,"180",'QUOTED PROJECTS-Current Year'!$H$2:$H$2525,"MAXFORCE",'QUOTED PROJECTS-Current Year'!$R$2:$R$2525,"OCT")</f>
        <v>0</v>
      </c>
      <c r="P36" s="55"/>
      <c r="Q36" s="141">
        <f>SUMIFS('QUOTED PROJECTS-Earlier Yr'!$L$2:$L$2598,'QUOTED PROJECTS-Earlier Yr'!$Q$2:$Q$2598,"WON",'QUOTED PROJECTS-Earlier Yr'!$K$2:$K$2598,"180",'QUOTED PROJECTS-Earlier Yr'!$H$2:$H$2598,"MAXFORCE",'QUOTED PROJECTS-Earlier Yr'!$R$2:$R$2598,"NOV")+SUMIFS('QUOTED PROJECTS-Current Year'!$L$2:$L$2525,'QUOTED PROJECTS-Current Year'!$Q$2:$Q$2525,"WON",'QUOTED PROJECTS-Current Year'!$K$2:$K$2525,"180",'QUOTED PROJECTS-Current Year'!$H$2:$H$2525,"MAXFORCE",'QUOTED PROJECTS-Current Year'!$R$2:$R$2525,"NOV")</f>
        <v>0</v>
      </c>
      <c r="R36" s="55"/>
      <c r="S36" s="141">
        <f>SUMIFS('QUOTED PROJECTS-Earlier Yr'!$L$2:$L$2598,'QUOTED PROJECTS-Earlier Yr'!$Q$2:$Q$2598,"WON",'QUOTED PROJECTS-Earlier Yr'!$K$2:$K$2598,"180",'QUOTED PROJECTS-Earlier Yr'!$H$2:$H$2598,"MAXFORCE",'QUOTED PROJECTS-Earlier Yr'!$R$2:$R$2598,"DEC")+SUMIFS('QUOTED PROJECTS-Current Year'!$L$2:$L$2525,'QUOTED PROJECTS-Current Year'!$Q$2:$Q$2525,"WON",'QUOTED PROJECTS-Current Year'!$K$2:$K$2525,"180",'QUOTED PROJECTS-Current Year'!$H$2:$H$2525,"MAXFORCE",'QUOTED PROJECTS-Current Year'!$R$2:$R$2525,"DEC")</f>
        <v>0</v>
      </c>
      <c r="T36" s="55"/>
      <c r="U36" s="141">
        <f>SUMIFS('QUOTED PROJECTS-Earlier Yr'!$L$2:$L$2598,'QUOTED PROJECTS-Earlier Yr'!$Q$2:$Q$2598,"WON",'QUOTED PROJECTS-Earlier Yr'!$K$2:$K$2598,"180",'QUOTED PROJECTS-Earlier Yr'!$H$2:$H$2598,"MAXFORCE",'QUOTED PROJECTS-Earlier Yr'!$R$2:$R$2598,"JAN")+SUMIFS('QUOTED PROJECTS-Current Year'!$L$2:$L$2525,'QUOTED PROJECTS-Current Year'!$Q$2:$Q$2525,"WON",'QUOTED PROJECTS-Current Year'!$K$2:$K$2525,"180",'QUOTED PROJECTS-Current Year'!$H$2:$H$2525,"MAXFORCE",'QUOTED PROJECTS-Current Year'!$R$2:$R$2525,"JAN")</f>
        <v>0</v>
      </c>
      <c r="V36" s="55"/>
      <c r="W36" s="141">
        <f>SUMIFS('QUOTED PROJECTS-Earlier Yr'!$L$2:$L$2598,'QUOTED PROJECTS-Earlier Yr'!$Q$2:$Q$2598,"WON",'QUOTED PROJECTS-Earlier Yr'!$K$2:$K$2598,"180",'QUOTED PROJECTS-Earlier Yr'!$H$2:$H$2598,"MAXFORCE",'QUOTED PROJECTS-Earlier Yr'!$R$2:$R$2598,"FEB")+SUMIFS('QUOTED PROJECTS-Current Year'!$L$2:$L$2525,'QUOTED PROJECTS-Current Year'!$Q$2:$Q$2525,"WON",'QUOTED PROJECTS-Current Year'!$K$2:$K$2525,"180",'QUOTED PROJECTS-Current Year'!$H$2:$H$2525,"MAXFORCE",'QUOTED PROJECTS-Current Year'!$R$2:$R$2525,"FEB")</f>
        <v>0</v>
      </c>
      <c r="X36" s="55"/>
      <c r="Y36" s="141">
        <f>SUMIFS('QUOTED PROJECTS-Earlier Yr'!$L$2:$L$2598,'QUOTED PROJECTS-Earlier Yr'!$Q$2:$Q$2598,"WON",'QUOTED PROJECTS-Earlier Yr'!$K$2:$K$2598,"180",'QUOTED PROJECTS-Earlier Yr'!$H$2:$H$2598,"MAXFORCE",'QUOTED PROJECTS-Earlier Yr'!$R$2:$R$2598,"MAR")+SUMIFS('QUOTED PROJECTS-Current Year'!$L$2:$L$2525,'QUOTED PROJECTS-Current Year'!$Q$2:$Q$2525,"WON",'QUOTED PROJECTS-Current Year'!$K$2:$K$2525,"180",'QUOTED PROJECTS-Current Year'!$H$2:$H$2525,"MAXFORCE",'QUOTED PROJECTS-Current Year'!$R$2:$R$2525,"MAR")</f>
        <v>0</v>
      </c>
      <c r="Z36" s="57">
        <f t="shared" si="7"/>
        <v>0</v>
      </c>
      <c r="AA36" s="37">
        <f t="shared" si="7"/>
        <v>0</v>
      </c>
    </row>
    <row r="37" spans="1:27" ht="13.5" thickBot="1">
      <c r="A37" s="19">
        <v>200</v>
      </c>
      <c r="B37" s="55"/>
      <c r="C37" s="141">
        <f>SUMIFS('QUOTED PROJECTS-Earlier Yr'!$L$2:$L$2598,'QUOTED PROJECTS-Earlier Yr'!$Q$2:$Q$2598,"WON",'QUOTED PROJECTS-Earlier Yr'!$K$2:$K$2598,"200",'QUOTED PROJECTS-Earlier Yr'!$H$2:$H$2598,"MAXFORCE",'QUOTED PROJECTS-Earlier Yr'!$R$2:$R$2598,"APR")+SUMIFS('QUOTED PROJECTS-Current Year'!$L$2:$L$2525,'QUOTED PROJECTS-Current Year'!$Q$2:$Q$2525,"WON",'QUOTED PROJECTS-Current Year'!$K$2:$K$2525,"200",'QUOTED PROJECTS-Current Year'!$H$2:$H$2525,"MAXFORCE",'QUOTED PROJECTS-Current Year'!$R$2:$R$2525,"APR")</f>
        <v>0</v>
      </c>
      <c r="D37" s="55"/>
      <c r="E37" s="141">
        <f>SUMIFS('QUOTED PROJECTS-Earlier Yr'!$L$2:$L$2598,'QUOTED PROJECTS-Earlier Yr'!$Q$2:$Q$2598,"WON",'QUOTED PROJECTS-Earlier Yr'!$K$2:$K$2598,"200",'QUOTED PROJECTS-Earlier Yr'!$H$2:$H$2598,"MAXFORCE",'QUOTED PROJECTS-Earlier Yr'!$R$2:$R$2598,"MAY")+SUMIFS('QUOTED PROJECTS-Current Year'!$L$2:$L$2525,'QUOTED PROJECTS-Current Year'!$Q$2:$Q$2525,"WON",'QUOTED PROJECTS-Current Year'!$K$2:$K$2525,"200",'QUOTED PROJECTS-Current Year'!$H$2:$H$2525,"MAXFORCE",'QUOTED PROJECTS-Current Year'!$R$2:$R$2525,"MAY")</f>
        <v>0</v>
      </c>
      <c r="F37" s="55"/>
      <c r="G37" s="141">
        <f>SUMIFS('QUOTED PROJECTS-Earlier Yr'!$L$2:$L$2598,'QUOTED PROJECTS-Earlier Yr'!$Q$2:$Q$2598,"WON",'QUOTED PROJECTS-Earlier Yr'!$K$2:$K$2598,"200",'QUOTED PROJECTS-Earlier Yr'!$H$2:$H$2598,"MAXFORCE",'QUOTED PROJECTS-Earlier Yr'!$R$2:$R$2598,"JUN")+SUMIFS('QUOTED PROJECTS-Current Year'!$L$2:$L$2525,'QUOTED PROJECTS-Current Year'!$Q$2:$Q$2525,"WON",'QUOTED PROJECTS-Current Year'!$K$2:$K$2525,"200",'QUOTED PROJECTS-Current Year'!$H$2:$H$2525,"MAXFORCE",'QUOTED PROJECTS-Current Year'!$R$2:$R$2525,"JUN")</f>
        <v>0</v>
      </c>
      <c r="H37" s="55"/>
      <c r="I37" s="141">
        <f>SUMIFS('QUOTED PROJECTS-Earlier Yr'!$L$2:$L$2598,'QUOTED PROJECTS-Earlier Yr'!$Q$2:$Q$2598,"WON",'QUOTED PROJECTS-Earlier Yr'!$K$2:$K$2598,"200",'QUOTED PROJECTS-Earlier Yr'!$H$2:$H$2598,"MAXFORCE",'QUOTED PROJECTS-Earlier Yr'!$R$2:$R$2598,"JUL")+SUMIFS('QUOTED PROJECTS-Current Year'!$L$2:$L$2525,'QUOTED PROJECTS-Current Year'!$Q$2:$Q$2525,"WON",'QUOTED PROJECTS-Current Year'!$K$2:$K$2525,"200",'QUOTED PROJECTS-Current Year'!$H$2:$H$2525,"MAXFORCE",'QUOTED PROJECTS-Current Year'!$R$2:$R$2525,"JUL")</f>
        <v>0</v>
      </c>
      <c r="J37" s="55"/>
      <c r="K37" s="141">
        <f>SUMIFS('QUOTED PROJECTS-Earlier Yr'!$L$2:$L$2598,'QUOTED PROJECTS-Earlier Yr'!$Q$2:$Q$2598,"WON",'QUOTED PROJECTS-Earlier Yr'!$K$2:$K$2598,"200",'QUOTED PROJECTS-Earlier Yr'!$H$2:$H$2598,"MAXFORCE",'QUOTED PROJECTS-Earlier Yr'!$R$2:$R$2598,"AUG")+SUMIFS('QUOTED PROJECTS-Current Year'!$L$2:$L$2525,'QUOTED PROJECTS-Current Year'!$Q$2:$Q$2525,"WON",'QUOTED PROJECTS-Current Year'!$K$2:$K$2525,"200",'QUOTED PROJECTS-Current Year'!$H$2:$H$2525,"MAXFORCE",'QUOTED PROJECTS-Current Year'!$R$2:$R$2525,"AUG")</f>
        <v>0</v>
      </c>
      <c r="L37" s="55"/>
      <c r="M37" s="141">
        <f>SUMIFS('QUOTED PROJECTS-Earlier Yr'!$L$2:$L$2598,'QUOTED PROJECTS-Earlier Yr'!$Q$2:$Q$2598,"WON",'QUOTED PROJECTS-Earlier Yr'!$K$2:$K$2598,"200",'QUOTED PROJECTS-Earlier Yr'!$H$2:$H$2598,"MAXFORCE",'QUOTED PROJECTS-Earlier Yr'!$R$2:$R$2598,"SEPT")+SUMIFS('QUOTED PROJECTS-Current Year'!$L$2:$L$2525,'QUOTED PROJECTS-Current Year'!$Q$2:$Q$2525,"WON",'QUOTED PROJECTS-Current Year'!$K$2:$K$2525,"200",'QUOTED PROJECTS-Current Year'!$H$2:$H$2525,"MAXFORCE",'QUOTED PROJECTS-Current Year'!$R$2:$R$2525,"SEPT")</f>
        <v>0</v>
      </c>
      <c r="N37" s="55"/>
      <c r="O37" s="141">
        <f>SUMIFS('QUOTED PROJECTS-Earlier Yr'!$L$2:$L$2598,'QUOTED PROJECTS-Earlier Yr'!$Q$2:$Q$2598,"WON",'QUOTED PROJECTS-Earlier Yr'!$K$2:$K$2598,"200",'QUOTED PROJECTS-Earlier Yr'!$H$2:$H$2598,"MAXFORCE",'QUOTED PROJECTS-Earlier Yr'!$R$2:$R$2598,"OCT")+SUMIFS('QUOTED PROJECTS-Current Year'!$L$2:$L$2525,'QUOTED PROJECTS-Current Year'!$Q$2:$Q$2525,"WON",'QUOTED PROJECTS-Current Year'!$K$2:$K$2525,"200",'QUOTED PROJECTS-Current Year'!$H$2:$H$2525,"MAXFORCE",'QUOTED PROJECTS-Current Year'!$R$2:$R$2525,"OCT")</f>
        <v>0</v>
      </c>
      <c r="P37" s="55"/>
      <c r="Q37" s="141">
        <f>SUMIFS('QUOTED PROJECTS-Earlier Yr'!$L$2:$L$2598,'QUOTED PROJECTS-Earlier Yr'!$Q$2:$Q$2598,"WON",'QUOTED PROJECTS-Earlier Yr'!$K$2:$K$2598,"200",'QUOTED PROJECTS-Earlier Yr'!$H$2:$H$2598,"MAXFORCE",'QUOTED PROJECTS-Earlier Yr'!$R$2:$R$2598,"NOV")+SUMIFS('QUOTED PROJECTS-Current Year'!$L$2:$L$2525,'QUOTED PROJECTS-Current Year'!$Q$2:$Q$2525,"WON",'QUOTED PROJECTS-Current Year'!$K$2:$K$2525,"200",'QUOTED PROJECTS-Current Year'!$H$2:$H$2525,"MAXFORCE",'QUOTED PROJECTS-Current Year'!$R$2:$R$2525,"NOV")</f>
        <v>0</v>
      </c>
      <c r="R37" s="55"/>
      <c r="S37" s="141">
        <f>SUMIFS('QUOTED PROJECTS-Earlier Yr'!$L$2:$L$2598,'QUOTED PROJECTS-Earlier Yr'!$Q$2:$Q$2598,"WON",'QUOTED PROJECTS-Earlier Yr'!$K$2:$K$2598,"200",'QUOTED PROJECTS-Earlier Yr'!$H$2:$H$2598,"MAXFORCE",'QUOTED PROJECTS-Earlier Yr'!$R$2:$R$2598,"DEC")+SUMIFS('QUOTED PROJECTS-Current Year'!$L$2:$L$2525,'QUOTED PROJECTS-Current Year'!$Q$2:$Q$2525,"WON",'QUOTED PROJECTS-Current Year'!$K$2:$K$2525,"200",'QUOTED PROJECTS-Current Year'!$H$2:$H$2525,"MAXFORCE",'QUOTED PROJECTS-Current Year'!$R$2:$R$2525,"DEC")</f>
        <v>0</v>
      </c>
      <c r="T37" s="55"/>
      <c r="U37" s="141">
        <f>SUMIFS('QUOTED PROJECTS-Earlier Yr'!$L$2:$L$2598,'QUOTED PROJECTS-Earlier Yr'!$Q$2:$Q$2598,"WON",'QUOTED PROJECTS-Earlier Yr'!$K$2:$K$2598,"200",'QUOTED PROJECTS-Earlier Yr'!$H$2:$H$2598,"MAXFORCE",'QUOTED PROJECTS-Earlier Yr'!$R$2:$R$2598,"JAN")+SUMIFS('QUOTED PROJECTS-Current Year'!$L$2:$L$2525,'QUOTED PROJECTS-Current Year'!$Q$2:$Q$2525,"WON",'QUOTED PROJECTS-Current Year'!$K$2:$K$2525,"200",'QUOTED PROJECTS-Current Year'!$H$2:$H$2525,"MAXFORCE",'QUOTED PROJECTS-Current Year'!$R$2:$R$2525,"JAN")</f>
        <v>0</v>
      </c>
      <c r="V37" s="55"/>
      <c r="W37" s="141">
        <f>SUMIFS('QUOTED PROJECTS-Earlier Yr'!$L$2:$L$2598,'QUOTED PROJECTS-Earlier Yr'!$Q$2:$Q$2598,"WON",'QUOTED PROJECTS-Earlier Yr'!$K$2:$K$2598,"200",'QUOTED PROJECTS-Earlier Yr'!$H$2:$H$2598,"MAXFORCE",'QUOTED PROJECTS-Earlier Yr'!$R$2:$R$2598,"FEB")+SUMIFS('QUOTED PROJECTS-Current Year'!$L$2:$L$2525,'QUOTED PROJECTS-Current Year'!$Q$2:$Q$2525,"WON",'QUOTED PROJECTS-Current Year'!$K$2:$K$2525,"200",'QUOTED PROJECTS-Current Year'!$H$2:$H$2525,"MAXFORCE",'QUOTED PROJECTS-Current Year'!$R$2:$R$2525,"FEB")</f>
        <v>0</v>
      </c>
      <c r="X37" s="55"/>
      <c r="Y37" s="141">
        <f>SUMIFS('QUOTED PROJECTS-Earlier Yr'!$L$2:$L$2598,'QUOTED PROJECTS-Earlier Yr'!$Q$2:$Q$2598,"WON",'QUOTED PROJECTS-Earlier Yr'!$K$2:$K$2598,"200",'QUOTED PROJECTS-Earlier Yr'!$H$2:$H$2598,"MAXFORCE",'QUOTED PROJECTS-Earlier Yr'!$R$2:$R$2598,"MAR")+SUMIFS('QUOTED PROJECTS-Current Year'!$L$2:$L$2525,'QUOTED PROJECTS-Current Year'!$Q$2:$Q$2525,"WON",'QUOTED PROJECTS-Current Year'!$K$2:$K$2525,"200",'QUOTED PROJECTS-Current Year'!$H$2:$H$2525,"MAXFORCE",'QUOTED PROJECTS-Current Year'!$R$2:$R$2525,"MAR")</f>
        <v>0</v>
      </c>
      <c r="Z37" s="57">
        <f t="shared" si="7"/>
        <v>0</v>
      </c>
      <c r="AA37" s="37">
        <f t="shared" si="7"/>
        <v>0</v>
      </c>
    </row>
    <row r="38" spans="1:27" ht="14.25" thickTop="1" thickBot="1">
      <c r="A38" s="1" t="s">
        <v>90</v>
      </c>
      <c r="B38" s="60">
        <f>SUM(B33:B37)</f>
        <v>0</v>
      </c>
      <c r="C38" s="41">
        <f t="shared" ref="C38:Y38" si="8">SUM(C33:C37)</f>
        <v>0</v>
      </c>
      <c r="D38" s="59">
        <f t="shared" si="8"/>
        <v>0</v>
      </c>
      <c r="E38" s="41">
        <f t="shared" si="8"/>
        <v>0</v>
      </c>
      <c r="F38" s="59">
        <f t="shared" si="8"/>
        <v>0</v>
      </c>
      <c r="G38" s="41">
        <f t="shared" si="8"/>
        <v>0</v>
      </c>
      <c r="H38" s="59">
        <f t="shared" si="8"/>
        <v>0</v>
      </c>
      <c r="I38" s="41">
        <f t="shared" si="8"/>
        <v>0</v>
      </c>
      <c r="J38" s="59">
        <f t="shared" si="8"/>
        <v>0</v>
      </c>
      <c r="K38" s="41">
        <f t="shared" si="8"/>
        <v>0</v>
      </c>
      <c r="L38" s="59">
        <f t="shared" si="8"/>
        <v>0</v>
      </c>
      <c r="M38" s="41">
        <f t="shared" si="8"/>
        <v>0</v>
      </c>
      <c r="N38" s="59">
        <f t="shared" si="8"/>
        <v>0</v>
      </c>
      <c r="O38" s="41">
        <f t="shared" si="8"/>
        <v>0</v>
      </c>
      <c r="P38" s="59">
        <f t="shared" si="8"/>
        <v>0</v>
      </c>
      <c r="Q38" s="41">
        <f t="shared" si="8"/>
        <v>0</v>
      </c>
      <c r="R38" s="59">
        <f t="shared" si="8"/>
        <v>0</v>
      </c>
      <c r="S38" s="41">
        <f t="shared" si="8"/>
        <v>0</v>
      </c>
      <c r="T38" s="59">
        <f t="shared" si="8"/>
        <v>0</v>
      </c>
      <c r="U38" s="41">
        <f t="shared" si="8"/>
        <v>0</v>
      </c>
      <c r="V38" s="59">
        <f t="shared" si="8"/>
        <v>0</v>
      </c>
      <c r="W38" s="41">
        <f t="shared" si="8"/>
        <v>0</v>
      </c>
      <c r="X38" s="59">
        <f t="shared" si="8"/>
        <v>0</v>
      </c>
      <c r="Y38" s="40">
        <f t="shared" si="8"/>
        <v>0</v>
      </c>
      <c r="Z38" s="63">
        <f t="shared" si="7"/>
        <v>0</v>
      </c>
      <c r="AA38" s="44">
        <f t="shared" si="7"/>
        <v>0</v>
      </c>
    </row>
    <row r="39" spans="1:27" ht="14.25" thickTop="1" thickBot="1">
      <c r="B39" s="201"/>
      <c r="C39" s="198"/>
      <c r="D39" s="202"/>
      <c r="E39" s="198"/>
      <c r="F39" s="202"/>
      <c r="G39" s="198"/>
      <c r="H39" s="202"/>
      <c r="I39" s="198"/>
      <c r="J39" s="203"/>
      <c r="K39" s="198"/>
      <c r="L39" s="202"/>
      <c r="M39" s="198"/>
      <c r="N39" s="202"/>
      <c r="O39" s="198"/>
      <c r="P39" s="203"/>
      <c r="Q39" s="198"/>
      <c r="R39" s="202"/>
      <c r="S39" s="198"/>
      <c r="T39" s="202"/>
      <c r="U39" s="198"/>
      <c r="V39" s="203"/>
      <c r="W39" s="198"/>
      <c r="X39" s="202"/>
      <c r="Y39" s="196"/>
      <c r="Z39" s="204"/>
      <c r="AA39" s="205"/>
    </row>
    <row r="40" spans="1:27" s="1" customFormat="1" ht="14.25" thickTop="1" thickBot="1">
      <c r="A40" s="1" t="s">
        <v>2</v>
      </c>
      <c r="B40" s="53">
        <f t="shared" ref="B40:AA40" si="9">B22+B18+B31+B38</f>
        <v>0</v>
      </c>
      <c r="C40" s="43">
        <f t="shared" si="9"/>
        <v>0</v>
      </c>
      <c r="D40" s="53">
        <f t="shared" si="9"/>
        <v>0</v>
      </c>
      <c r="E40" s="43">
        <f t="shared" si="9"/>
        <v>0</v>
      </c>
      <c r="F40" s="53">
        <f t="shared" si="9"/>
        <v>0</v>
      </c>
      <c r="G40" s="43">
        <f t="shared" si="9"/>
        <v>0</v>
      </c>
      <c r="H40" s="53">
        <f t="shared" si="9"/>
        <v>0</v>
      </c>
      <c r="I40" s="43">
        <f t="shared" si="9"/>
        <v>7.5</v>
      </c>
      <c r="J40" s="53">
        <f t="shared" si="9"/>
        <v>0</v>
      </c>
      <c r="K40" s="43">
        <f t="shared" si="9"/>
        <v>2</v>
      </c>
      <c r="L40" s="53">
        <f t="shared" si="9"/>
        <v>0</v>
      </c>
      <c r="M40" s="43">
        <f t="shared" si="9"/>
        <v>0</v>
      </c>
      <c r="N40" s="53">
        <f t="shared" si="9"/>
        <v>0</v>
      </c>
      <c r="O40" s="43">
        <f t="shared" si="9"/>
        <v>0</v>
      </c>
      <c r="P40" s="53">
        <f t="shared" si="9"/>
        <v>0</v>
      </c>
      <c r="Q40" s="43">
        <f t="shared" si="9"/>
        <v>0</v>
      </c>
      <c r="R40" s="53">
        <f t="shared" si="9"/>
        <v>0</v>
      </c>
      <c r="S40" s="43">
        <f t="shared" si="9"/>
        <v>0</v>
      </c>
      <c r="T40" s="53">
        <f t="shared" si="9"/>
        <v>0</v>
      </c>
      <c r="U40" s="43">
        <f t="shared" si="9"/>
        <v>0</v>
      </c>
      <c r="V40" s="53">
        <f t="shared" si="9"/>
        <v>0</v>
      </c>
      <c r="W40" s="43">
        <f t="shared" si="9"/>
        <v>0</v>
      </c>
      <c r="X40" s="53">
        <f t="shared" si="9"/>
        <v>0</v>
      </c>
      <c r="Y40" s="43">
        <f t="shared" si="9"/>
        <v>0</v>
      </c>
      <c r="Z40" s="53">
        <f t="shared" si="9"/>
        <v>0</v>
      </c>
      <c r="AA40" s="43">
        <f t="shared" si="9"/>
        <v>9.5</v>
      </c>
    </row>
    <row r="41" spans="1:27" ht="13.5" thickTop="1"/>
    <row r="43" spans="1:27">
      <c r="A43" s="3" t="s">
        <v>67</v>
      </c>
      <c r="B43" s="54">
        <f>B40+D40+F40+H40+J40+L40+N40+P40+R40+T40+V40+X40</f>
        <v>0</v>
      </c>
    </row>
    <row r="44" spans="1:27">
      <c r="A44" s="3" t="s">
        <v>68</v>
      </c>
      <c r="B44" s="54">
        <f>C40+E40+G40+I40+K40+M40+O40+Q40+S40+U40+W40+Y40</f>
        <v>9.5</v>
      </c>
    </row>
  </sheetData>
  <mergeCells count="23">
    <mergeCell ref="B7:G7"/>
    <mergeCell ref="H7:M7"/>
    <mergeCell ref="N7:S7"/>
    <mergeCell ref="T7:Y7"/>
    <mergeCell ref="B8:AA8"/>
    <mergeCell ref="X4:Y4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A1:AA1"/>
    <mergeCell ref="B3:G3"/>
    <mergeCell ref="H3:M3"/>
    <mergeCell ref="N3:S3"/>
    <mergeCell ref="T3:Y3"/>
    <mergeCell ref="Z3:AA3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4"/>
  <dimension ref="A1:AD46"/>
  <sheetViews>
    <sheetView zoomScale="85" zoomScaleNormal="85" workbookViewId="0">
      <pane xSplit="1" ySplit="8" topLeftCell="B40" activePane="bottomRight" state="frozen"/>
      <selection sqref="A1:AA1"/>
      <selection pane="topRight" sqref="A1:AA1"/>
      <selection pane="bottomLeft" sqref="A1:AA1"/>
      <selection pane="bottomRight" activeCell="B44" sqref="B44"/>
    </sheetView>
  </sheetViews>
  <sheetFormatPr defaultRowHeight="12.75"/>
  <cols>
    <col min="1" max="1" width="9.140625" style="19" collapsed="1"/>
    <col min="2" max="2" width="9.140625" style="110" collapsed="1"/>
    <col min="3" max="3" width="9.140625" style="19" collapsed="1"/>
    <col min="4" max="4" width="9.140625" style="110" collapsed="1"/>
    <col min="5" max="5" width="9.140625" style="19" collapsed="1"/>
    <col min="6" max="6" width="9.140625" style="110" collapsed="1"/>
    <col min="7" max="7" width="9.140625" style="19" collapsed="1"/>
    <col min="8" max="8" width="9.140625" style="110" collapsed="1"/>
    <col min="9" max="9" width="9.140625" style="19" collapsed="1"/>
    <col min="10" max="10" width="9.140625" style="110" collapsed="1"/>
    <col min="11" max="11" width="9.140625" style="19" collapsed="1"/>
    <col min="12" max="12" width="9.140625" style="110" collapsed="1"/>
    <col min="13" max="13" width="9.140625" style="19" collapsed="1"/>
    <col min="14" max="14" width="9.140625" style="110" collapsed="1"/>
    <col min="15" max="15" width="9.140625" style="19" collapsed="1"/>
    <col min="16" max="16" width="9.140625" style="110" collapsed="1"/>
    <col min="17" max="17" width="9.140625" style="19" collapsed="1"/>
    <col min="18" max="18" width="9.140625" style="110" collapsed="1"/>
    <col min="19" max="19" width="9.140625" style="19" collapsed="1"/>
    <col min="20" max="20" width="9.140625" style="110" collapsed="1"/>
    <col min="21" max="21" width="9.140625" style="19" collapsed="1"/>
    <col min="22" max="22" width="9.140625" style="110" collapsed="1"/>
    <col min="23" max="23" width="9.140625" style="19" collapsed="1"/>
    <col min="24" max="24" width="9.140625" style="110" collapsed="1"/>
    <col min="25" max="25" width="9.140625" style="19" collapsed="1"/>
    <col min="26" max="26" width="9.140625" style="110" collapsed="1"/>
    <col min="27" max="16384" width="9.140625" style="19" collapsed="1"/>
  </cols>
  <sheetData>
    <row r="1" spans="1:30">
      <c r="A1" s="395" t="s">
        <v>91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  <c r="V1" s="395"/>
      <c r="W1" s="395"/>
      <c r="X1" s="395"/>
      <c r="Y1" s="395"/>
      <c r="Z1" s="395"/>
      <c r="AA1" s="395"/>
    </row>
    <row r="2" spans="1:30" ht="13.5" thickBot="1">
      <c r="A2" s="1" t="s">
        <v>50</v>
      </c>
    </row>
    <row r="3" spans="1:30" ht="13.5" thickBot="1">
      <c r="B3" s="396" t="s">
        <v>51</v>
      </c>
      <c r="C3" s="344"/>
      <c r="D3" s="397"/>
      <c r="E3" s="344"/>
      <c r="F3" s="397"/>
      <c r="G3" s="340"/>
      <c r="H3" s="396" t="s">
        <v>52</v>
      </c>
      <c r="I3" s="344"/>
      <c r="J3" s="397"/>
      <c r="K3" s="344"/>
      <c r="L3" s="397"/>
      <c r="M3" s="340"/>
      <c r="N3" s="396" t="s">
        <v>53</v>
      </c>
      <c r="O3" s="344"/>
      <c r="P3" s="397"/>
      <c r="Q3" s="344"/>
      <c r="R3" s="397"/>
      <c r="S3" s="340"/>
      <c r="T3" s="396" t="s">
        <v>54</v>
      </c>
      <c r="U3" s="344"/>
      <c r="V3" s="397"/>
      <c r="W3" s="344"/>
      <c r="X3" s="397"/>
      <c r="Y3" s="340"/>
      <c r="Z3" s="396" t="s">
        <v>55</v>
      </c>
      <c r="AA3" s="340"/>
      <c r="AB3" s="106"/>
      <c r="AC3" s="106"/>
      <c r="AD3" s="185"/>
    </row>
    <row r="4" spans="1:30">
      <c r="B4" s="398" t="s">
        <v>7</v>
      </c>
      <c r="C4" s="338"/>
      <c r="D4" s="398" t="s">
        <v>8</v>
      </c>
      <c r="E4" s="338"/>
      <c r="F4" s="398" t="s">
        <v>11</v>
      </c>
      <c r="G4" s="338"/>
      <c r="H4" s="398" t="s">
        <v>56</v>
      </c>
      <c r="I4" s="338"/>
      <c r="J4" s="398" t="s">
        <v>12</v>
      </c>
      <c r="K4" s="338"/>
      <c r="L4" s="398" t="s">
        <v>14</v>
      </c>
      <c r="M4" s="338"/>
      <c r="N4" s="398" t="s">
        <v>13</v>
      </c>
      <c r="O4" s="338"/>
      <c r="P4" s="398" t="s">
        <v>57</v>
      </c>
      <c r="Q4" s="338"/>
      <c r="R4" s="398" t="s">
        <v>15</v>
      </c>
      <c r="S4" s="338"/>
      <c r="T4" s="398" t="s">
        <v>58</v>
      </c>
      <c r="U4" s="338"/>
      <c r="V4" s="398" t="s">
        <v>59</v>
      </c>
      <c r="W4" s="338"/>
      <c r="X4" s="398" t="s">
        <v>60</v>
      </c>
      <c r="Y4" s="338"/>
      <c r="Z4" s="131"/>
      <c r="AA4" s="132"/>
    </row>
    <row r="5" spans="1:30">
      <c r="B5" s="107" t="s">
        <v>61</v>
      </c>
      <c r="C5" s="133" t="s">
        <v>62</v>
      </c>
      <c r="D5" s="107" t="s">
        <v>61</v>
      </c>
      <c r="E5" s="133" t="s">
        <v>62</v>
      </c>
      <c r="F5" s="134" t="s">
        <v>61</v>
      </c>
      <c r="G5" s="133" t="s">
        <v>62</v>
      </c>
      <c r="H5" s="107" t="s">
        <v>61</v>
      </c>
      <c r="I5" s="133" t="s">
        <v>62</v>
      </c>
      <c r="J5" s="107" t="s">
        <v>61</v>
      </c>
      <c r="K5" s="133" t="s">
        <v>62</v>
      </c>
      <c r="L5" s="134" t="s">
        <v>61</v>
      </c>
      <c r="M5" s="133" t="s">
        <v>62</v>
      </c>
      <c r="N5" s="107" t="s">
        <v>61</v>
      </c>
      <c r="O5" s="135" t="s">
        <v>62</v>
      </c>
      <c r="P5" s="107" t="s">
        <v>61</v>
      </c>
      <c r="Q5" s="133" t="s">
        <v>62</v>
      </c>
      <c r="R5" s="134" t="s">
        <v>61</v>
      </c>
      <c r="S5" s="133" t="s">
        <v>62</v>
      </c>
      <c r="T5" s="107" t="s">
        <v>61</v>
      </c>
      <c r="U5" s="135" t="s">
        <v>62</v>
      </c>
      <c r="V5" s="107" t="s">
        <v>61</v>
      </c>
      <c r="W5" s="133" t="s">
        <v>62</v>
      </c>
      <c r="X5" s="134" t="s">
        <v>61</v>
      </c>
      <c r="Y5" s="133" t="s">
        <v>62</v>
      </c>
      <c r="Z5" s="107" t="s">
        <v>61</v>
      </c>
      <c r="AA5" s="136" t="s">
        <v>62</v>
      </c>
    </row>
    <row r="6" spans="1:30">
      <c r="B6" s="108"/>
      <c r="C6" s="137"/>
      <c r="D6" s="108"/>
      <c r="E6" s="137"/>
      <c r="F6" s="138"/>
      <c r="G6" s="137"/>
      <c r="H6" s="108"/>
      <c r="I6" s="137"/>
      <c r="J6" s="108"/>
      <c r="K6" s="137"/>
      <c r="L6" s="138"/>
      <c r="M6" s="137"/>
      <c r="N6" s="108"/>
      <c r="O6" s="139"/>
      <c r="P6" s="108"/>
      <c r="Q6" s="137"/>
      <c r="R6" s="138"/>
      <c r="S6" s="137"/>
      <c r="T6" s="108"/>
      <c r="U6" s="139"/>
      <c r="V6" s="108"/>
      <c r="W6" s="137"/>
      <c r="X6" s="138"/>
      <c r="Y6" s="137"/>
      <c r="Z6" s="107"/>
      <c r="AA6" s="140"/>
    </row>
    <row r="7" spans="1:30" s="1" customFormat="1" ht="13.5" thickBot="1">
      <c r="A7" s="1" t="s">
        <v>63</v>
      </c>
      <c r="B7" s="399">
        <f>C40+E40+G40</f>
        <v>0</v>
      </c>
      <c r="C7" s="342"/>
      <c r="D7" s="400"/>
      <c r="E7" s="342"/>
      <c r="F7" s="400"/>
      <c r="G7" s="343"/>
      <c r="H7" s="399">
        <f>I40+K40+M40</f>
        <v>439.25053000000003</v>
      </c>
      <c r="I7" s="342"/>
      <c r="J7" s="400"/>
      <c r="K7" s="342"/>
      <c r="L7" s="400"/>
      <c r="M7" s="343"/>
      <c r="N7" s="399">
        <f>O40+Q40+S40</f>
        <v>0</v>
      </c>
      <c r="O7" s="342"/>
      <c r="P7" s="400"/>
      <c r="Q7" s="342"/>
      <c r="R7" s="400"/>
      <c r="S7" s="343"/>
      <c r="T7" s="399">
        <f>U40+W40+Y40</f>
        <v>0</v>
      </c>
      <c r="U7" s="342"/>
      <c r="V7" s="400"/>
      <c r="W7" s="342"/>
      <c r="X7" s="400"/>
      <c r="Y7" s="343"/>
      <c r="Z7" s="56"/>
      <c r="AA7" s="2"/>
    </row>
    <row r="8" spans="1:30" s="1" customFormat="1" ht="13.5" thickBot="1">
      <c r="B8" s="401">
        <f>B7+H7+N7+T7</f>
        <v>439.25053000000003</v>
      </c>
      <c r="C8" s="335"/>
      <c r="D8" s="402"/>
      <c r="E8" s="335"/>
      <c r="F8" s="402"/>
      <c r="G8" s="335"/>
      <c r="H8" s="402"/>
      <c r="I8" s="335"/>
      <c r="J8" s="402"/>
      <c r="K8" s="335"/>
      <c r="L8" s="402"/>
      <c r="M8" s="335"/>
      <c r="N8" s="402"/>
      <c r="O8" s="335"/>
      <c r="P8" s="402"/>
      <c r="Q8" s="335"/>
      <c r="R8" s="402"/>
      <c r="S8" s="335"/>
      <c r="T8" s="402"/>
      <c r="U8" s="335"/>
      <c r="V8" s="402"/>
      <c r="W8" s="335"/>
      <c r="X8" s="402"/>
      <c r="Y8" s="335"/>
      <c r="Z8" s="402"/>
      <c r="AA8" s="336"/>
    </row>
    <row r="9" spans="1:30">
      <c r="A9" s="1" t="s">
        <v>6</v>
      </c>
      <c r="B9" s="186"/>
      <c r="C9" s="187"/>
      <c r="D9" s="188"/>
      <c r="E9" s="187"/>
      <c r="F9" s="189"/>
      <c r="G9" s="187"/>
      <c r="H9" s="188"/>
      <c r="I9" s="190"/>
      <c r="J9" s="186"/>
      <c r="K9" s="187"/>
      <c r="L9" s="189"/>
      <c r="M9" s="187"/>
      <c r="N9" s="188"/>
      <c r="O9" s="190"/>
      <c r="P9" s="186"/>
      <c r="Q9" s="187"/>
      <c r="R9" s="189"/>
      <c r="S9" s="187"/>
      <c r="T9" s="188"/>
      <c r="U9" s="190"/>
      <c r="V9" s="186"/>
      <c r="W9" s="187"/>
      <c r="X9" s="189"/>
      <c r="Y9" s="187"/>
      <c r="Z9" s="191"/>
      <c r="AA9" s="192"/>
    </row>
    <row r="10" spans="1:30">
      <c r="A10" s="19">
        <v>275</v>
      </c>
      <c r="B10" s="109"/>
      <c r="C10" s="141">
        <f>SUMIFS('QUOTED PROJECTS-Earlier Yr'!$O$2:$O$2598,'QUOTED PROJECTS-Earlier Yr'!$Q$2:$Q$2598,"WON",'QUOTED PROJECTS-Earlier Yr'!$K$2:$K$2598,"275",'QUOTED PROJECTS-Earlier Yr'!$H$2:$H$2598,"MTU",'QUOTED PROJECTS-Earlier Yr'!$R$2:$R$2598,"APR")+SUMIFS('QUOTED PROJECTS-Current Year'!$O$2:$O$2525,'QUOTED PROJECTS-Current Year'!$Q$2:$Q$2525,"WON",'QUOTED PROJECTS-Current Year'!$K$2:$K$2525,"275",'QUOTED PROJECTS-Current Year'!$H$2:$H$2525,"MTU",'QUOTED PROJECTS-Current Year'!$R$2:$R$2525,"APR")</f>
        <v>0</v>
      </c>
      <c r="D10" s="109"/>
      <c r="E10" s="141">
        <f>SUMIFS('QUOTED PROJECTS-Earlier Yr'!$O$2:$O$2598,'QUOTED PROJECTS-Earlier Yr'!$Q$2:$Q$2598,"WON",'QUOTED PROJECTS-Earlier Yr'!$K$2:$K$2598,"275",'QUOTED PROJECTS-Earlier Yr'!$H$2:$H$2598,"MTU",'QUOTED PROJECTS-Earlier Yr'!$R$2:$R$2598,"MAY")+SUMIFS('QUOTED PROJECTS-Current Year'!$O$2:$O$2525,'QUOTED PROJECTS-Current Year'!$Q$2:$Q$2525,"WON",'QUOTED PROJECTS-Current Year'!$K$2:$K$2525,"275",'QUOTED PROJECTS-Current Year'!$H$2:$H$2525,"MTU",'QUOTED PROJECTS-Current Year'!$R$2:$R$2525,"MAY")</f>
        <v>0</v>
      </c>
      <c r="F10" s="55"/>
      <c r="G10" s="141">
        <f>SUMIFS('QUOTED PROJECTS-Earlier Yr'!$O$2:$O$2598,'QUOTED PROJECTS-Earlier Yr'!$Q$2:$Q$2598,"WON",'QUOTED PROJECTS-Earlier Yr'!$K$2:$K$2598,"275",'QUOTED PROJECTS-Earlier Yr'!$H$2:$H$2598,"MTU",'QUOTED PROJECTS-Earlier Yr'!$R$2:$R$2598,"JUN")+SUMIFS('QUOTED PROJECTS-Current Year'!$O$2:$O$2525,'QUOTED PROJECTS-Current Year'!$Q$2:$Q$2525,"WON",'QUOTED PROJECTS-Current Year'!$K$2:$K$2525,"275",'QUOTED PROJECTS-Current Year'!$H$2:$H$2525,"MTU",'QUOTED PROJECTS-Current Year'!$R$2:$R$2525,"JUN")</f>
        <v>0</v>
      </c>
      <c r="H10" s="109"/>
      <c r="I10" s="141">
        <f>SUMIFS('QUOTED PROJECTS-Earlier Yr'!$O$2:$O$2598,'QUOTED PROJECTS-Earlier Yr'!$Q$2:$Q$2598,"WON",'QUOTED PROJECTS-Earlier Yr'!$K$2:$K$2598,"275",'QUOTED PROJECTS-Earlier Yr'!$H$2:$H$2598,"MTU",'QUOTED PROJECTS-Earlier Yr'!$R$2:$R$2598,"JUL")+SUMIFS('QUOTED PROJECTS-Current Year'!$O$2:$O$2525,'QUOTED PROJECTS-Current Year'!$Q$2:$Q$2525,"WON",'QUOTED PROJECTS-Current Year'!$K$2:$K$2525,"275",'QUOTED PROJECTS-Current Year'!$H$2:$H$2525,"MTU",'QUOTED PROJECTS-Current Year'!$R$2:$R$2525,"JUL")</f>
        <v>0</v>
      </c>
      <c r="J10" s="55"/>
      <c r="K10" s="141">
        <f>SUMIFS('QUOTED PROJECTS-Earlier Yr'!$O$2:$O$2598,'QUOTED PROJECTS-Earlier Yr'!$Q$2:$Q$2598,"WON",'QUOTED PROJECTS-Earlier Yr'!$K$2:$K$2598,"275",'QUOTED PROJECTS-Earlier Yr'!$H$2:$H$2598,"MTU",'QUOTED PROJECTS-Earlier Yr'!$R$2:$R$2598,"AUG")+SUMIFS('QUOTED PROJECTS-Current Year'!$O$2:$O$2525,'QUOTED PROJECTS-Current Year'!$Q$2:$Q$2525,"WON",'QUOTED PROJECTS-Current Year'!$K$2:$K$2525,"275",'QUOTED PROJECTS-Current Year'!$H$2:$H$2525,"MTU",'QUOTED PROJECTS-Current Year'!$R$2:$R$2525,"AUG")</f>
        <v>0</v>
      </c>
      <c r="L10" s="55"/>
      <c r="M10" s="141">
        <f>SUMIFS('QUOTED PROJECTS-Earlier Yr'!$O$2:$O$2598,'QUOTED PROJECTS-Earlier Yr'!$Q$2:$Q$2598,"WON",'QUOTED PROJECTS-Earlier Yr'!$K$2:$K$2598,"275",'QUOTED PROJECTS-Earlier Yr'!$H$2:$H$2598,"MTU",'QUOTED PROJECTS-Earlier Yr'!$R$2:$R$2598,"SEPT")+SUMIFS('QUOTED PROJECTS-Current Year'!$O$2:$O$2525,'QUOTED PROJECTS-Current Year'!$Q$2:$Q$2525,"WON",'QUOTED PROJECTS-Current Year'!$K$2:$K$2525,"275",'QUOTED PROJECTS-Current Year'!$H$2:$H$2525,"MTU",'QUOTED PROJECTS-Current Year'!$R$2:$R$2525,"SEPT")</f>
        <v>0</v>
      </c>
      <c r="N10" s="109"/>
      <c r="O10" s="141">
        <f>SUMIFS('QUOTED PROJECTS-Earlier Yr'!$O$2:$O$2598,'QUOTED PROJECTS-Earlier Yr'!$Q$2:$Q$2598,"WON",'QUOTED PROJECTS-Earlier Yr'!$K$2:$K$2598,"275",'QUOTED PROJECTS-Earlier Yr'!$H$2:$H$2598,"MTU",'QUOTED PROJECTS-Earlier Yr'!$R$2:$R$2598,"OCT")+SUMIFS('QUOTED PROJECTS-Current Year'!$O$2:$O$2525,'QUOTED PROJECTS-Current Year'!$Q$2:$Q$2525,"WON",'QUOTED PROJECTS-Current Year'!$K$2:$K$2525,"275",'QUOTED PROJECTS-Current Year'!$H$2:$H$2525,"MTU",'QUOTED PROJECTS-Current Year'!$R$2:$R$2525,"OCT")</f>
        <v>0</v>
      </c>
      <c r="P10" s="55"/>
      <c r="Q10" s="141">
        <f>SUMIFS('QUOTED PROJECTS-Earlier Yr'!$O$2:$O$2598,'QUOTED PROJECTS-Earlier Yr'!$Q$2:$Q$2598,"WON",'QUOTED PROJECTS-Earlier Yr'!$K$2:$K$2598,"275",'QUOTED PROJECTS-Earlier Yr'!$H$2:$H$2598,"MTU",'QUOTED PROJECTS-Earlier Yr'!$R$2:$R$2598,"NOV")+SUMIFS('QUOTED PROJECTS-Current Year'!$O$2:$O$2525,'QUOTED PROJECTS-Current Year'!$Q$2:$Q$2525,"WON",'QUOTED PROJECTS-Current Year'!$K$2:$K$2525,"275",'QUOTED PROJECTS-Current Year'!$H$2:$H$2525,"MTU",'QUOTED PROJECTS-Current Year'!$R$2:$R$2525,"NOV")</f>
        <v>0</v>
      </c>
      <c r="R10" s="55"/>
      <c r="S10" s="141">
        <f>SUMIFS('QUOTED PROJECTS-Earlier Yr'!$O$2:$O$2598,'QUOTED PROJECTS-Earlier Yr'!$Q$2:$Q$2598,"WON",'QUOTED PROJECTS-Earlier Yr'!$K$2:$K$2598,"275",'QUOTED PROJECTS-Earlier Yr'!$H$2:$H$2598,"MTU",'QUOTED PROJECTS-Earlier Yr'!$R$2:$R$2598,"DEC")+SUMIFS('QUOTED PROJECTS-Current Year'!$O$2:$O$2525,'QUOTED PROJECTS-Current Year'!$Q$2:$Q$2525,"WON",'QUOTED PROJECTS-Current Year'!$K$2:$K$2525,"275",'QUOTED PROJECTS-Current Year'!$H$2:$H$2525,"MTU",'QUOTED PROJECTS-Current Year'!$R$2:$R$2525,"DEC")</f>
        <v>0</v>
      </c>
      <c r="T10" s="109"/>
      <c r="U10" s="141">
        <f>SUMIFS('QUOTED PROJECTS-Earlier Yr'!$O$2:$O$2598,'QUOTED PROJECTS-Earlier Yr'!$Q$2:$Q$2598,"WON",'QUOTED PROJECTS-Earlier Yr'!$K$2:$K$2598,"275",'QUOTED PROJECTS-Earlier Yr'!$H$2:$H$2598,"MTU",'QUOTED PROJECTS-Earlier Yr'!$R$2:$R$2598,"JAN")+SUMIFS('QUOTED PROJECTS-Current Year'!$O$2:$O$2525,'QUOTED PROJECTS-Current Year'!$Q$2:$Q$2525,"WON",'QUOTED PROJECTS-Current Year'!$K$2:$K$2525,"275",'QUOTED PROJECTS-Current Year'!$H$2:$H$2525,"MTU",'QUOTED PROJECTS-Current Year'!$R$2:$R$2525,"JAN")</f>
        <v>0</v>
      </c>
      <c r="V10" s="55"/>
      <c r="W10" s="141">
        <f>SUMIFS('QUOTED PROJECTS-Earlier Yr'!$O$2:$O$2598,'QUOTED PROJECTS-Earlier Yr'!$Q$2:$Q$2598,"WON",'QUOTED PROJECTS-Earlier Yr'!$K$2:$K$2598,"275",'QUOTED PROJECTS-Earlier Yr'!$H$2:$H$2598,"MTU",'QUOTED PROJECTS-Earlier Yr'!$R$2:$R$2598,"FEB")+SUMIFS('QUOTED PROJECTS-Current Year'!$O$2:$O$2525,'QUOTED PROJECTS-Current Year'!$Q$2:$Q$2525,"WON",'QUOTED PROJECTS-Current Year'!$K$2:$K$2525,"275",'QUOTED PROJECTS-Current Year'!$H$2:$H$2525,"MTU",'QUOTED PROJECTS-Current Year'!$R$2:$R$2525,"FEB")</f>
        <v>0</v>
      </c>
      <c r="X10" s="55"/>
      <c r="Y10" s="141">
        <f>SUMIFS('QUOTED PROJECTS-Earlier Yr'!$O$2:$O$2598,'QUOTED PROJECTS-Earlier Yr'!$Q$2:$Q$2598,"WON",'QUOTED PROJECTS-Earlier Yr'!$K$2:$K$2598,"275",'QUOTED PROJECTS-Earlier Yr'!$H$2:$H$2598,"MTU",'QUOTED PROJECTS-Earlier Yr'!$R$2:$R$2598,"MAR")+SUMIFS('QUOTED PROJECTS-Current Year'!$O$2:$O$2525,'QUOTED PROJECTS-Current Year'!$Q$2:$Q$2525,"WON",'QUOTED PROJECTS-Current Year'!$K$2:$K$2525,"275",'QUOTED PROJECTS-Current Year'!$H$2:$H$2525,"MTU",'QUOTED PROJECTS-Current Year'!$R$2:$R$2525,"MAR")</f>
        <v>0</v>
      </c>
      <c r="Z10" s="57">
        <f>B10+D10+F10+H9+J10+L10+N10+P10+R10+T10+V10+X10</f>
        <v>0</v>
      </c>
      <c r="AA10" s="37">
        <f>C10+E10+G10+I10+K10+M10+O10+Q10+S10+U10+W10+Y10</f>
        <v>0</v>
      </c>
    </row>
    <row r="11" spans="1:30">
      <c r="A11" s="19">
        <v>300</v>
      </c>
      <c r="B11" s="109"/>
      <c r="C11" s="141">
        <f>SUMIFS('QUOTED PROJECTS-Earlier Yr'!$O$2:$O$2598,'QUOTED PROJECTS-Earlier Yr'!$Q$2:$Q$2598,"WON",'QUOTED PROJECTS-Earlier Yr'!$K$2:$K$2598,"300",'QUOTED PROJECTS-Earlier Yr'!$H$2:$H$2598,"MTU",'QUOTED PROJECTS-Earlier Yr'!$R$2:$R$2598,"APR")+SUMIFS('QUOTED PROJECTS-Current Year'!$O$2:$O$2525,'QUOTED PROJECTS-Current Year'!$Q$2:$Q$2525,"WON",'QUOTED PROJECTS-Current Year'!$K$2:$K$2525,"300",'QUOTED PROJECTS-Current Year'!$H$2:$H$2525,"MTU",'QUOTED PROJECTS-Current Year'!$R$2:$R$2525,"APR")</f>
        <v>0</v>
      </c>
      <c r="D11" s="109"/>
      <c r="E11" s="141">
        <f>SUMIFS('QUOTED PROJECTS-Earlier Yr'!$O$2:$O$2598,'QUOTED PROJECTS-Earlier Yr'!$Q$2:$Q$2598,"WON",'QUOTED PROJECTS-Earlier Yr'!$K$2:$K$2598,"300",'QUOTED PROJECTS-Earlier Yr'!$H$2:$H$2598,"MTU",'QUOTED PROJECTS-Earlier Yr'!$R$2:$R$2598,"MAY")+SUMIFS('QUOTED PROJECTS-Current Year'!$O$2:$O$2525,'QUOTED PROJECTS-Current Year'!$Q$2:$Q$2525,"WON",'QUOTED PROJECTS-Current Year'!$K$2:$K$2525,"300",'QUOTED PROJECTS-Current Year'!$H$2:$H$2525,"MTU",'QUOTED PROJECTS-Current Year'!$R$2:$R$2525,"MAY")</f>
        <v>0</v>
      </c>
      <c r="F11" s="55"/>
      <c r="G11" s="141">
        <f>SUMIFS('QUOTED PROJECTS-Earlier Yr'!$O$2:$O$2598,'QUOTED PROJECTS-Earlier Yr'!$Q$2:$Q$2598,"WON",'QUOTED PROJECTS-Earlier Yr'!$K$2:$K$2598,"300",'QUOTED PROJECTS-Earlier Yr'!$H$2:$H$2598,"MTU",'QUOTED PROJECTS-Earlier Yr'!$R$2:$R$2598,"JUN")+SUMIFS('QUOTED PROJECTS-Current Year'!$O$2:$O$2525,'QUOTED PROJECTS-Current Year'!$Q$2:$Q$2525,"WON",'QUOTED PROJECTS-Current Year'!$K$2:$K$2525,"300",'QUOTED PROJECTS-Current Year'!$H$2:$H$2525,"MTU",'QUOTED PROJECTS-Current Year'!$R$2:$R$2525,"JUN")</f>
        <v>0</v>
      </c>
      <c r="H11" s="109"/>
      <c r="I11" s="141">
        <f>SUMIFS('QUOTED PROJECTS-Earlier Yr'!$O$2:$O$2598,'QUOTED PROJECTS-Earlier Yr'!$Q$2:$Q$2598,"WON",'QUOTED PROJECTS-Earlier Yr'!$K$2:$K$2598,"300",'QUOTED PROJECTS-Earlier Yr'!$H$2:$H$2598,"MTU",'QUOTED PROJECTS-Earlier Yr'!$R$2:$R$2598,"JUL")+SUMIFS('QUOTED PROJECTS-Current Year'!$O$2:$O$2525,'QUOTED PROJECTS-Current Year'!$Q$2:$Q$2525,"WON",'QUOTED PROJECTS-Current Year'!$K$2:$K$2525,"300",'QUOTED PROJECTS-Current Year'!$H$2:$H$2525,"MTU",'QUOTED PROJECTS-Current Year'!$R$2:$R$2525,"JUL")</f>
        <v>0</v>
      </c>
      <c r="J11" s="55"/>
      <c r="K11" s="141">
        <f>SUMIFS('QUOTED PROJECTS-Earlier Yr'!$O$2:$O$2598,'QUOTED PROJECTS-Earlier Yr'!$Q$2:$Q$2598,"WON",'QUOTED PROJECTS-Earlier Yr'!$K$2:$K$2598,"300",'QUOTED PROJECTS-Earlier Yr'!$H$2:$H$2598,"MTU",'QUOTED PROJECTS-Earlier Yr'!$R$2:$R$2598,"AUG")+SUMIFS('QUOTED PROJECTS-Current Year'!$O$2:$O$2525,'QUOTED PROJECTS-Current Year'!$Q$2:$Q$2525,"WON",'QUOTED PROJECTS-Current Year'!$K$2:$K$2525,"300",'QUOTED PROJECTS-Current Year'!$H$2:$H$2525,"MTU",'QUOTED PROJECTS-Current Year'!$R$2:$R$2525,"AUG")</f>
        <v>0</v>
      </c>
      <c r="L11" s="55"/>
      <c r="M11" s="141">
        <f>SUMIFS('QUOTED PROJECTS-Earlier Yr'!$O$2:$O$2598,'QUOTED PROJECTS-Earlier Yr'!$Q$2:$Q$2598,"WON",'QUOTED PROJECTS-Earlier Yr'!$K$2:$K$2598,"300",'QUOTED PROJECTS-Earlier Yr'!$H$2:$H$2598,"MTU",'QUOTED PROJECTS-Earlier Yr'!$R$2:$R$2598,"SEPT")+SUMIFS('QUOTED PROJECTS-Current Year'!$O$2:$O$2525,'QUOTED PROJECTS-Current Year'!$Q$2:$Q$2525,"WON",'QUOTED PROJECTS-Current Year'!$K$2:$K$2525,"300",'QUOTED PROJECTS-Current Year'!$H$2:$H$2525,"MTU",'QUOTED PROJECTS-Current Year'!$R$2:$R$2525,"SEPT")</f>
        <v>0</v>
      </c>
      <c r="N11" s="109"/>
      <c r="O11" s="141">
        <f>SUMIFS('QUOTED PROJECTS-Earlier Yr'!$O$2:$O$2598,'QUOTED PROJECTS-Earlier Yr'!$Q$2:$Q$2598,"WON",'QUOTED PROJECTS-Earlier Yr'!$K$2:$K$2598,"300",'QUOTED PROJECTS-Earlier Yr'!$H$2:$H$2598,"MTU",'QUOTED PROJECTS-Earlier Yr'!$R$2:$R$2598,"OCT")+SUMIFS('QUOTED PROJECTS-Current Year'!$O$2:$O$2525,'QUOTED PROJECTS-Current Year'!$Q$2:$Q$2525,"WON",'QUOTED PROJECTS-Current Year'!$K$2:$K$2525,"300",'QUOTED PROJECTS-Current Year'!$H$2:$H$2525,"MTU",'QUOTED PROJECTS-Current Year'!$R$2:$R$2525,"OCT")</f>
        <v>0</v>
      </c>
      <c r="P11" s="55"/>
      <c r="Q11" s="141">
        <f>SUMIFS('QUOTED PROJECTS-Earlier Yr'!$O$2:$O$2598,'QUOTED PROJECTS-Earlier Yr'!$Q$2:$Q$2598,"WON",'QUOTED PROJECTS-Earlier Yr'!$K$2:$K$2598,"300",'QUOTED PROJECTS-Earlier Yr'!$H$2:$H$2598,"MTU",'QUOTED PROJECTS-Earlier Yr'!$R$2:$R$2598,"NOV")+SUMIFS('QUOTED PROJECTS-Current Year'!$O$2:$O$2525,'QUOTED PROJECTS-Current Year'!$Q$2:$Q$2525,"WON",'QUOTED PROJECTS-Current Year'!$K$2:$K$2525,"300",'QUOTED PROJECTS-Current Year'!$H$2:$H$2525,"MTU",'QUOTED PROJECTS-Current Year'!$R$2:$R$2525,"NOV")</f>
        <v>0</v>
      </c>
      <c r="R11" s="55"/>
      <c r="S11" s="141">
        <f>SUMIFS('QUOTED PROJECTS-Earlier Yr'!$O$2:$O$2598,'QUOTED PROJECTS-Earlier Yr'!$Q$2:$Q$2598,"WON",'QUOTED PROJECTS-Earlier Yr'!$K$2:$K$2598,"300",'QUOTED PROJECTS-Earlier Yr'!$H$2:$H$2598,"MTU",'QUOTED PROJECTS-Earlier Yr'!$R$2:$R$2598,"DEC")+SUMIFS('QUOTED PROJECTS-Current Year'!$O$2:$O$2525,'QUOTED PROJECTS-Current Year'!$Q$2:$Q$2525,"WON",'QUOTED PROJECTS-Current Year'!$K$2:$K$2525,"300",'QUOTED PROJECTS-Current Year'!$H$2:$H$2525,"MTU",'QUOTED PROJECTS-Current Year'!$R$2:$R$2525,"DEC")</f>
        <v>0</v>
      </c>
      <c r="T11" s="109"/>
      <c r="U11" s="141">
        <f>SUMIFS('QUOTED PROJECTS-Earlier Yr'!$O$2:$O$2598,'QUOTED PROJECTS-Earlier Yr'!$Q$2:$Q$2598,"WON",'QUOTED PROJECTS-Earlier Yr'!$K$2:$K$2598,"300",'QUOTED PROJECTS-Earlier Yr'!$H$2:$H$2598,"MTU",'QUOTED PROJECTS-Earlier Yr'!$R$2:$R$2598,"JAN")+SUMIFS('QUOTED PROJECTS-Current Year'!$O$2:$O$2525,'QUOTED PROJECTS-Current Year'!$Q$2:$Q$2525,"WON",'QUOTED PROJECTS-Current Year'!$K$2:$K$2525,"300",'QUOTED PROJECTS-Current Year'!$H$2:$H$2525,"MTU",'QUOTED PROJECTS-Current Year'!$R$2:$R$2525,"JAN")</f>
        <v>0</v>
      </c>
      <c r="V11" s="55"/>
      <c r="W11" s="141">
        <f>SUMIFS('QUOTED PROJECTS-Earlier Yr'!$O$2:$O$2598,'QUOTED PROJECTS-Earlier Yr'!$Q$2:$Q$2598,"WON",'QUOTED PROJECTS-Earlier Yr'!$K$2:$K$2598,"300",'QUOTED PROJECTS-Earlier Yr'!$H$2:$H$2598,"MTU",'QUOTED PROJECTS-Earlier Yr'!$R$2:$R$2598,"FEB")+SUMIFS('QUOTED PROJECTS-Current Year'!$O$2:$O$2525,'QUOTED PROJECTS-Current Year'!$Q$2:$Q$2525,"WON",'QUOTED PROJECTS-Current Year'!$K$2:$K$2525,"300",'QUOTED PROJECTS-Current Year'!$H$2:$H$2525,"MTU",'QUOTED PROJECTS-Current Year'!$R$2:$R$2525,"FEB")</f>
        <v>0</v>
      </c>
      <c r="X11" s="55"/>
      <c r="Y11" s="141">
        <f>SUMIFS('QUOTED PROJECTS-Earlier Yr'!$O$2:$O$2598,'QUOTED PROJECTS-Earlier Yr'!$Q$2:$Q$2598,"WON",'QUOTED PROJECTS-Earlier Yr'!$K$2:$K$2598,"300",'QUOTED PROJECTS-Earlier Yr'!$H$2:$H$2598,"MTU",'QUOTED PROJECTS-Earlier Yr'!$R$2:$R$2598,"MAR")+SUMIFS('QUOTED PROJECTS-Current Year'!$O$2:$O$2525,'QUOTED PROJECTS-Current Year'!$Q$2:$Q$2525,"WON",'QUOTED PROJECTS-Current Year'!$K$2:$K$2525,"300",'QUOTED PROJECTS-Current Year'!$H$2:$H$2525,"MTU",'QUOTED PROJECTS-Current Year'!$R$2:$R$2525,"MAR")</f>
        <v>0</v>
      </c>
      <c r="Z11" s="57">
        <f t="shared" ref="Z11:AA17" si="0">B11+D11+F11+H11+J11+L11+N11+P11+R11+T11+V11+X11</f>
        <v>0</v>
      </c>
      <c r="AA11" s="37">
        <f t="shared" si="0"/>
        <v>0</v>
      </c>
    </row>
    <row r="12" spans="1:30">
      <c r="A12" s="19">
        <v>360</v>
      </c>
      <c r="B12" s="109"/>
      <c r="C12" s="141">
        <f>SUMIFS('QUOTED PROJECTS-Earlier Yr'!$O$2:$O$2598,'QUOTED PROJECTS-Earlier Yr'!$Q$2:$Q$2598,"WON",'QUOTED PROJECTS-Earlier Yr'!$K$2:$K$2598,"360",'QUOTED PROJECTS-Earlier Yr'!$H$2:$H$2598,"MTU",'QUOTED PROJECTS-Earlier Yr'!$R$2:$R$2598,"APR")+SUMIFS('QUOTED PROJECTS-Current Year'!$O$2:$O$2525,'QUOTED PROJECTS-Current Year'!$Q$2:$Q$2525,"WON",'QUOTED PROJECTS-Current Year'!$K$2:$K$2525,"360",'QUOTED PROJECTS-Current Year'!$H$2:$H$2525,"MTU",'QUOTED PROJECTS-Current Year'!$R$2:$R$2525,"APR")</f>
        <v>0</v>
      </c>
      <c r="D12" s="109"/>
      <c r="E12" s="141">
        <f>SUMIFS('QUOTED PROJECTS-Earlier Yr'!$O$2:$O$2598,'QUOTED PROJECTS-Earlier Yr'!$Q$2:$Q$2598,"WON",'QUOTED PROJECTS-Earlier Yr'!$K$2:$K$2598,"360",'QUOTED PROJECTS-Earlier Yr'!$H$2:$H$2598,"MTU",'QUOTED PROJECTS-Earlier Yr'!$R$2:$R$2598,"MAY")+SUMIFS('QUOTED PROJECTS-Current Year'!$O$2:$O$2525,'QUOTED PROJECTS-Current Year'!$Q$2:$Q$2525,"WON",'QUOTED PROJECTS-Current Year'!$K$2:$K$2525,"360",'QUOTED PROJECTS-Current Year'!$H$2:$H$2525,"MTU",'QUOTED PROJECTS-Current Year'!$R$2:$R$2525,"MAY")</f>
        <v>0</v>
      </c>
      <c r="F12" s="55"/>
      <c r="G12" s="141">
        <f>SUMIFS('QUOTED PROJECTS-Earlier Yr'!$O$2:$O$2598,'QUOTED PROJECTS-Earlier Yr'!$Q$2:$Q$2598,"WON",'QUOTED PROJECTS-Earlier Yr'!$K$2:$K$2598,"360",'QUOTED PROJECTS-Earlier Yr'!$H$2:$H$2598,"MTU",'QUOTED PROJECTS-Earlier Yr'!$R$2:$R$2598,"JUN")+SUMIFS('QUOTED PROJECTS-Current Year'!$O$2:$O$2525,'QUOTED PROJECTS-Current Year'!$Q$2:$Q$2525,"WON",'QUOTED PROJECTS-Current Year'!$K$2:$K$2525,"360",'QUOTED PROJECTS-Current Year'!$H$2:$H$2525,"MTU",'QUOTED PROJECTS-Current Year'!$R$2:$R$2525,"JUN")</f>
        <v>0</v>
      </c>
      <c r="H12" s="109"/>
      <c r="I12" s="141">
        <f>SUMIFS('QUOTED PROJECTS-Earlier Yr'!$O$2:$O$2598,'QUOTED PROJECTS-Earlier Yr'!$Q$2:$Q$2598,"WON",'QUOTED PROJECTS-Earlier Yr'!$K$2:$K$2598,"360",'QUOTED PROJECTS-Earlier Yr'!$H$2:$H$2598,"MTU",'QUOTED PROJECTS-Earlier Yr'!$R$2:$R$2598,"JUL")+SUMIFS('QUOTED PROJECTS-Current Year'!$O$2:$O$2525,'QUOTED PROJECTS-Current Year'!$Q$2:$Q$2525,"WON",'QUOTED PROJECTS-Current Year'!$K$2:$K$2525,"360",'QUOTED PROJECTS-Current Year'!$H$2:$H$2525,"MTU",'QUOTED PROJECTS-Current Year'!$R$2:$R$2525,"JUL")</f>
        <v>0</v>
      </c>
      <c r="J12" s="55"/>
      <c r="K12" s="141">
        <f>SUMIFS('QUOTED PROJECTS-Earlier Yr'!$O$2:$O$2598,'QUOTED PROJECTS-Earlier Yr'!$Q$2:$Q$2598,"WON",'QUOTED PROJECTS-Earlier Yr'!$K$2:$K$2598,"360",'QUOTED PROJECTS-Earlier Yr'!$H$2:$H$2598,"MTU",'QUOTED PROJECTS-Earlier Yr'!$R$2:$R$2598,"AUG")+SUMIFS('QUOTED PROJECTS-Current Year'!$O$2:$O$2525,'QUOTED PROJECTS-Current Year'!$Q$2:$Q$2525,"WON",'QUOTED PROJECTS-Current Year'!$K$2:$K$2525,"360",'QUOTED PROJECTS-Current Year'!$H$2:$H$2525,"MTU",'QUOTED PROJECTS-Current Year'!$R$2:$R$2525,"AUG")</f>
        <v>0</v>
      </c>
      <c r="L12" s="55"/>
      <c r="M12" s="141">
        <f>SUMIFS('QUOTED PROJECTS-Earlier Yr'!$O$2:$O$2598,'QUOTED PROJECTS-Earlier Yr'!$Q$2:$Q$2598,"WON",'QUOTED PROJECTS-Earlier Yr'!$K$2:$K$2598,"360",'QUOTED PROJECTS-Earlier Yr'!$H$2:$H$2598,"MTU",'QUOTED PROJECTS-Earlier Yr'!$R$2:$R$2598,"SEPT")+SUMIFS('QUOTED PROJECTS-Current Year'!$O$2:$O$2525,'QUOTED PROJECTS-Current Year'!$Q$2:$Q$2525,"WON",'QUOTED PROJECTS-Current Year'!$K$2:$K$2525,"360",'QUOTED PROJECTS-Current Year'!$H$2:$H$2525,"MTU",'QUOTED PROJECTS-Current Year'!$R$2:$R$2525,"SEPT")</f>
        <v>0</v>
      </c>
      <c r="N12" s="109"/>
      <c r="O12" s="141">
        <f>SUMIFS('QUOTED PROJECTS-Earlier Yr'!$O$2:$O$2598,'QUOTED PROJECTS-Earlier Yr'!$Q$2:$Q$2598,"WON",'QUOTED PROJECTS-Earlier Yr'!$K$2:$K$2598,"360",'QUOTED PROJECTS-Earlier Yr'!$H$2:$H$2598,"MTU",'QUOTED PROJECTS-Earlier Yr'!$R$2:$R$2598,"OCT")+SUMIFS('QUOTED PROJECTS-Current Year'!$O$2:$O$2525,'QUOTED PROJECTS-Current Year'!$Q$2:$Q$2525,"WON",'QUOTED PROJECTS-Current Year'!$K$2:$K$2525,"360",'QUOTED PROJECTS-Current Year'!$H$2:$H$2525,"MTU",'QUOTED PROJECTS-Current Year'!$R$2:$R$2525,"OCT")</f>
        <v>0</v>
      </c>
      <c r="P12" s="55"/>
      <c r="Q12" s="141">
        <f>SUMIFS('QUOTED PROJECTS-Earlier Yr'!$O$2:$O$2598,'QUOTED PROJECTS-Earlier Yr'!$Q$2:$Q$2598,"WON",'QUOTED PROJECTS-Earlier Yr'!$K$2:$K$2598,"360",'QUOTED PROJECTS-Earlier Yr'!$H$2:$H$2598,"MTU",'QUOTED PROJECTS-Earlier Yr'!$R$2:$R$2598,"NOV")+SUMIFS('QUOTED PROJECTS-Current Year'!$O$2:$O$2525,'QUOTED PROJECTS-Current Year'!$Q$2:$Q$2525,"WON",'QUOTED PROJECTS-Current Year'!$K$2:$K$2525,"360",'QUOTED PROJECTS-Current Year'!$H$2:$H$2525,"MTU",'QUOTED PROJECTS-Current Year'!$R$2:$R$2525,"NOV")</f>
        <v>0</v>
      </c>
      <c r="R12" s="55"/>
      <c r="S12" s="141">
        <f>SUMIFS('QUOTED PROJECTS-Earlier Yr'!$O$2:$O$2598,'QUOTED PROJECTS-Earlier Yr'!$Q$2:$Q$2598,"WON",'QUOTED PROJECTS-Earlier Yr'!$K$2:$K$2598,"360",'QUOTED PROJECTS-Earlier Yr'!$H$2:$H$2598,"MTU",'QUOTED PROJECTS-Earlier Yr'!$R$2:$R$2598,"DEC")+SUMIFS('QUOTED PROJECTS-Current Year'!$O$2:$O$2525,'QUOTED PROJECTS-Current Year'!$Q$2:$Q$2525,"WON",'QUOTED PROJECTS-Current Year'!$K$2:$K$2525,"360",'QUOTED PROJECTS-Current Year'!$H$2:$H$2525,"MTU",'QUOTED PROJECTS-Current Year'!$R$2:$R$2525,"DEC")</f>
        <v>0</v>
      </c>
      <c r="T12" s="109"/>
      <c r="U12" s="141">
        <f>SUMIFS('QUOTED PROJECTS-Earlier Yr'!$O$2:$O$2598,'QUOTED PROJECTS-Earlier Yr'!$Q$2:$Q$2598,"WON",'QUOTED PROJECTS-Earlier Yr'!$K$2:$K$2598,"360",'QUOTED PROJECTS-Earlier Yr'!$H$2:$H$2598,"MTU",'QUOTED PROJECTS-Earlier Yr'!$R$2:$R$2598,"JAN")+SUMIFS('QUOTED PROJECTS-Current Year'!$O$2:$O$2525,'QUOTED PROJECTS-Current Year'!$Q$2:$Q$2525,"WON",'QUOTED PROJECTS-Current Year'!$K$2:$K$2525,"360",'QUOTED PROJECTS-Current Year'!$H$2:$H$2525,"MTU",'QUOTED PROJECTS-Current Year'!$R$2:$R$2525,"JAN")</f>
        <v>0</v>
      </c>
      <c r="V12" s="55"/>
      <c r="W12" s="141">
        <f>SUMIFS('QUOTED PROJECTS-Earlier Yr'!$O$2:$O$2598,'QUOTED PROJECTS-Earlier Yr'!$Q$2:$Q$2598,"WON",'QUOTED PROJECTS-Earlier Yr'!$K$2:$K$2598,"360",'QUOTED PROJECTS-Earlier Yr'!$H$2:$H$2598,"MTU",'QUOTED PROJECTS-Earlier Yr'!$R$2:$R$2598,"FEB")+SUMIFS('QUOTED PROJECTS-Current Year'!$O$2:$O$2525,'QUOTED PROJECTS-Current Year'!$Q$2:$Q$2525,"WON",'QUOTED PROJECTS-Current Year'!$K$2:$K$2525,"360",'QUOTED PROJECTS-Current Year'!$H$2:$H$2525,"MTU",'QUOTED PROJECTS-Current Year'!$R$2:$R$2525,"FEB")</f>
        <v>0</v>
      </c>
      <c r="X12" s="55"/>
      <c r="Y12" s="141">
        <f>SUMIFS('QUOTED PROJECTS-Earlier Yr'!$O$2:$O$2598,'QUOTED PROJECTS-Earlier Yr'!$Q$2:$Q$2598,"WON",'QUOTED PROJECTS-Earlier Yr'!$K$2:$K$2598,"360",'QUOTED PROJECTS-Earlier Yr'!$H$2:$H$2598,"MTU",'QUOTED PROJECTS-Earlier Yr'!$R$2:$R$2598,"MAR")+SUMIFS('QUOTED PROJECTS-Current Year'!$O$2:$O$2525,'QUOTED PROJECTS-Current Year'!$Q$2:$Q$2525,"WON",'QUOTED PROJECTS-Current Year'!$K$2:$K$2525,"360",'QUOTED PROJECTS-Current Year'!$H$2:$H$2525,"MTU",'QUOTED PROJECTS-Current Year'!$R$2:$R$2525,"MAR")</f>
        <v>0</v>
      </c>
      <c r="Z12" s="57">
        <f>B12+D12+F12+H12+J12+L12+N12+P12+R12+T12+V12+X12</f>
        <v>0</v>
      </c>
      <c r="AA12" s="37">
        <f>C12+E12+G12+I12+K12+M12+O12+Q12+S12+U12+W12+Y12</f>
        <v>0</v>
      </c>
    </row>
    <row r="13" spans="1:30">
      <c r="A13" s="19">
        <v>400</v>
      </c>
      <c r="B13" s="109"/>
      <c r="C13" s="141">
        <f>SUMIFS('QUOTED PROJECTS-Earlier Yr'!$O$2:$O$2598,'QUOTED PROJECTS-Earlier Yr'!$Q$2:$Q$2598,"WON",'QUOTED PROJECTS-Earlier Yr'!$K$2:$K$2598,"400",'QUOTED PROJECTS-Earlier Yr'!$H$2:$H$2598,"MTU",'QUOTED PROJECTS-Earlier Yr'!$R$2:$R$2598,"APR")+SUMIFS('QUOTED PROJECTS-Current Year'!$O$2:$O$2525,'QUOTED PROJECTS-Current Year'!$Q$2:$Q$2525,"WON",'QUOTED PROJECTS-Current Year'!$K$2:$K$2525,"400",'QUOTED PROJECTS-Current Year'!$H$2:$H$2525,"MTU",'QUOTED PROJECTS-Current Year'!$R$2:$R$2525,"APR")</f>
        <v>0</v>
      </c>
      <c r="D13" s="109"/>
      <c r="E13" s="141">
        <f>SUMIFS('QUOTED PROJECTS-Earlier Yr'!$O$2:$O$2598,'QUOTED PROJECTS-Earlier Yr'!$Q$2:$Q$2598,"WON",'QUOTED PROJECTS-Earlier Yr'!$K$2:$K$2598,"400",'QUOTED PROJECTS-Earlier Yr'!$H$2:$H$2598,"MTU",'QUOTED PROJECTS-Earlier Yr'!$R$2:$R$2598,"MAY")+SUMIFS('QUOTED PROJECTS-Current Year'!$O$2:$O$2525,'QUOTED PROJECTS-Current Year'!$Q$2:$Q$2525,"WON",'QUOTED PROJECTS-Current Year'!$K$2:$K$2525,"400",'QUOTED PROJECTS-Current Year'!$H$2:$H$2525,"MTU",'QUOTED PROJECTS-Current Year'!$R$2:$R$2525,"MAY")</f>
        <v>0</v>
      </c>
      <c r="F13" s="55"/>
      <c r="G13" s="141">
        <f>SUMIFS('QUOTED PROJECTS-Earlier Yr'!$O$2:$O$2598,'QUOTED PROJECTS-Earlier Yr'!$Q$2:$Q$2598,"WON",'QUOTED PROJECTS-Earlier Yr'!$K$2:$K$2598,"400",'QUOTED PROJECTS-Earlier Yr'!$H$2:$H$2598,"MTU",'QUOTED PROJECTS-Earlier Yr'!$R$2:$R$2598,"JUN")+SUMIFS('QUOTED PROJECTS-Current Year'!$O$2:$O$2525,'QUOTED PROJECTS-Current Year'!$Q$2:$Q$2525,"WON",'QUOTED PROJECTS-Current Year'!$K$2:$K$2525,"400",'QUOTED PROJECTS-Current Year'!$H$2:$H$2525,"MTU",'QUOTED PROJECTS-Current Year'!$R$2:$R$2525,"JUN")</f>
        <v>0</v>
      </c>
      <c r="H13" s="109"/>
      <c r="I13" s="141">
        <f>SUMIFS('QUOTED PROJECTS-Earlier Yr'!$O$2:$O$2598,'QUOTED PROJECTS-Earlier Yr'!$Q$2:$Q$2598,"WON",'QUOTED PROJECTS-Earlier Yr'!$K$2:$K$2598,"400",'QUOTED PROJECTS-Earlier Yr'!$H$2:$H$2598,"MTU",'QUOTED PROJECTS-Earlier Yr'!$R$2:$R$2598,"JUL")+SUMIFS('QUOTED PROJECTS-Current Year'!$O$2:$O$2525,'QUOTED PROJECTS-Current Year'!$Q$2:$Q$2525,"WON",'QUOTED PROJECTS-Current Year'!$K$2:$K$2525,"400",'QUOTED PROJECTS-Current Year'!$H$2:$H$2525,"MTU",'QUOTED PROJECTS-Current Year'!$R$2:$R$2525,"JUL")</f>
        <v>0</v>
      </c>
      <c r="J13" s="55"/>
      <c r="K13" s="141">
        <f>SUMIFS('QUOTED PROJECTS-Earlier Yr'!$O$2:$O$2598,'QUOTED PROJECTS-Earlier Yr'!$Q$2:$Q$2598,"WON",'QUOTED PROJECTS-Earlier Yr'!$K$2:$K$2598,"400",'QUOTED PROJECTS-Earlier Yr'!$H$2:$H$2598,"MTU",'QUOTED PROJECTS-Earlier Yr'!$R$2:$R$2598,"AUG")+SUMIFS('QUOTED PROJECTS-Current Year'!$O$2:$O$2525,'QUOTED PROJECTS-Current Year'!$Q$2:$Q$2525,"WON",'QUOTED PROJECTS-Current Year'!$K$2:$K$2525,"400",'QUOTED PROJECTS-Current Year'!$H$2:$H$2525,"MTU",'QUOTED PROJECTS-Current Year'!$R$2:$R$2525,"AUG")</f>
        <v>0</v>
      </c>
      <c r="L13" s="55"/>
      <c r="M13" s="141">
        <f>SUMIFS('QUOTED PROJECTS-Earlier Yr'!$O$2:$O$2598,'QUOTED PROJECTS-Earlier Yr'!$Q$2:$Q$2598,"WON",'QUOTED PROJECTS-Earlier Yr'!$K$2:$K$2598,"400",'QUOTED PROJECTS-Earlier Yr'!$H$2:$H$2598,"MTU",'QUOTED PROJECTS-Earlier Yr'!$R$2:$R$2598,"SEPT")+SUMIFS('QUOTED PROJECTS-Current Year'!$O$2:$O$2525,'QUOTED PROJECTS-Current Year'!$Q$2:$Q$2525,"WON",'QUOTED PROJECTS-Current Year'!$K$2:$K$2525,"400",'QUOTED PROJECTS-Current Year'!$H$2:$H$2525,"MTU",'QUOTED PROJECTS-Current Year'!$R$2:$R$2525,"SEPT")</f>
        <v>0</v>
      </c>
      <c r="N13" s="109"/>
      <c r="O13" s="141">
        <f>SUMIFS('QUOTED PROJECTS-Earlier Yr'!$O$2:$O$2598,'QUOTED PROJECTS-Earlier Yr'!$Q$2:$Q$2598,"WON",'QUOTED PROJECTS-Earlier Yr'!$K$2:$K$2598,"400",'QUOTED PROJECTS-Earlier Yr'!$H$2:$H$2598,"MTU",'QUOTED PROJECTS-Earlier Yr'!$R$2:$R$2598,"OCT")+SUMIFS('QUOTED PROJECTS-Current Year'!$O$2:$O$2525,'QUOTED PROJECTS-Current Year'!$Q$2:$Q$2525,"WON",'QUOTED PROJECTS-Current Year'!$K$2:$K$2525,"400",'QUOTED PROJECTS-Current Year'!$H$2:$H$2525,"MTU",'QUOTED PROJECTS-Current Year'!$R$2:$R$2525,"OCT")</f>
        <v>0</v>
      </c>
      <c r="P13" s="55"/>
      <c r="Q13" s="141">
        <f>SUMIFS('QUOTED PROJECTS-Earlier Yr'!$O$2:$O$2598,'QUOTED PROJECTS-Earlier Yr'!$Q$2:$Q$2598,"WON",'QUOTED PROJECTS-Earlier Yr'!$K$2:$K$2598,"400",'QUOTED PROJECTS-Earlier Yr'!$H$2:$H$2598,"MTU",'QUOTED PROJECTS-Earlier Yr'!$R$2:$R$2598,"NOV")+SUMIFS('QUOTED PROJECTS-Current Year'!$O$2:$O$2525,'QUOTED PROJECTS-Current Year'!$Q$2:$Q$2525,"WON",'QUOTED PROJECTS-Current Year'!$K$2:$K$2525,"400",'QUOTED PROJECTS-Current Year'!$H$2:$H$2525,"MTU",'QUOTED PROJECTS-Current Year'!$R$2:$R$2525,"NOV")</f>
        <v>0</v>
      </c>
      <c r="R13" s="55"/>
      <c r="S13" s="141">
        <f>SUMIFS('QUOTED PROJECTS-Earlier Yr'!$O$2:$O$2598,'QUOTED PROJECTS-Earlier Yr'!$Q$2:$Q$2598,"WON",'QUOTED PROJECTS-Earlier Yr'!$K$2:$K$2598,"400",'QUOTED PROJECTS-Earlier Yr'!$H$2:$H$2598,"MTU",'QUOTED PROJECTS-Earlier Yr'!$R$2:$R$2598,"DEC")+SUMIFS('QUOTED PROJECTS-Current Year'!$O$2:$O$2525,'QUOTED PROJECTS-Current Year'!$Q$2:$Q$2525,"WON",'QUOTED PROJECTS-Current Year'!$K$2:$K$2525,"400",'QUOTED PROJECTS-Current Year'!$H$2:$H$2525,"MTU",'QUOTED PROJECTS-Current Year'!$R$2:$R$2525,"DEC")</f>
        <v>0</v>
      </c>
      <c r="T13" s="109"/>
      <c r="U13" s="141">
        <f>SUMIFS('QUOTED PROJECTS-Earlier Yr'!$O$2:$O$2598,'QUOTED PROJECTS-Earlier Yr'!$Q$2:$Q$2598,"WON",'QUOTED PROJECTS-Earlier Yr'!$K$2:$K$2598,"400",'QUOTED PROJECTS-Earlier Yr'!$H$2:$H$2598,"MTU",'QUOTED PROJECTS-Earlier Yr'!$R$2:$R$2598,"JAN")+SUMIFS('QUOTED PROJECTS-Current Year'!$O$2:$O$2525,'QUOTED PROJECTS-Current Year'!$Q$2:$Q$2525,"WON",'QUOTED PROJECTS-Current Year'!$K$2:$K$2525,"400",'QUOTED PROJECTS-Current Year'!$H$2:$H$2525,"MTU",'QUOTED PROJECTS-Current Year'!$R$2:$R$2525,"JAN")</f>
        <v>0</v>
      </c>
      <c r="V13" s="55"/>
      <c r="W13" s="141">
        <f>SUMIFS('QUOTED PROJECTS-Earlier Yr'!$O$2:$O$2598,'QUOTED PROJECTS-Earlier Yr'!$Q$2:$Q$2598,"WON",'QUOTED PROJECTS-Earlier Yr'!$K$2:$K$2598,"400",'QUOTED PROJECTS-Earlier Yr'!$H$2:$H$2598,"MTU",'QUOTED PROJECTS-Earlier Yr'!$R$2:$R$2598,"FEB")+SUMIFS('QUOTED PROJECTS-Current Year'!$O$2:$O$2525,'QUOTED PROJECTS-Current Year'!$Q$2:$Q$2525,"WON",'QUOTED PROJECTS-Current Year'!$K$2:$K$2525,"400",'QUOTED PROJECTS-Current Year'!$H$2:$H$2525,"MTU",'QUOTED PROJECTS-Current Year'!$R$2:$R$2525,"FEB")</f>
        <v>0</v>
      </c>
      <c r="X13" s="55"/>
      <c r="Y13" s="141">
        <f>SUMIFS('QUOTED PROJECTS-Earlier Yr'!$O$2:$O$2598,'QUOTED PROJECTS-Earlier Yr'!$Q$2:$Q$2598,"WON",'QUOTED PROJECTS-Earlier Yr'!$K$2:$K$2598,"400",'QUOTED PROJECTS-Earlier Yr'!$H$2:$H$2598,"MTU",'QUOTED PROJECTS-Earlier Yr'!$R$2:$R$2598,"MAR")+SUMIFS('QUOTED PROJECTS-Current Year'!$O$2:$O$2525,'QUOTED PROJECTS-Current Year'!$Q$2:$Q$2525,"WON",'QUOTED PROJECTS-Current Year'!$K$2:$K$2525,"400",'QUOTED PROJECTS-Current Year'!$H$2:$H$2525,"MTU",'QUOTED PROJECTS-Current Year'!$R$2:$R$2525,"MAR")</f>
        <v>0</v>
      </c>
      <c r="Z13" s="57">
        <f t="shared" si="0"/>
        <v>0</v>
      </c>
      <c r="AA13" s="37">
        <f t="shared" si="0"/>
        <v>0</v>
      </c>
    </row>
    <row r="14" spans="1:30">
      <c r="A14" s="19">
        <v>450</v>
      </c>
      <c r="B14" s="109"/>
      <c r="C14" s="141">
        <f>SUMIFS('QUOTED PROJECTS-Earlier Yr'!$O$2:$O$2598,'QUOTED PROJECTS-Earlier Yr'!$Q$2:$Q$2598,"WON",'QUOTED PROJECTS-Earlier Yr'!$K$2:$K$2598,"450",'QUOTED PROJECTS-Earlier Yr'!$H$2:$H$2598,"MTU",'QUOTED PROJECTS-Earlier Yr'!$R$2:$R$2598,"APR")+SUMIFS('QUOTED PROJECTS-Current Year'!$O$2:$O$2525,'QUOTED PROJECTS-Current Year'!$Q$2:$Q$2525,"WON",'QUOTED PROJECTS-Current Year'!$K$2:$K$2525,"450",'QUOTED PROJECTS-Current Year'!$H$2:$H$2525,"MTU",'QUOTED PROJECTS-Current Year'!$R$2:$R$2525,"APR")</f>
        <v>0</v>
      </c>
      <c r="D14" s="109"/>
      <c r="E14" s="141">
        <f>SUMIFS('QUOTED PROJECTS-Earlier Yr'!$O$2:$O$2598,'QUOTED PROJECTS-Earlier Yr'!$Q$2:$Q$2598,"WON",'QUOTED PROJECTS-Earlier Yr'!$K$2:$K$2598,"450",'QUOTED PROJECTS-Earlier Yr'!$H$2:$H$2598,"MTU",'QUOTED PROJECTS-Earlier Yr'!$R$2:$R$2598,"MAY")+SUMIFS('QUOTED PROJECTS-Current Year'!$O$2:$O$2525,'QUOTED PROJECTS-Current Year'!$Q$2:$Q$2525,"WON",'QUOTED PROJECTS-Current Year'!$K$2:$K$2525,"450",'QUOTED PROJECTS-Current Year'!$H$2:$H$2525,"MTU",'QUOTED PROJECTS-Current Year'!$R$2:$R$2525,"MAY")</f>
        <v>0</v>
      </c>
      <c r="F14" s="55"/>
      <c r="G14" s="141">
        <f>SUMIFS('QUOTED PROJECTS-Earlier Yr'!$O$2:$O$2598,'QUOTED PROJECTS-Earlier Yr'!$Q$2:$Q$2598,"WON",'QUOTED PROJECTS-Earlier Yr'!$K$2:$K$2598,"450",'QUOTED PROJECTS-Earlier Yr'!$H$2:$H$2598,"MTU",'QUOTED PROJECTS-Earlier Yr'!$R$2:$R$2598,"JUN")+SUMIFS('QUOTED PROJECTS-Current Year'!$O$2:$O$2525,'QUOTED PROJECTS-Current Year'!$Q$2:$Q$2525,"WON",'QUOTED PROJECTS-Current Year'!$K$2:$K$2525,"450",'QUOTED PROJECTS-Current Year'!$H$2:$H$2525,"MTU",'QUOTED PROJECTS-Current Year'!$R$2:$R$2525,"JUN")</f>
        <v>0</v>
      </c>
      <c r="H14" s="109"/>
      <c r="I14" s="141">
        <f>SUMIFS('QUOTED PROJECTS-Earlier Yr'!$O$2:$O$2598,'QUOTED PROJECTS-Earlier Yr'!$Q$2:$Q$2598,"WON",'QUOTED PROJECTS-Earlier Yr'!$K$2:$K$2598,"450",'QUOTED PROJECTS-Earlier Yr'!$H$2:$H$2598,"MTU",'QUOTED PROJECTS-Earlier Yr'!$R$2:$R$2598,"JUL")+SUMIFS('QUOTED PROJECTS-Current Year'!$O$2:$O$2525,'QUOTED PROJECTS-Current Year'!$Q$2:$Q$2525,"WON",'QUOTED PROJECTS-Current Year'!$K$2:$K$2525,"450",'QUOTED PROJECTS-Current Year'!$H$2:$H$2525,"MTU",'QUOTED PROJECTS-Current Year'!$R$2:$R$2525,"JUL")</f>
        <v>0</v>
      </c>
      <c r="J14" s="55"/>
      <c r="K14" s="141">
        <f>SUMIFS('QUOTED PROJECTS-Earlier Yr'!$O$2:$O$2598,'QUOTED PROJECTS-Earlier Yr'!$Q$2:$Q$2598,"WON",'QUOTED PROJECTS-Earlier Yr'!$K$2:$K$2598,"450",'QUOTED PROJECTS-Earlier Yr'!$H$2:$H$2598,"MTU",'QUOTED PROJECTS-Earlier Yr'!$R$2:$R$2598,"AUG")+SUMIFS('QUOTED PROJECTS-Current Year'!$O$2:$O$2525,'QUOTED PROJECTS-Current Year'!$Q$2:$Q$2525,"WON",'QUOTED PROJECTS-Current Year'!$K$2:$K$2525,"450",'QUOTED PROJECTS-Current Year'!$H$2:$H$2525,"MTU",'QUOTED PROJECTS-Current Year'!$R$2:$R$2525,"AUG")</f>
        <v>0</v>
      </c>
      <c r="L14" s="55"/>
      <c r="M14" s="141">
        <f>SUMIFS('QUOTED PROJECTS-Earlier Yr'!$O$2:$O$2598,'QUOTED PROJECTS-Earlier Yr'!$Q$2:$Q$2598,"WON",'QUOTED PROJECTS-Earlier Yr'!$K$2:$K$2598,"450",'QUOTED PROJECTS-Earlier Yr'!$H$2:$H$2598,"MTU",'QUOTED PROJECTS-Earlier Yr'!$R$2:$R$2598,"SEPT")+SUMIFS('QUOTED PROJECTS-Current Year'!$O$2:$O$2525,'QUOTED PROJECTS-Current Year'!$Q$2:$Q$2525,"WON",'QUOTED PROJECTS-Current Year'!$K$2:$K$2525,"450",'QUOTED PROJECTS-Current Year'!$H$2:$H$2525,"MTU",'QUOTED PROJECTS-Current Year'!$R$2:$R$2525,"SEPT")</f>
        <v>0</v>
      </c>
      <c r="N14" s="109"/>
      <c r="O14" s="141">
        <f>SUMIFS('QUOTED PROJECTS-Earlier Yr'!$O$2:$O$2598,'QUOTED PROJECTS-Earlier Yr'!$Q$2:$Q$2598,"WON",'QUOTED PROJECTS-Earlier Yr'!$K$2:$K$2598,"450",'QUOTED PROJECTS-Earlier Yr'!$H$2:$H$2598,"MTU",'QUOTED PROJECTS-Earlier Yr'!$R$2:$R$2598,"OCT")+SUMIFS('QUOTED PROJECTS-Current Year'!$O$2:$O$2525,'QUOTED PROJECTS-Current Year'!$Q$2:$Q$2525,"WON",'QUOTED PROJECTS-Current Year'!$K$2:$K$2525,"450",'QUOTED PROJECTS-Current Year'!$H$2:$H$2525,"MTU",'QUOTED PROJECTS-Current Year'!$R$2:$R$2525,"OCT")</f>
        <v>0</v>
      </c>
      <c r="P14" s="55"/>
      <c r="Q14" s="141">
        <f>SUMIFS('QUOTED PROJECTS-Earlier Yr'!$O$2:$O$2598,'QUOTED PROJECTS-Earlier Yr'!$Q$2:$Q$2598,"WON",'QUOTED PROJECTS-Earlier Yr'!$K$2:$K$2598,"450",'QUOTED PROJECTS-Earlier Yr'!$H$2:$H$2598,"MTU",'QUOTED PROJECTS-Earlier Yr'!$R$2:$R$2598,"NOV")+SUMIFS('QUOTED PROJECTS-Current Year'!$O$2:$O$2525,'QUOTED PROJECTS-Current Year'!$Q$2:$Q$2525,"WON",'QUOTED PROJECTS-Current Year'!$K$2:$K$2525,"450",'QUOTED PROJECTS-Current Year'!$H$2:$H$2525,"MTU",'QUOTED PROJECTS-Current Year'!$R$2:$R$2525,"NOV")</f>
        <v>0</v>
      </c>
      <c r="R14" s="55"/>
      <c r="S14" s="141">
        <f>SUMIFS('QUOTED PROJECTS-Earlier Yr'!$O$2:$O$2598,'QUOTED PROJECTS-Earlier Yr'!$Q$2:$Q$2598,"WON",'QUOTED PROJECTS-Earlier Yr'!$K$2:$K$2598,"450",'QUOTED PROJECTS-Earlier Yr'!$H$2:$H$2598,"MTU",'QUOTED PROJECTS-Earlier Yr'!$R$2:$R$2598,"DEC")+SUMIFS('QUOTED PROJECTS-Current Year'!$O$2:$O$2525,'QUOTED PROJECTS-Current Year'!$Q$2:$Q$2525,"WON",'QUOTED PROJECTS-Current Year'!$K$2:$K$2525,"450",'QUOTED PROJECTS-Current Year'!$H$2:$H$2525,"MTU",'QUOTED PROJECTS-Current Year'!$R$2:$R$2525,"DEC")</f>
        <v>0</v>
      </c>
      <c r="T14" s="109"/>
      <c r="U14" s="141">
        <f>SUMIFS('QUOTED PROJECTS-Earlier Yr'!$O$2:$O$2598,'QUOTED PROJECTS-Earlier Yr'!$Q$2:$Q$2598,"WON",'QUOTED PROJECTS-Earlier Yr'!$K$2:$K$2598,"450",'QUOTED PROJECTS-Earlier Yr'!$H$2:$H$2598,"MTU",'QUOTED PROJECTS-Earlier Yr'!$R$2:$R$2598,"JAN")+SUMIFS('QUOTED PROJECTS-Current Year'!$O$2:$O$2525,'QUOTED PROJECTS-Current Year'!$Q$2:$Q$2525,"WON",'QUOTED PROJECTS-Current Year'!$K$2:$K$2525,"450",'QUOTED PROJECTS-Current Year'!$H$2:$H$2525,"MTU",'QUOTED PROJECTS-Current Year'!$R$2:$R$2525,"JAN")</f>
        <v>0</v>
      </c>
      <c r="V14" s="55"/>
      <c r="W14" s="141">
        <f>SUMIFS('QUOTED PROJECTS-Earlier Yr'!$O$2:$O$2598,'QUOTED PROJECTS-Earlier Yr'!$Q$2:$Q$2598,"WON",'QUOTED PROJECTS-Earlier Yr'!$K$2:$K$2598,"450",'QUOTED PROJECTS-Earlier Yr'!$H$2:$H$2598,"MTU",'QUOTED PROJECTS-Earlier Yr'!$R$2:$R$2598,"FEB")+SUMIFS('QUOTED PROJECTS-Current Year'!$O$2:$O$2525,'QUOTED PROJECTS-Current Year'!$Q$2:$Q$2525,"WON",'QUOTED PROJECTS-Current Year'!$K$2:$K$2525,"450",'QUOTED PROJECTS-Current Year'!$H$2:$H$2525,"MTU",'QUOTED PROJECTS-Current Year'!$R$2:$R$2525,"FEB")</f>
        <v>0</v>
      </c>
      <c r="X14" s="55"/>
      <c r="Y14" s="141">
        <f>SUMIFS('QUOTED PROJECTS-Earlier Yr'!$O$2:$O$2598,'QUOTED PROJECTS-Earlier Yr'!$Q$2:$Q$2598,"WON",'QUOTED PROJECTS-Earlier Yr'!$K$2:$K$2598,"450",'QUOTED PROJECTS-Earlier Yr'!$H$2:$H$2598,"MTU",'QUOTED PROJECTS-Earlier Yr'!$R$2:$R$2598,"MAR")+SUMIFS('QUOTED PROJECTS-Current Year'!$O$2:$O$2525,'QUOTED PROJECTS-Current Year'!$Q$2:$Q$2525,"WON",'QUOTED PROJECTS-Current Year'!$K$2:$K$2525,"450",'QUOTED PROJECTS-Current Year'!$H$2:$H$2525,"MTU",'QUOTED PROJECTS-Current Year'!$R$2:$R$2525,"MAR")</f>
        <v>0</v>
      </c>
      <c r="Z14" s="57">
        <f t="shared" si="0"/>
        <v>0</v>
      </c>
      <c r="AA14" s="37">
        <f t="shared" si="0"/>
        <v>0</v>
      </c>
    </row>
    <row r="15" spans="1:30">
      <c r="A15" s="19">
        <v>500</v>
      </c>
      <c r="B15" s="55"/>
      <c r="C15" s="141">
        <f>SUMIFS('QUOTED PROJECTS-Earlier Yr'!$O$2:$O$2598,'QUOTED PROJECTS-Earlier Yr'!$Q$2:$Q$2598,"WON",'QUOTED PROJECTS-Earlier Yr'!$K$2:$K$2598,"500",'QUOTED PROJECTS-Earlier Yr'!$H$2:$H$2598,"MTU",'QUOTED PROJECTS-Earlier Yr'!$R$2:$R$2598,"APR")+SUMIFS('QUOTED PROJECTS-Current Year'!$O$2:$O$2525,'QUOTED PROJECTS-Current Year'!$Q$2:$Q$2525,"WON",'QUOTED PROJECTS-Current Year'!$K$2:$K$2525,"500",'QUOTED PROJECTS-Current Year'!$H$2:$H$2525,"MTU",'QUOTED PROJECTS-Current Year'!$R$2:$R$2525,"APR")</f>
        <v>0</v>
      </c>
      <c r="D15" s="55"/>
      <c r="E15" s="141">
        <f>SUMIFS('QUOTED PROJECTS-Earlier Yr'!$O$2:$O$2598,'QUOTED PROJECTS-Earlier Yr'!$Q$2:$Q$2598,"WON",'QUOTED PROJECTS-Earlier Yr'!$K$2:$K$2598,"500",'QUOTED PROJECTS-Earlier Yr'!$H$2:$H$2598,"MTU",'QUOTED PROJECTS-Earlier Yr'!$R$2:$R$2598,"MAY")+SUMIFS('QUOTED PROJECTS-Current Year'!$O$2:$O$2525,'QUOTED PROJECTS-Current Year'!$Q$2:$Q$2525,"WON",'QUOTED PROJECTS-Current Year'!$K$2:$K$2525,"500",'QUOTED PROJECTS-Current Year'!$H$2:$H$2525,"MTU",'QUOTED PROJECTS-Current Year'!$R$2:$R$2525,"MAY")</f>
        <v>0</v>
      </c>
      <c r="F15" s="55"/>
      <c r="G15" s="141">
        <f>SUMIFS('QUOTED PROJECTS-Earlier Yr'!$O$2:$O$2598,'QUOTED PROJECTS-Earlier Yr'!$Q$2:$Q$2598,"WON",'QUOTED PROJECTS-Earlier Yr'!$K$2:$K$2598,"500",'QUOTED PROJECTS-Earlier Yr'!$H$2:$H$2598,"MTU",'QUOTED PROJECTS-Earlier Yr'!$R$2:$R$2598,"JUN")+SUMIFS('QUOTED PROJECTS-Current Year'!$O$2:$O$2525,'QUOTED PROJECTS-Current Year'!$Q$2:$Q$2525,"WON",'QUOTED PROJECTS-Current Year'!$K$2:$K$2525,"500",'QUOTED PROJECTS-Current Year'!$H$2:$H$2525,"MTU",'QUOTED PROJECTS-Current Year'!$R$2:$R$2525,"JUN")</f>
        <v>0</v>
      </c>
      <c r="H15" s="55"/>
      <c r="I15" s="141">
        <f>SUMIFS('QUOTED PROJECTS-Earlier Yr'!$O$2:$O$2598,'QUOTED PROJECTS-Earlier Yr'!$Q$2:$Q$2598,"WON",'QUOTED PROJECTS-Earlier Yr'!$K$2:$K$2598,"500",'QUOTED PROJECTS-Earlier Yr'!$H$2:$H$2598,"MTU",'QUOTED PROJECTS-Earlier Yr'!$R$2:$R$2598,"JUL")+SUMIFS('QUOTED PROJECTS-Current Year'!$O$2:$O$2525,'QUOTED PROJECTS-Current Year'!$Q$2:$Q$2525,"WON",'QUOTED PROJECTS-Current Year'!$K$2:$K$2525,"500",'QUOTED PROJECTS-Current Year'!$H$2:$H$2525,"MTU",'QUOTED PROJECTS-Current Year'!$R$2:$R$2525,"JUL")</f>
        <v>0</v>
      </c>
      <c r="J15" s="55"/>
      <c r="K15" s="141">
        <f>SUMIFS('QUOTED PROJECTS-Earlier Yr'!$O$2:$O$2598,'QUOTED PROJECTS-Earlier Yr'!$Q$2:$Q$2598,"WON",'QUOTED PROJECTS-Earlier Yr'!$K$2:$K$2598,"500",'QUOTED PROJECTS-Earlier Yr'!$H$2:$H$2598,"MTU",'QUOTED PROJECTS-Earlier Yr'!$R$2:$R$2598,"AUG")+SUMIFS('QUOTED PROJECTS-Current Year'!$O$2:$O$2525,'QUOTED PROJECTS-Current Year'!$Q$2:$Q$2525,"WON",'QUOTED PROJECTS-Current Year'!$K$2:$K$2525,"500",'QUOTED PROJECTS-Current Year'!$H$2:$H$2525,"MTU",'QUOTED PROJECTS-Current Year'!$R$2:$R$2525,"AUG")</f>
        <v>0</v>
      </c>
      <c r="L15" s="55"/>
      <c r="M15" s="141">
        <f>SUMIFS('QUOTED PROJECTS-Earlier Yr'!$O$2:$O$2598,'QUOTED PROJECTS-Earlier Yr'!$Q$2:$Q$2598,"WON",'QUOTED PROJECTS-Earlier Yr'!$K$2:$K$2598,"500",'QUOTED PROJECTS-Earlier Yr'!$H$2:$H$2598,"MTU",'QUOTED PROJECTS-Earlier Yr'!$R$2:$R$2598,"SEPT")+SUMIFS('QUOTED PROJECTS-Current Year'!$O$2:$O$2525,'QUOTED PROJECTS-Current Year'!$Q$2:$Q$2525,"WON",'QUOTED PROJECTS-Current Year'!$K$2:$K$2525,"500",'QUOTED PROJECTS-Current Year'!$H$2:$H$2525,"MTU",'QUOTED PROJECTS-Current Year'!$R$2:$R$2525,"SEPT")</f>
        <v>0</v>
      </c>
      <c r="N15" s="55"/>
      <c r="O15" s="141">
        <f>SUMIFS('QUOTED PROJECTS-Earlier Yr'!$O$2:$O$2598,'QUOTED PROJECTS-Earlier Yr'!$Q$2:$Q$2598,"WON",'QUOTED PROJECTS-Earlier Yr'!$K$2:$K$2598,"500",'QUOTED PROJECTS-Earlier Yr'!$H$2:$H$2598,"MTU",'QUOTED PROJECTS-Earlier Yr'!$R$2:$R$2598,"OCT")+SUMIFS('QUOTED PROJECTS-Current Year'!$O$2:$O$2525,'QUOTED PROJECTS-Current Year'!$Q$2:$Q$2525,"WON",'QUOTED PROJECTS-Current Year'!$K$2:$K$2525,"500",'QUOTED PROJECTS-Current Year'!$H$2:$H$2525,"MTU",'QUOTED PROJECTS-Current Year'!$R$2:$R$2525,"OCT")</f>
        <v>0</v>
      </c>
      <c r="P15" s="55"/>
      <c r="Q15" s="141">
        <f>SUMIFS('QUOTED PROJECTS-Earlier Yr'!$O$2:$O$2598,'QUOTED PROJECTS-Earlier Yr'!$Q$2:$Q$2598,"WON",'QUOTED PROJECTS-Earlier Yr'!$K$2:$K$2598,"500",'QUOTED PROJECTS-Earlier Yr'!$H$2:$H$2598,"MTU",'QUOTED PROJECTS-Earlier Yr'!$R$2:$R$2598,"NOV")+SUMIFS('QUOTED PROJECTS-Current Year'!$O$2:$O$2525,'QUOTED PROJECTS-Current Year'!$Q$2:$Q$2525,"WON",'QUOTED PROJECTS-Current Year'!$K$2:$K$2525,"500",'QUOTED PROJECTS-Current Year'!$H$2:$H$2525,"MTU",'QUOTED PROJECTS-Current Year'!$R$2:$R$2525,"NOV")</f>
        <v>0</v>
      </c>
      <c r="R15" s="55"/>
      <c r="S15" s="141">
        <f>SUMIFS('QUOTED PROJECTS-Earlier Yr'!$O$2:$O$2598,'QUOTED PROJECTS-Earlier Yr'!$Q$2:$Q$2598,"WON",'QUOTED PROJECTS-Earlier Yr'!$K$2:$K$2598,"500",'QUOTED PROJECTS-Earlier Yr'!$H$2:$H$2598,"MTU",'QUOTED PROJECTS-Earlier Yr'!$R$2:$R$2598,"DEC")+SUMIFS('QUOTED PROJECTS-Current Year'!$O$2:$O$2525,'QUOTED PROJECTS-Current Year'!$Q$2:$Q$2525,"WON",'QUOTED PROJECTS-Current Year'!$K$2:$K$2525,"500",'QUOTED PROJECTS-Current Year'!$H$2:$H$2525,"MTU",'QUOTED PROJECTS-Current Year'!$R$2:$R$2525,"DEC")</f>
        <v>0</v>
      </c>
      <c r="T15" s="55"/>
      <c r="U15" s="141">
        <f>SUMIFS('QUOTED PROJECTS-Earlier Yr'!$O$2:$O$2598,'QUOTED PROJECTS-Earlier Yr'!$Q$2:$Q$2598,"WON",'QUOTED PROJECTS-Earlier Yr'!$K$2:$K$2598,"500",'QUOTED PROJECTS-Earlier Yr'!$H$2:$H$2598,"MTU",'QUOTED PROJECTS-Earlier Yr'!$R$2:$R$2598,"JAN")+SUMIFS('QUOTED PROJECTS-Current Year'!$O$2:$O$2525,'QUOTED PROJECTS-Current Year'!$Q$2:$Q$2525,"WON",'QUOTED PROJECTS-Current Year'!$K$2:$K$2525,"500",'QUOTED PROJECTS-Current Year'!$H$2:$H$2525,"MTU",'QUOTED PROJECTS-Current Year'!$R$2:$R$2525,"JAN")</f>
        <v>0</v>
      </c>
      <c r="V15" s="55"/>
      <c r="W15" s="141">
        <f>SUMIFS('QUOTED PROJECTS-Earlier Yr'!$O$2:$O$2598,'QUOTED PROJECTS-Earlier Yr'!$Q$2:$Q$2598,"WON",'QUOTED PROJECTS-Earlier Yr'!$K$2:$K$2598,"500",'QUOTED PROJECTS-Earlier Yr'!$H$2:$H$2598,"MTU",'QUOTED PROJECTS-Earlier Yr'!$R$2:$R$2598,"FEB")+SUMIFS('QUOTED PROJECTS-Current Year'!$O$2:$O$2525,'QUOTED PROJECTS-Current Year'!$Q$2:$Q$2525,"WON",'QUOTED PROJECTS-Current Year'!$K$2:$K$2525,"500",'QUOTED PROJECTS-Current Year'!$H$2:$H$2525,"MTU",'QUOTED PROJECTS-Current Year'!$R$2:$R$2525,"FEB")</f>
        <v>0</v>
      </c>
      <c r="X15" s="55"/>
      <c r="Y15" s="141">
        <f>SUMIFS('QUOTED PROJECTS-Earlier Yr'!$O$2:$O$2598,'QUOTED PROJECTS-Earlier Yr'!$Q$2:$Q$2598,"WON",'QUOTED PROJECTS-Earlier Yr'!$K$2:$K$2598,"500",'QUOTED PROJECTS-Earlier Yr'!$H$2:$H$2598,"MTU",'QUOTED PROJECTS-Earlier Yr'!$R$2:$R$2598,"MAR")+SUMIFS('QUOTED PROJECTS-Current Year'!$O$2:$O$2525,'QUOTED PROJECTS-Current Year'!$Q$2:$Q$2525,"WON",'QUOTED PROJECTS-Current Year'!$K$2:$K$2525,"500",'QUOTED PROJECTS-Current Year'!$H$2:$H$2525,"MTU",'QUOTED PROJECTS-Current Year'!$R$2:$R$2525,"MAR")</f>
        <v>0</v>
      </c>
      <c r="Z15" s="57">
        <f>B15+D15+F15+H15+J15+L15+N15+P15+R15+T15+V15+X15</f>
        <v>0</v>
      </c>
      <c r="AA15" s="37">
        <f>C15+E15+G15+I15+K15+M15+O15+Q15+S15+U15+W15+Y15</f>
        <v>0</v>
      </c>
    </row>
    <row r="16" spans="1:30">
      <c r="A16" s="19">
        <v>590</v>
      </c>
      <c r="B16" s="109"/>
      <c r="C16" s="141">
        <f>SUMIFS('QUOTED PROJECTS-Earlier Yr'!$O$2:$O$2598,'QUOTED PROJECTS-Earlier Yr'!$Q$2:$Q$2598,"WON",'QUOTED PROJECTS-Earlier Yr'!$K$2:$K$2598,"590",'QUOTED PROJECTS-Earlier Yr'!$H$2:$H$2598,"MTU",'QUOTED PROJECTS-Earlier Yr'!$R$2:$R$2598,"APR")+SUMIFS('QUOTED PROJECTS-Current Year'!$O$2:$O$2525,'QUOTED PROJECTS-Current Year'!$Q$2:$Q$2525,"WON",'QUOTED PROJECTS-Current Year'!$K$2:$K$2525,"590",'QUOTED PROJECTS-Current Year'!$H$2:$H$2525,"MTU",'QUOTED PROJECTS-Current Year'!$R$2:$R$2525,"APR")</f>
        <v>0</v>
      </c>
      <c r="D16" s="109"/>
      <c r="E16" s="141">
        <f>SUMIFS('QUOTED PROJECTS-Earlier Yr'!$O$2:$O$2598,'QUOTED PROJECTS-Earlier Yr'!$Q$2:$Q$2598,"WON",'QUOTED PROJECTS-Earlier Yr'!$K$2:$K$2598,"590",'QUOTED PROJECTS-Earlier Yr'!$H$2:$H$2598,"MTU",'QUOTED PROJECTS-Earlier Yr'!$R$2:$R$2598,"MAY")+SUMIFS('QUOTED PROJECTS-Current Year'!$O$2:$O$2525,'QUOTED PROJECTS-Current Year'!$Q$2:$Q$2525,"WON",'QUOTED PROJECTS-Current Year'!$K$2:$K$2525,"590",'QUOTED PROJECTS-Current Year'!$H$2:$H$2525,"MTU",'QUOTED PROJECTS-Current Year'!$R$2:$R$2525,"MAY")</f>
        <v>0</v>
      </c>
      <c r="F16" s="55"/>
      <c r="G16" s="141">
        <f>SUMIFS('QUOTED PROJECTS-Earlier Yr'!$O$2:$O$2598,'QUOTED PROJECTS-Earlier Yr'!$Q$2:$Q$2598,"WON",'QUOTED PROJECTS-Earlier Yr'!$K$2:$K$2598,"590",'QUOTED PROJECTS-Earlier Yr'!$H$2:$H$2598,"MTU",'QUOTED PROJECTS-Earlier Yr'!$R$2:$R$2598,"JUN")+SUMIFS('QUOTED PROJECTS-Current Year'!$O$2:$O$2525,'QUOTED PROJECTS-Current Year'!$Q$2:$Q$2525,"WON",'QUOTED PROJECTS-Current Year'!$K$2:$K$2525,"590",'QUOTED PROJECTS-Current Year'!$H$2:$H$2525,"MTU",'QUOTED PROJECTS-Current Year'!$R$2:$R$2525,"JUN")</f>
        <v>0</v>
      </c>
      <c r="H16" s="109"/>
      <c r="I16" s="141">
        <f>SUMIFS('QUOTED PROJECTS-Earlier Yr'!$O$2:$O$2598,'QUOTED PROJECTS-Earlier Yr'!$Q$2:$Q$2598,"WON",'QUOTED PROJECTS-Earlier Yr'!$K$2:$K$2598,"590",'QUOTED PROJECTS-Earlier Yr'!$H$2:$H$2598,"MTU",'QUOTED PROJECTS-Earlier Yr'!$R$2:$R$2598,"JUL")+SUMIFS('QUOTED PROJECTS-Current Year'!$O$2:$O$2525,'QUOTED PROJECTS-Current Year'!$Q$2:$Q$2525,"WON",'QUOTED PROJECTS-Current Year'!$K$2:$K$2525,"590",'QUOTED PROJECTS-Current Year'!$H$2:$H$2525,"MTU",'QUOTED PROJECTS-Current Year'!$R$2:$R$2525,"JUL")</f>
        <v>0</v>
      </c>
      <c r="J16" s="55"/>
      <c r="K16" s="141">
        <f>SUMIFS('QUOTED PROJECTS-Earlier Yr'!$O$2:$O$2598,'QUOTED PROJECTS-Earlier Yr'!$Q$2:$Q$2598,"WON",'QUOTED PROJECTS-Earlier Yr'!$K$2:$K$2598,"590",'QUOTED PROJECTS-Earlier Yr'!$H$2:$H$2598,"MTU",'QUOTED PROJECTS-Earlier Yr'!$R$2:$R$2598,"AUG")+SUMIFS('QUOTED PROJECTS-Current Year'!$O$2:$O$2525,'QUOTED PROJECTS-Current Year'!$Q$2:$Q$2525,"WON",'QUOTED PROJECTS-Current Year'!$K$2:$K$2525,"590",'QUOTED PROJECTS-Current Year'!$H$2:$H$2525,"MTU",'QUOTED PROJECTS-Current Year'!$R$2:$R$2525,"AUG")</f>
        <v>0</v>
      </c>
      <c r="L16" s="55"/>
      <c r="M16" s="141">
        <f>SUMIFS('QUOTED PROJECTS-Earlier Yr'!$O$2:$O$2598,'QUOTED PROJECTS-Earlier Yr'!$Q$2:$Q$2598,"WON",'QUOTED PROJECTS-Earlier Yr'!$K$2:$K$2598,"590",'QUOTED PROJECTS-Earlier Yr'!$H$2:$H$2598,"MTU",'QUOTED PROJECTS-Earlier Yr'!$R$2:$R$2598,"SEPT")+SUMIFS('QUOTED PROJECTS-Current Year'!$O$2:$O$2525,'QUOTED PROJECTS-Current Year'!$Q$2:$Q$2525,"WON",'QUOTED PROJECTS-Current Year'!$K$2:$K$2525,"590",'QUOTED PROJECTS-Current Year'!$H$2:$H$2525,"MTU",'QUOTED PROJECTS-Current Year'!$R$2:$R$2525,"SEPT")</f>
        <v>0</v>
      </c>
      <c r="N16" s="109"/>
      <c r="O16" s="141">
        <f>SUMIFS('QUOTED PROJECTS-Earlier Yr'!$O$2:$O$2598,'QUOTED PROJECTS-Earlier Yr'!$Q$2:$Q$2598,"WON",'QUOTED PROJECTS-Earlier Yr'!$K$2:$K$2598,"590",'QUOTED PROJECTS-Earlier Yr'!$H$2:$H$2598,"MTU",'QUOTED PROJECTS-Earlier Yr'!$R$2:$R$2598,"OCT")+SUMIFS('QUOTED PROJECTS-Current Year'!$O$2:$O$2525,'QUOTED PROJECTS-Current Year'!$Q$2:$Q$2525,"WON",'QUOTED PROJECTS-Current Year'!$K$2:$K$2525,"590",'QUOTED PROJECTS-Current Year'!$H$2:$H$2525,"MTU",'QUOTED PROJECTS-Current Year'!$R$2:$R$2525,"OCT")</f>
        <v>0</v>
      </c>
      <c r="P16" s="55"/>
      <c r="Q16" s="141">
        <f>SUMIFS('QUOTED PROJECTS-Earlier Yr'!$O$2:$O$2598,'QUOTED PROJECTS-Earlier Yr'!$Q$2:$Q$2598,"WON",'QUOTED PROJECTS-Earlier Yr'!$K$2:$K$2598,"590",'QUOTED PROJECTS-Earlier Yr'!$H$2:$H$2598,"MTU",'QUOTED PROJECTS-Earlier Yr'!$R$2:$R$2598,"NOV")+SUMIFS('QUOTED PROJECTS-Current Year'!$O$2:$O$2525,'QUOTED PROJECTS-Current Year'!$Q$2:$Q$2525,"WON",'QUOTED PROJECTS-Current Year'!$K$2:$K$2525,"590",'QUOTED PROJECTS-Current Year'!$H$2:$H$2525,"MTU",'QUOTED PROJECTS-Current Year'!$R$2:$R$2525,"NOV")</f>
        <v>0</v>
      </c>
      <c r="R16" s="55"/>
      <c r="S16" s="141">
        <f>SUMIFS('QUOTED PROJECTS-Earlier Yr'!$O$2:$O$2598,'QUOTED PROJECTS-Earlier Yr'!$Q$2:$Q$2598,"WON",'QUOTED PROJECTS-Earlier Yr'!$K$2:$K$2598,"590",'QUOTED PROJECTS-Earlier Yr'!$H$2:$H$2598,"MTU",'QUOTED PROJECTS-Earlier Yr'!$R$2:$R$2598,"DEC")+SUMIFS('QUOTED PROJECTS-Current Year'!$O$2:$O$2525,'QUOTED PROJECTS-Current Year'!$Q$2:$Q$2525,"WON",'QUOTED PROJECTS-Current Year'!$K$2:$K$2525,"590",'QUOTED PROJECTS-Current Year'!$H$2:$H$2525,"MTU",'QUOTED PROJECTS-Current Year'!$R$2:$R$2525,"DEC")</f>
        <v>0</v>
      </c>
      <c r="T16" s="109"/>
      <c r="U16" s="141">
        <f>SUMIFS('QUOTED PROJECTS-Earlier Yr'!$O$2:$O$2598,'QUOTED PROJECTS-Earlier Yr'!$Q$2:$Q$2598,"WON",'QUOTED PROJECTS-Earlier Yr'!$K$2:$K$2598,"590",'QUOTED PROJECTS-Earlier Yr'!$H$2:$H$2598,"MTU",'QUOTED PROJECTS-Earlier Yr'!$R$2:$R$2598,"JAN")+SUMIFS('QUOTED PROJECTS-Current Year'!$O$2:$O$2525,'QUOTED PROJECTS-Current Year'!$Q$2:$Q$2525,"WON",'QUOTED PROJECTS-Current Year'!$K$2:$K$2525,"590",'QUOTED PROJECTS-Current Year'!$H$2:$H$2525,"MTU",'QUOTED PROJECTS-Current Year'!$R$2:$R$2525,"JAN")</f>
        <v>0</v>
      </c>
      <c r="V16" s="55"/>
      <c r="W16" s="141">
        <f>SUMIFS('QUOTED PROJECTS-Earlier Yr'!$O$2:$O$2598,'QUOTED PROJECTS-Earlier Yr'!$Q$2:$Q$2598,"WON",'QUOTED PROJECTS-Earlier Yr'!$K$2:$K$2598,"590",'QUOTED PROJECTS-Earlier Yr'!$H$2:$H$2598,"MTU",'QUOTED PROJECTS-Earlier Yr'!$R$2:$R$2598,"FEB")+SUMIFS('QUOTED PROJECTS-Current Year'!$O$2:$O$2525,'QUOTED PROJECTS-Current Year'!$Q$2:$Q$2525,"WON",'QUOTED PROJECTS-Current Year'!$K$2:$K$2525,"590",'QUOTED PROJECTS-Current Year'!$H$2:$H$2525,"MTU",'QUOTED PROJECTS-Current Year'!$R$2:$R$2525,"FEB")</f>
        <v>0</v>
      </c>
      <c r="X16" s="55"/>
      <c r="Y16" s="141">
        <f>SUMIFS('QUOTED PROJECTS-Earlier Yr'!$O$2:$O$2598,'QUOTED PROJECTS-Earlier Yr'!$Q$2:$Q$2598,"WON",'QUOTED PROJECTS-Earlier Yr'!$K$2:$K$2598,"590",'QUOTED PROJECTS-Earlier Yr'!$H$2:$H$2598,"MTU",'QUOTED PROJECTS-Earlier Yr'!$R$2:$R$2598,"MAR")+SUMIFS('QUOTED PROJECTS-Current Year'!$O$2:$O$2525,'QUOTED PROJECTS-Current Year'!$Q$2:$Q$2525,"WON",'QUOTED PROJECTS-Current Year'!$K$2:$K$2525,"590",'QUOTED PROJECTS-Current Year'!$H$2:$H$2525,"MTU",'QUOTED PROJECTS-Current Year'!$R$2:$R$2525,"MAR")</f>
        <v>0</v>
      </c>
      <c r="Z16" s="57">
        <f t="shared" si="0"/>
        <v>0</v>
      </c>
      <c r="AA16" s="37">
        <f t="shared" si="0"/>
        <v>0</v>
      </c>
    </row>
    <row r="17" spans="1:27" ht="13.5" thickBot="1">
      <c r="A17" s="19">
        <v>650</v>
      </c>
      <c r="B17" s="193"/>
      <c r="C17" s="253">
        <f>SUMIFS('QUOTED PROJECTS-Earlier Yr'!$O$2:$O$2598,'QUOTED PROJECTS-Earlier Yr'!$Q$2:$Q$2598,"WON",'QUOTED PROJECTS-Earlier Yr'!$K$2:$K$2598,"650",'QUOTED PROJECTS-Earlier Yr'!$H$2:$H$2598,"MTU",'QUOTED PROJECTS-Earlier Yr'!$R$2:$R$2598,"APR")+SUMIFS('QUOTED PROJECTS-Current Year'!$O$2:$O$2525,'QUOTED PROJECTS-Current Year'!$Q$2:$Q$2525,"WON",'QUOTED PROJECTS-Current Year'!$K$2:$K$2525,"650",'QUOTED PROJECTS-Current Year'!$H$2:$H$2525,"MTU",'QUOTED PROJECTS-Current Year'!$R$2:$R$2525,"APR")</f>
        <v>0</v>
      </c>
      <c r="D17" s="194"/>
      <c r="E17" s="141">
        <f>SUMIFS('QUOTED PROJECTS-Earlier Yr'!$O$2:$O$2598,'QUOTED PROJECTS-Earlier Yr'!$Q$2:$Q$2598,"WON",'QUOTED PROJECTS-Earlier Yr'!$K$2:$K$2598,"650",'QUOTED PROJECTS-Earlier Yr'!$H$2:$H$2598,"MTU",'QUOTED PROJECTS-Earlier Yr'!$R$2:$R$2598,"MAY")+SUMIFS('QUOTED PROJECTS-Current Year'!$O$2:$O$2525,'QUOTED PROJECTS-Current Year'!$Q$2:$Q$2525,"WON",'QUOTED PROJECTS-Current Year'!$K$2:$K$2525,"650",'QUOTED PROJECTS-Current Year'!$H$2:$H$2525,"MTU",'QUOTED PROJECTS-Current Year'!$R$2:$R$2525,"MAY")</f>
        <v>0</v>
      </c>
      <c r="F17" s="55"/>
      <c r="G17" s="141">
        <f>SUMIFS('QUOTED PROJECTS-Earlier Yr'!$O$2:$O$2598,'QUOTED PROJECTS-Earlier Yr'!$Q$2:$Q$2598,"WON",'QUOTED PROJECTS-Earlier Yr'!$K$2:$K$2598,"650",'QUOTED PROJECTS-Earlier Yr'!$H$2:$H$2598,"MTU",'QUOTED PROJECTS-Earlier Yr'!$R$2:$R$2598,"JUN")+SUMIFS('QUOTED PROJECTS-Current Year'!$O$2:$O$2525,'QUOTED PROJECTS-Current Year'!$Q$2:$Q$2525,"WON",'QUOTED PROJECTS-Current Year'!$K$2:$K$2525,"650",'QUOTED PROJECTS-Current Year'!$H$2:$H$2525,"MTU",'QUOTED PROJECTS-Current Year'!$R$2:$R$2525,"JUN")</f>
        <v>0</v>
      </c>
      <c r="H17" s="194"/>
      <c r="I17" s="141">
        <f>SUMIFS('QUOTED PROJECTS-Earlier Yr'!$O$2:$O$2598,'QUOTED PROJECTS-Earlier Yr'!$Q$2:$Q$2598,"WON",'QUOTED PROJECTS-Earlier Yr'!$K$2:$K$2598,"650",'QUOTED PROJECTS-Earlier Yr'!$H$2:$H$2598,"MTU",'QUOTED PROJECTS-Earlier Yr'!$R$2:$R$2598,"JUL")+SUMIFS('QUOTED PROJECTS-Current Year'!$O$2:$O$2525,'QUOTED PROJECTS-Current Year'!$Q$2:$Q$2525,"WON",'QUOTED PROJECTS-Current Year'!$K$2:$K$2525,"650",'QUOTED PROJECTS-Current Year'!$H$2:$H$2525,"MTU",'QUOTED PROJECTS-Current Year'!$R$2:$R$2525,"JUL")</f>
        <v>0</v>
      </c>
      <c r="J17" s="55"/>
      <c r="K17" s="141">
        <f>SUMIFS('QUOTED PROJECTS-Earlier Yr'!$O$2:$O$2598,'QUOTED PROJECTS-Earlier Yr'!$Q$2:$Q$2598,"WON",'QUOTED PROJECTS-Earlier Yr'!$K$2:$K$2598,"650",'QUOTED PROJECTS-Earlier Yr'!$H$2:$H$2598,"MTU",'QUOTED PROJECTS-Earlier Yr'!$R$2:$R$2598,"AUG")+SUMIFS('QUOTED PROJECTS-Current Year'!$O$2:$O$2525,'QUOTED PROJECTS-Current Year'!$Q$2:$Q$2525,"WON",'QUOTED PROJECTS-Current Year'!$K$2:$K$2525,"650",'QUOTED PROJECTS-Current Year'!$H$2:$H$2525,"MTU",'QUOTED PROJECTS-Current Year'!$R$2:$R$2525,"AUG")</f>
        <v>0</v>
      </c>
      <c r="L17" s="55"/>
      <c r="M17" s="141">
        <f>SUMIFS('QUOTED PROJECTS-Earlier Yr'!$O$2:$O$2598,'QUOTED PROJECTS-Earlier Yr'!$Q$2:$Q$2598,"WON",'QUOTED PROJECTS-Earlier Yr'!$K$2:$K$2598,"650",'QUOTED PROJECTS-Earlier Yr'!$H$2:$H$2598,"MTU",'QUOTED PROJECTS-Earlier Yr'!$R$2:$R$2598,"SEPT")+SUMIFS('QUOTED PROJECTS-Current Year'!$O$2:$O$2525,'QUOTED PROJECTS-Current Year'!$Q$2:$Q$2525,"WON",'QUOTED PROJECTS-Current Year'!$K$2:$K$2525,"650",'QUOTED PROJECTS-Current Year'!$H$2:$H$2525,"MTU",'QUOTED PROJECTS-Current Year'!$R$2:$R$2525,"SEPT")</f>
        <v>0</v>
      </c>
      <c r="N17" s="194"/>
      <c r="O17" s="141">
        <f>SUMIFS('QUOTED PROJECTS-Earlier Yr'!$O$2:$O$2598,'QUOTED PROJECTS-Earlier Yr'!$Q$2:$Q$2598,"WON",'QUOTED PROJECTS-Earlier Yr'!$K$2:$K$2598,"650",'QUOTED PROJECTS-Earlier Yr'!$H$2:$H$2598,"MTU",'QUOTED PROJECTS-Earlier Yr'!$R$2:$R$2598,"OCT")+SUMIFS('QUOTED PROJECTS-Current Year'!$O$2:$O$2525,'QUOTED PROJECTS-Current Year'!$Q$2:$Q$2525,"WON",'QUOTED PROJECTS-Current Year'!$K$2:$K$2525,"650",'QUOTED PROJECTS-Current Year'!$H$2:$H$2525,"MTU",'QUOTED PROJECTS-Current Year'!$R$2:$R$2525,"OCT")</f>
        <v>0</v>
      </c>
      <c r="P17" s="55"/>
      <c r="Q17" s="141">
        <f>SUMIFS('QUOTED PROJECTS-Earlier Yr'!$O$2:$O$2598,'QUOTED PROJECTS-Earlier Yr'!$Q$2:$Q$2598,"WON",'QUOTED PROJECTS-Earlier Yr'!$K$2:$K$2598,"650",'QUOTED PROJECTS-Earlier Yr'!$H$2:$H$2598,"MTU",'QUOTED PROJECTS-Earlier Yr'!$R$2:$R$2598,"NOV")+SUMIFS('QUOTED PROJECTS-Current Year'!$O$2:$O$2525,'QUOTED PROJECTS-Current Year'!$Q$2:$Q$2525,"WON",'QUOTED PROJECTS-Current Year'!$K$2:$K$2525,"650",'QUOTED PROJECTS-Current Year'!$H$2:$H$2525,"MTU",'QUOTED PROJECTS-Current Year'!$R$2:$R$2525,"NOV")</f>
        <v>0</v>
      </c>
      <c r="R17" s="55"/>
      <c r="S17" s="141">
        <f>SUMIFS('QUOTED PROJECTS-Earlier Yr'!$O$2:$O$2598,'QUOTED PROJECTS-Earlier Yr'!$Q$2:$Q$2598,"WON",'QUOTED PROJECTS-Earlier Yr'!$K$2:$K$2598,"650",'QUOTED PROJECTS-Earlier Yr'!$H$2:$H$2598,"MTU",'QUOTED PROJECTS-Earlier Yr'!$R$2:$R$2598,"DEC")+SUMIFS('QUOTED PROJECTS-Current Year'!$O$2:$O$2525,'QUOTED PROJECTS-Current Year'!$Q$2:$Q$2525,"WON",'QUOTED PROJECTS-Current Year'!$K$2:$K$2525,"650",'QUOTED PROJECTS-Current Year'!$H$2:$H$2525,"MTU",'QUOTED PROJECTS-Current Year'!$R$2:$R$2525,"DEC")</f>
        <v>0</v>
      </c>
      <c r="T17" s="194"/>
      <c r="U17" s="141">
        <f>SUMIFS('QUOTED PROJECTS-Earlier Yr'!$O$2:$O$2598,'QUOTED PROJECTS-Earlier Yr'!$Q$2:$Q$2598,"WON",'QUOTED PROJECTS-Earlier Yr'!$K$2:$K$2598,"650",'QUOTED PROJECTS-Earlier Yr'!$H$2:$H$2598,"MTU",'QUOTED PROJECTS-Earlier Yr'!$R$2:$R$2598,"JAN")+SUMIFS('QUOTED PROJECTS-Current Year'!$O$2:$O$2525,'QUOTED PROJECTS-Current Year'!$Q$2:$Q$2525,"WON",'QUOTED PROJECTS-Current Year'!$K$2:$K$2525,"650",'QUOTED PROJECTS-Current Year'!$H$2:$H$2525,"MTU",'QUOTED PROJECTS-Current Year'!$R$2:$R$2525,"JAN")</f>
        <v>0</v>
      </c>
      <c r="V17" s="55"/>
      <c r="W17" s="141">
        <f>SUMIFS('QUOTED PROJECTS-Earlier Yr'!$O$2:$O$2598,'QUOTED PROJECTS-Earlier Yr'!$Q$2:$Q$2598,"WON",'QUOTED PROJECTS-Earlier Yr'!$K$2:$K$2598,"650",'QUOTED PROJECTS-Earlier Yr'!$H$2:$H$2598,"MTU",'QUOTED PROJECTS-Earlier Yr'!$R$2:$R$2598,"FEB")+SUMIFS('QUOTED PROJECTS-Current Year'!$O$2:$O$2525,'QUOTED PROJECTS-Current Year'!$Q$2:$Q$2525,"WON",'QUOTED PROJECTS-Current Year'!$K$2:$K$2525,"650",'QUOTED PROJECTS-Current Year'!$H$2:$H$2525,"MTU",'QUOTED PROJECTS-Current Year'!$R$2:$R$2525,"FEB")</f>
        <v>0</v>
      </c>
      <c r="X17" s="55"/>
      <c r="Y17" s="141">
        <f>SUMIFS('QUOTED PROJECTS-Earlier Yr'!$O$2:$O$2598,'QUOTED PROJECTS-Earlier Yr'!$Q$2:$Q$2598,"WON",'QUOTED PROJECTS-Earlier Yr'!$K$2:$K$2598,"650",'QUOTED PROJECTS-Earlier Yr'!$H$2:$H$2598,"MTU",'QUOTED PROJECTS-Earlier Yr'!$R$2:$R$2598,"MAR")+SUMIFS('QUOTED PROJECTS-Current Year'!$O$2:$O$2525,'QUOTED PROJECTS-Current Year'!$Q$2:$Q$2525,"WON",'QUOTED PROJECTS-Current Year'!$K$2:$K$2525,"650",'QUOTED PROJECTS-Current Year'!$H$2:$H$2525,"MTU",'QUOTED PROJECTS-Current Year'!$R$2:$R$2525,"MAR")</f>
        <v>0</v>
      </c>
      <c r="Z17" s="57">
        <f t="shared" si="0"/>
        <v>0</v>
      </c>
      <c r="AA17" s="37">
        <f t="shared" si="0"/>
        <v>0</v>
      </c>
    </row>
    <row r="18" spans="1:27" s="1" customFormat="1" ht="14.25" thickTop="1" thickBot="1">
      <c r="A18" s="1" t="s">
        <v>64</v>
      </c>
      <c r="B18" s="51">
        <f t="shared" ref="B18:T18" si="1">SUM(B10:B17)</f>
        <v>0</v>
      </c>
      <c r="C18" s="38">
        <f t="shared" si="1"/>
        <v>0</v>
      </c>
      <c r="D18" s="51">
        <f t="shared" si="1"/>
        <v>0</v>
      </c>
      <c r="E18" s="38">
        <f t="shared" si="1"/>
        <v>0</v>
      </c>
      <c r="F18" s="51">
        <f t="shared" si="1"/>
        <v>0</v>
      </c>
      <c r="G18" s="38">
        <f t="shared" si="1"/>
        <v>0</v>
      </c>
      <c r="H18" s="51">
        <f t="shared" si="1"/>
        <v>0</v>
      </c>
      <c r="I18" s="38">
        <f t="shared" si="1"/>
        <v>0</v>
      </c>
      <c r="J18" s="51">
        <f t="shared" si="1"/>
        <v>0</v>
      </c>
      <c r="K18" s="38">
        <f t="shared" si="1"/>
        <v>0</v>
      </c>
      <c r="L18" s="51">
        <f t="shared" si="1"/>
        <v>0</v>
      </c>
      <c r="M18" s="38">
        <f t="shared" si="1"/>
        <v>0</v>
      </c>
      <c r="N18" s="51">
        <f t="shared" si="1"/>
        <v>0</v>
      </c>
      <c r="O18" s="38">
        <f t="shared" si="1"/>
        <v>0</v>
      </c>
      <c r="P18" s="51">
        <f t="shared" si="1"/>
        <v>0</v>
      </c>
      <c r="Q18" s="38">
        <f t="shared" si="1"/>
        <v>0</v>
      </c>
      <c r="R18" s="51">
        <f t="shared" si="1"/>
        <v>0</v>
      </c>
      <c r="S18" s="38">
        <f t="shared" si="1"/>
        <v>0</v>
      </c>
      <c r="T18" s="51">
        <f t="shared" si="1"/>
        <v>0</v>
      </c>
      <c r="U18" s="38">
        <f t="shared" ref="U18:AA18" si="2">SUM(U10:U17)</f>
        <v>0</v>
      </c>
      <c r="V18" s="51">
        <f t="shared" si="2"/>
        <v>0</v>
      </c>
      <c r="W18" s="38">
        <f t="shared" si="2"/>
        <v>0</v>
      </c>
      <c r="X18" s="51">
        <f t="shared" si="2"/>
        <v>0</v>
      </c>
      <c r="Y18" s="38">
        <f t="shared" si="2"/>
        <v>0</v>
      </c>
      <c r="Z18" s="51">
        <f t="shared" si="2"/>
        <v>0</v>
      </c>
      <c r="AA18" s="38">
        <f t="shared" si="2"/>
        <v>0</v>
      </c>
    </row>
    <row r="19" spans="1:27" ht="13.5" thickTop="1">
      <c r="A19" s="1" t="s">
        <v>5</v>
      </c>
      <c r="B19" s="195"/>
      <c r="C19" s="196"/>
      <c r="D19" s="197"/>
      <c r="E19" s="196"/>
      <c r="F19" s="197"/>
      <c r="G19" s="196"/>
      <c r="H19" s="195"/>
      <c r="I19" s="198"/>
      <c r="J19" s="195"/>
      <c r="K19" s="196"/>
      <c r="L19" s="197"/>
      <c r="M19" s="196"/>
      <c r="N19" s="195"/>
      <c r="O19" s="198"/>
      <c r="P19" s="195"/>
      <c r="Q19" s="196"/>
      <c r="R19" s="197"/>
      <c r="S19" s="196"/>
      <c r="T19" s="195"/>
      <c r="U19" s="198"/>
      <c r="V19" s="195"/>
      <c r="W19" s="196"/>
      <c r="X19" s="197"/>
      <c r="Y19" s="196"/>
      <c r="Z19" s="199"/>
      <c r="AA19" s="200"/>
    </row>
    <row r="20" spans="1:27">
      <c r="A20" s="19">
        <v>500</v>
      </c>
      <c r="B20" s="55"/>
      <c r="C20" s="141">
        <f>SUMIFS('QUOTED PROJECTS-Earlier Yr'!$O$2:$O$2598,'QUOTED PROJECTS-Earlier Yr'!$Q$2:$Q$2598,"WON",'QUOTED PROJECTS-Earlier Yr'!$K$2:$K$2598,"500",'QUOTED PROJECTS-Earlier Yr'!$H$2:$H$2598,"PERKINS",'QUOTED PROJECTS-Earlier Yr'!$R$2:$R$2598,"APR")+SUMIFS('QUOTED PROJECTS-Current Year'!$O$2:$O$2525,'QUOTED PROJECTS-Current Year'!$Q$2:$Q$2525,"WON",'QUOTED PROJECTS-Current Year'!$K$2:$K$2525,"500",'QUOTED PROJECTS-Current Year'!$H$2:$H$2525,"PERKINS",'QUOTED PROJECTS-Current Year'!$R$2:$R$2525,"APR")</f>
        <v>0</v>
      </c>
      <c r="D20" s="55"/>
      <c r="E20" s="141">
        <f>SUMIFS('QUOTED PROJECTS-Earlier Yr'!$O$2:$O$2598,'QUOTED PROJECTS-Earlier Yr'!$Q$2:$Q$2598,"WON",'QUOTED PROJECTS-Earlier Yr'!$K$2:$K$2598,"500",'QUOTED PROJECTS-Earlier Yr'!$H$2:$H$2598,"PERKINS",'QUOTED PROJECTS-Earlier Yr'!$R$2:$R$2598,"MAY")+SUMIFS('QUOTED PROJECTS-Current Year'!$O$2:$O$2525,'QUOTED PROJECTS-Current Year'!$Q$2:$Q$2525,"WON",'QUOTED PROJECTS-Current Year'!$K$2:$K$2525,"500",'QUOTED PROJECTS-Current Year'!$H$2:$H$2525,"PERKINS",'QUOTED PROJECTS-Current Year'!$R$2:$R$2525,"MAY")</f>
        <v>0</v>
      </c>
      <c r="F20" s="55"/>
      <c r="G20" s="141">
        <f>SUMIFS('QUOTED PROJECTS-Earlier Yr'!$O$2:$O$2598,'QUOTED PROJECTS-Earlier Yr'!$Q$2:$Q$2598,"WON",'QUOTED PROJECTS-Earlier Yr'!$K$2:$K$2598,"500",'QUOTED PROJECTS-Earlier Yr'!$H$2:$H$2598,"PERKINS",'QUOTED PROJECTS-Earlier Yr'!$R$2:$R$2598,"JUN")+SUMIFS('QUOTED PROJECTS-Current Year'!$O$2:$O$2525,'QUOTED PROJECTS-Current Year'!$Q$2:$Q$2525,"WON",'QUOTED PROJECTS-Current Year'!$K$2:$K$2525,"500",'QUOTED PROJECTS-Current Year'!$H$2:$H$2525,"PERKINS",'QUOTED PROJECTS-Current Year'!$R$2:$R$2525,"JUN")</f>
        <v>0</v>
      </c>
      <c r="H20" s="55"/>
      <c r="I20" s="141">
        <f>SUMIFS('QUOTED PROJECTS-Earlier Yr'!$O$2:$O$2598,'QUOTED PROJECTS-Earlier Yr'!$Q$2:$Q$2598,"WON",'QUOTED PROJECTS-Earlier Yr'!$K$2:$K$2598,"500",'QUOTED PROJECTS-Earlier Yr'!$H$2:$H$2598,"PERKINS",'QUOTED PROJECTS-Earlier Yr'!$R$2:$R$2598,"JUL")+SUMIFS('QUOTED PROJECTS-Current Year'!$O$2:$O$2525,'QUOTED PROJECTS-Current Year'!$Q$2:$Q$2525,"WON",'QUOTED PROJECTS-Current Year'!$K$2:$K$2525,"500",'QUOTED PROJECTS-Current Year'!$H$2:$H$2525,"PERKINS",'QUOTED PROJECTS-Current Year'!$R$2:$R$2525,"JUL")</f>
        <v>292.98505</v>
      </c>
      <c r="J20" s="55"/>
      <c r="K20" s="141">
        <f>SUMIFS('QUOTED PROJECTS-Earlier Yr'!$O$2:$O$2598,'QUOTED PROJECTS-Earlier Yr'!$Q$2:$Q$2598,"WON",'QUOTED PROJECTS-Earlier Yr'!$K$2:$K$2598,"500",'QUOTED PROJECTS-Earlier Yr'!$H$2:$H$2598,"PERKINS",'QUOTED PROJECTS-Earlier Yr'!$R$2:$R$2598,"AUG")+SUMIFS('QUOTED PROJECTS-Current Year'!$O$2:$O$2525,'QUOTED PROJECTS-Current Year'!$Q$2:$Q$2525,"WON",'QUOTED PROJECTS-Current Year'!$K$2:$K$2525,"500",'QUOTED PROJECTS-Current Year'!$H$2:$H$2525,"PERKINS",'QUOTED PROJECTS-Current Year'!$R$2:$R$2525,"AUG")</f>
        <v>0</v>
      </c>
      <c r="L20" s="55"/>
      <c r="M20" s="141">
        <f>SUMIFS('QUOTED PROJECTS-Earlier Yr'!$O$2:$O$2598,'QUOTED PROJECTS-Earlier Yr'!$Q$2:$Q$2598,"WON",'QUOTED PROJECTS-Earlier Yr'!$K$2:$K$2598,"500",'QUOTED PROJECTS-Earlier Yr'!$H$2:$H$2598,"PERKINS",'QUOTED PROJECTS-Earlier Yr'!$R$2:$R$2598,"SEPT")+SUMIFS('QUOTED PROJECTS-Current Year'!$O$2:$O$2525,'QUOTED PROJECTS-Current Year'!$Q$2:$Q$2525,"WON",'QUOTED PROJECTS-Current Year'!$K$2:$K$2525,"500",'QUOTED PROJECTS-Current Year'!$H$2:$H$2525,"PERKINS",'QUOTED PROJECTS-Current Year'!$R$2:$R$2525,"SEPT")</f>
        <v>0</v>
      </c>
      <c r="N20" s="55"/>
      <c r="O20" s="141">
        <f>SUMIFS('QUOTED PROJECTS-Earlier Yr'!$O$2:$O$2598,'QUOTED PROJECTS-Earlier Yr'!$Q$2:$Q$2598,"WON",'QUOTED PROJECTS-Earlier Yr'!$K$2:$K$2598,"500",'QUOTED PROJECTS-Earlier Yr'!$H$2:$H$2598,"PERKINS",'QUOTED PROJECTS-Earlier Yr'!$R$2:$R$2598,"OCT")+SUMIFS('QUOTED PROJECTS-Current Year'!$O$2:$O$2525,'QUOTED PROJECTS-Current Year'!$Q$2:$Q$2525,"WON",'QUOTED PROJECTS-Current Year'!$K$2:$K$2525,"500",'QUOTED PROJECTS-Current Year'!$H$2:$H$2525,"PERKINS",'QUOTED PROJECTS-Current Year'!$R$2:$R$2525,"OCT")</f>
        <v>0</v>
      </c>
      <c r="P20" s="55"/>
      <c r="Q20" s="141">
        <f>SUMIFS('QUOTED PROJECTS-Earlier Yr'!$O$2:$O$2598,'QUOTED PROJECTS-Earlier Yr'!$Q$2:$Q$2598,"WON",'QUOTED PROJECTS-Earlier Yr'!$K$2:$K$2598,"500",'QUOTED PROJECTS-Earlier Yr'!$H$2:$H$2598,"PERKINS",'QUOTED PROJECTS-Earlier Yr'!$R$2:$R$2598,"NOV")+SUMIFS('QUOTED PROJECTS-Current Year'!$O$2:$O$2525,'QUOTED PROJECTS-Current Year'!$Q$2:$Q$2525,"WON",'QUOTED PROJECTS-Current Year'!$K$2:$K$2525,"500",'QUOTED PROJECTS-Current Year'!$H$2:$H$2525,"PERKINS",'QUOTED PROJECTS-Current Year'!$R$2:$R$2525,"NOV")</f>
        <v>0</v>
      </c>
      <c r="R20" s="55"/>
      <c r="S20" s="141">
        <f>SUMIFS('QUOTED PROJECTS-Earlier Yr'!$O$2:$O$2598,'QUOTED PROJECTS-Earlier Yr'!$Q$2:$Q$2598,"WON",'QUOTED PROJECTS-Earlier Yr'!$K$2:$K$2598,"500",'QUOTED PROJECTS-Earlier Yr'!$H$2:$H$2598,"PERKINS",'QUOTED PROJECTS-Earlier Yr'!$R$2:$R$2598,"DEC")+SUMIFS('QUOTED PROJECTS-Current Year'!$O$2:$O$2525,'QUOTED PROJECTS-Current Year'!$Q$2:$Q$2525,"WON",'QUOTED PROJECTS-Current Year'!$K$2:$K$2525,"500",'QUOTED PROJECTS-Current Year'!$H$2:$H$2525,"PERKINS",'QUOTED PROJECTS-Current Year'!$R$2:$R$2525,"DEC")</f>
        <v>0</v>
      </c>
      <c r="T20" s="55"/>
      <c r="U20" s="141">
        <f>SUMIFS('QUOTED PROJECTS-Earlier Yr'!$O$2:$O$2598,'QUOTED PROJECTS-Earlier Yr'!$Q$2:$Q$2598,"WON",'QUOTED PROJECTS-Earlier Yr'!$K$2:$K$2598,"500",'QUOTED PROJECTS-Earlier Yr'!$H$2:$H$2598,"PERKINS",'QUOTED PROJECTS-Earlier Yr'!$R$2:$R$2598,"JAN")+SUMIFS('QUOTED PROJECTS-Current Year'!$O$2:$O$2525,'QUOTED PROJECTS-Current Year'!$Q$2:$Q$2525,"WON",'QUOTED PROJECTS-Current Year'!$K$2:$K$2525,"500",'QUOTED PROJECTS-Current Year'!$H$2:$H$2525,"PERKINS",'QUOTED PROJECTS-Current Year'!$R$2:$R$2525,"JAN")</f>
        <v>0</v>
      </c>
      <c r="V20" s="55"/>
      <c r="W20" s="141">
        <f>SUMIFS('QUOTED PROJECTS-Earlier Yr'!$O$2:$O$2598,'QUOTED PROJECTS-Earlier Yr'!$Q$2:$Q$2598,"WON",'QUOTED PROJECTS-Earlier Yr'!$K$2:$K$2598,"500",'QUOTED PROJECTS-Earlier Yr'!$H$2:$H$2598,"PERKINS",'QUOTED PROJECTS-Earlier Yr'!$R$2:$R$2598,"FEB")+SUMIFS('QUOTED PROJECTS-Current Year'!$O$2:$O$2525,'QUOTED PROJECTS-Current Year'!$Q$2:$Q$2525,"WON",'QUOTED PROJECTS-Current Year'!$K$2:$K$2525,"500",'QUOTED PROJECTS-Current Year'!$H$2:$H$2525,"PERKINS",'QUOTED PROJECTS-Current Year'!$R$2:$R$2525,"FEB")</f>
        <v>0</v>
      </c>
      <c r="X20" s="55"/>
      <c r="Y20" s="141">
        <f>SUMIFS('QUOTED PROJECTS-Earlier Yr'!$O$2:$O$2598,'QUOTED PROJECTS-Earlier Yr'!$Q$2:$Q$2598,"WON",'QUOTED PROJECTS-Earlier Yr'!$K$2:$K$2598,"500",'QUOTED PROJECTS-Earlier Yr'!$H$2:$H$2598,"PERKINS",'QUOTED PROJECTS-Earlier Yr'!$R$2:$R$2598,"MAR")+SUMIFS('QUOTED PROJECTS-Current Year'!$O$2:$O$2525,'QUOTED PROJECTS-Current Year'!$Q$2:$Q$2525,"WON",'QUOTED PROJECTS-Current Year'!$K$2:$K$2525,"500",'QUOTED PROJECTS-Current Year'!$H$2:$H$2525,"PERKINS",'QUOTED PROJECTS-Current Year'!$R$2:$R$2525,"MAR")</f>
        <v>0</v>
      </c>
      <c r="Z20" s="57">
        <f t="shared" ref="Z20:AA22" si="3">B20+D20+F20+H20+J20+L20+N20+P20+R20+T20+V20+X20</f>
        <v>0</v>
      </c>
      <c r="AA20" s="37">
        <f t="shared" si="3"/>
        <v>292.98505</v>
      </c>
    </row>
    <row r="21" spans="1:27" ht="13.5" thickBot="1">
      <c r="A21" s="19">
        <v>600</v>
      </c>
      <c r="B21" s="55"/>
      <c r="C21" s="141">
        <f>SUMIFS('QUOTED PROJECTS-Earlier Yr'!$O$2:$O$2598,'QUOTED PROJECTS-Earlier Yr'!$Q$2:$Q$2598,"WON",'QUOTED PROJECTS-Earlier Yr'!$K$2:$K$2598,"600",'QUOTED PROJECTS-Earlier Yr'!$H$2:$H$2598,"PERKINS",'QUOTED PROJECTS-Earlier Yr'!$R$2:$R$2598,"APR")+SUMIFS('QUOTED PROJECTS-Current Year'!$O$2:$O$2525,'QUOTED PROJECTS-Current Year'!$Q$2:$Q$2525,"WON",'QUOTED PROJECTS-Current Year'!$K$2:$K$2525,"600",'QUOTED PROJECTS-Current Year'!$H$2:$H$2525,"PERKINS",'QUOTED PROJECTS-Current Year'!$R$2:$R$2525,"APR")</f>
        <v>0</v>
      </c>
      <c r="D21" s="55"/>
      <c r="E21" s="141">
        <f>SUMIFS('QUOTED PROJECTS-Earlier Yr'!$O$2:$O$2598,'QUOTED PROJECTS-Earlier Yr'!$Q$2:$Q$2598,"WON",'QUOTED PROJECTS-Earlier Yr'!$K$2:$K$2598,"600",'QUOTED PROJECTS-Earlier Yr'!$H$2:$H$2598,"PERKINS",'QUOTED PROJECTS-Earlier Yr'!$R$2:$R$2598,"MAY")+SUMIFS('QUOTED PROJECTS-Current Year'!$O$2:$O$2525,'QUOTED PROJECTS-Current Year'!$Q$2:$Q$2525,"WON",'QUOTED PROJECTS-Current Year'!$K$2:$K$2525,"600",'QUOTED PROJECTS-Current Year'!$H$2:$H$2525,"PERKINS",'QUOTED PROJECTS-Current Year'!$R$2:$R$2525,"MAY")</f>
        <v>0</v>
      </c>
      <c r="F21" s="55"/>
      <c r="G21" s="141">
        <f>SUMIFS('QUOTED PROJECTS-Earlier Yr'!$O$2:$O$2598,'QUOTED PROJECTS-Earlier Yr'!$Q$2:$Q$2598,"WON",'QUOTED PROJECTS-Earlier Yr'!$K$2:$K$2598,"600",'QUOTED PROJECTS-Earlier Yr'!$H$2:$H$2598,"PERKINS",'QUOTED PROJECTS-Earlier Yr'!$R$2:$R$2598,"JUN")+SUMIFS('QUOTED PROJECTS-Current Year'!$O$2:$O$2525,'QUOTED PROJECTS-Current Year'!$Q$2:$Q$2525,"WON",'QUOTED PROJECTS-Current Year'!$K$2:$K$2525,"600",'QUOTED PROJECTS-Current Year'!$H$2:$H$2525,"PERKINS",'QUOTED PROJECTS-Current Year'!$R$2:$R$2525,"JUN")</f>
        <v>0</v>
      </c>
      <c r="H21" s="55"/>
      <c r="I21" s="141">
        <f>SUMIFS('QUOTED PROJECTS-Earlier Yr'!$O$2:$O$2598,'QUOTED PROJECTS-Earlier Yr'!$Q$2:$Q$2598,"WON",'QUOTED PROJECTS-Earlier Yr'!$K$2:$K$2598,"600",'QUOTED PROJECTS-Earlier Yr'!$H$2:$H$2598,"PERKINS",'QUOTED PROJECTS-Earlier Yr'!$R$2:$R$2598,"JUL")+SUMIFS('QUOTED PROJECTS-Current Year'!$O$2:$O$2525,'QUOTED PROJECTS-Current Year'!$Q$2:$Q$2525,"WON",'QUOTED PROJECTS-Current Year'!$K$2:$K$2525,"600",'QUOTED PROJECTS-Current Year'!$H$2:$H$2525,"PERKINS",'QUOTED PROJECTS-Current Year'!$R$2:$R$2525,"JUL")</f>
        <v>0</v>
      </c>
      <c r="J21" s="55"/>
      <c r="K21" s="141">
        <f>SUMIFS('QUOTED PROJECTS-Earlier Yr'!$O$2:$O$2598,'QUOTED PROJECTS-Earlier Yr'!$Q$2:$Q$2598,"WON",'QUOTED PROJECTS-Earlier Yr'!$K$2:$K$2598,"600",'QUOTED PROJECTS-Earlier Yr'!$H$2:$H$2598,"PERKINS",'QUOTED PROJECTS-Earlier Yr'!$R$2:$R$2598,"AUG")+SUMIFS('QUOTED PROJECTS-Current Year'!$O$2:$O$2525,'QUOTED PROJECTS-Current Year'!$Q$2:$Q$2525,"WON",'QUOTED PROJECTS-Current Year'!$K$2:$K$2525,"600",'QUOTED PROJECTS-Current Year'!$H$2:$H$2525,"PERKINS",'QUOTED PROJECTS-Current Year'!$R$2:$R$2525,"AUG")</f>
        <v>0</v>
      </c>
      <c r="L21" s="55"/>
      <c r="M21" s="141">
        <f>SUMIFS('QUOTED PROJECTS-Earlier Yr'!$O$2:$O$2598,'QUOTED PROJECTS-Earlier Yr'!$Q$2:$Q$2598,"WON",'QUOTED PROJECTS-Earlier Yr'!$K$2:$K$2598,"600",'QUOTED PROJECTS-Earlier Yr'!$H$2:$H$2598,"PERKINS",'QUOTED PROJECTS-Earlier Yr'!$R$2:$R$2598,"SEPT")+SUMIFS('QUOTED PROJECTS-Current Year'!$O$2:$O$2525,'QUOTED PROJECTS-Current Year'!$Q$2:$Q$2525,"WON",'QUOTED PROJECTS-Current Year'!$K$2:$K$2525,"600",'QUOTED PROJECTS-Current Year'!$H$2:$H$2525,"PERKINS",'QUOTED PROJECTS-Current Year'!$R$2:$R$2525,"SEPT")</f>
        <v>0</v>
      </c>
      <c r="N21" s="55"/>
      <c r="O21" s="141">
        <f>SUMIFS('QUOTED PROJECTS-Earlier Yr'!$O$2:$O$2598,'QUOTED PROJECTS-Earlier Yr'!$Q$2:$Q$2598,"WON",'QUOTED PROJECTS-Earlier Yr'!$K$2:$K$2598,"600",'QUOTED PROJECTS-Earlier Yr'!$H$2:$H$2598,"PERKINS",'QUOTED PROJECTS-Earlier Yr'!$R$2:$R$2598,"OCT")+SUMIFS('QUOTED PROJECTS-Current Year'!$O$2:$O$2525,'QUOTED PROJECTS-Current Year'!$Q$2:$Q$2525,"WON",'QUOTED PROJECTS-Current Year'!$K$2:$K$2525,"600",'QUOTED PROJECTS-Current Year'!$H$2:$H$2525,"PERKINS",'QUOTED PROJECTS-Current Year'!$R$2:$R$2525,"OCT")</f>
        <v>0</v>
      </c>
      <c r="P21" s="55"/>
      <c r="Q21" s="141">
        <f>SUMIFS('QUOTED PROJECTS-Earlier Yr'!$O$2:$O$2598,'QUOTED PROJECTS-Earlier Yr'!$Q$2:$Q$2598,"WON",'QUOTED PROJECTS-Earlier Yr'!$K$2:$K$2598,"600",'QUOTED PROJECTS-Earlier Yr'!$H$2:$H$2598,"PERKINS",'QUOTED PROJECTS-Earlier Yr'!$R$2:$R$2598,"NOV")+SUMIFS('QUOTED PROJECTS-Current Year'!$O$2:$O$2525,'QUOTED PROJECTS-Current Year'!$Q$2:$Q$2525,"WON",'QUOTED PROJECTS-Current Year'!$K$2:$K$2525,"600",'QUOTED PROJECTS-Current Year'!$H$2:$H$2525,"PERKINS",'QUOTED PROJECTS-Current Year'!$R$2:$R$2525,"NOV")</f>
        <v>0</v>
      </c>
      <c r="R21" s="55"/>
      <c r="S21" s="141">
        <f>SUMIFS('QUOTED PROJECTS-Earlier Yr'!$O$2:$O$2598,'QUOTED PROJECTS-Earlier Yr'!$Q$2:$Q$2598,"WON",'QUOTED PROJECTS-Earlier Yr'!$K$2:$K$2598,"600",'QUOTED PROJECTS-Earlier Yr'!$H$2:$H$2598,"PERKINS",'QUOTED PROJECTS-Earlier Yr'!$R$2:$R$2598,"DEC")+SUMIFS('QUOTED PROJECTS-Current Year'!$O$2:$O$2525,'QUOTED PROJECTS-Current Year'!$Q$2:$Q$2525,"WON",'QUOTED PROJECTS-Current Year'!$K$2:$K$2525,"600",'QUOTED PROJECTS-Current Year'!$H$2:$H$2525,"PERKINS",'QUOTED PROJECTS-Current Year'!$R$2:$R$2525,"DEC")</f>
        <v>0</v>
      </c>
      <c r="T21" s="55"/>
      <c r="U21" s="141">
        <f>SUMIFS('QUOTED PROJECTS-Earlier Yr'!$O$2:$O$2598,'QUOTED PROJECTS-Earlier Yr'!$Q$2:$Q$2598,"WON",'QUOTED PROJECTS-Earlier Yr'!$K$2:$K$2598,"600",'QUOTED PROJECTS-Earlier Yr'!$H$2:$H$2598,"PERKINS",'QUOTED PROJECTS-Earlier Yr'!$R$2:$R$2598,"JAN")+SUMIFS('QUOTED PROJECTS-Current Year'!$O$2:$O$2525,'QUOTED PROJECTS-Current Year'!$Q$2:$Q$2525,"WON",'QUOTED PROJECTS-Current Year'!$K$2:$K$2525,"600",'QUOTED PROJECTS-Current Year'!$H$2:$H$2525,"PERKINS",'QUOTED PROJECTS-Current Year'!$R$2:$R$2525,"JAN")</f>
        <v>0</v>
      </c>
      <c r="V21" s="55"/>
      <c r="W21" s="141">
        <f>SUMIFS('QUOTED PROJECTS-Earlier Yr'!$O$2:$O$2598,'QUOTED PROJECTS-Earlier Yr'!$Q$2:$Q$2598,"WON",'QUOTED PROJECTS-Earlier Yr'!$K$2:$K$2598,"600",'QUOTED PROJECTS-Earlier Yr'!$H$2:$H$2598,"PERKINS",'QUOTED PROJECTS-Earlier Yr'!$R$2:$R$2598,"FEB")+SUMIFS('QUOTED PROJECTS-Current Year'!$O$2:$O$2525,'QUOTED PROJECTS-Current Year'!$Q$2:$Q$2525,"WON",'QUOTED PROJECTS-Current Year'!$K$2:$K$2525,"600",'QUOTED PROJECTS-Current Year'!$H$2:$H$2525,"PERKINS",'QUOTED PROJECTS-Current Year'!$R$2:$R$2525,"FEB")</f>
        <v>0</v>
      </c>
      <c r="X21" s="55"/>
      <c r="Y21" s="141">
        <f>SUMIFS('QUOTED PROJECTS-Earlier Yr'!$O$2:$O$2598,'QUOTED PROJECTS-Earlier Yr'!$Q$2:$Q$2598,"WON",'QUOTED PROJECTS-Earlier Yr'!$K$2:$K$2598,"600",'QUOTED PROJECTS-Earlier Yr'!$H$2:$H$2598,"PERKINS",'QUOTED PROJECTS-Earlier Yr'!$R$2:$R$2598,"MAR")+SUMIFS('QUOTED PROJECTS-Current Year'!$O$2:$O$2525,'QUOTED PROJECTS-Current Year'!$Q$2:$Q$2525,"WON",'QUOTED PROJECTS-Current Year'!$K$2:$K$2525,"600",'QUOTED PROJECTS-Current Year'!$H$2:$H$2525,"PERKINS",'QUOTED PROJECTS-Current Year'!$R$2:$R$2525,"MAR")</f>
        <v>0</v>
      </c>
      <c r="Z21" s="57">
        <f t="shared" si="3"/>
        <v>0</v>
      </c>
      <c r="AA21" s="37">
        <f t="shared" si="3"/>
        <v>0</v>
      </c>
    </row>
    <row r="22" spans="1:27" s="1" customFormat="1" ht="14.25" thickTop="1" thickBot="1">
      <c r="A22" s="1" t="s">
        <v>65</v>
      </c>
      <c r="B22" s="51">
        <f t="shared" ref="B22:Y22" si="4">SUM(B20:B21)</f>
        <v>0</v>
      </c>
      <c r="C22" s="40">
        <f t="shared" si="4"/>
        <v>0</v>
      </c>
      <c r="D22" s="61">
        <f t="shared" si="4"/>
        <v>0</v>
      </c>
      <c r="E22" s="40">
        <f t="shared" si="4"/>
        <v>0</v>
      </c>
      <c r="F22" s="52">
        <f t="shared" si="4"/>
        <v>0</v>
      </c>
      <c r="G22" s="40">
        <f t="shared" si="4"/>
        <v>0</v>
      </c>
      <c r="H22" s="61">
        <f t="shared" si="4"/>
        <v>0</v>
      </c>
      <c r="I22" s="40">
        <f t="shared" si="4"/>
        <v>292.98505</v>
      </c>
      <c r="J22" s="52">
        <f t="shared" si="4"/>
        <v>0</v>
      </c>
      <c r="K22" s="40">
        <f t="shared" si="4"/>
        <v>0</v>
      </c>
      <c r="L22" s="52">
        <f t="shared" si="4"/>
        <v>0</v>
      </c>
      <c r="M22" s="40">
        <f t="shared" si="4"/>
        <v>0</v>
      </c>
      <c r="N22" s="61">
        <f t="shared" si="4"/>
        <v>0</v>
      </c>
      <c r="O22" s="40">
        <f t="shared" si="4"/>
        <v>0</v>
      </c>
      <c r="P22" s="52">
        <f t="shared" si="4"/>
        <v>0</v>
      </c>
      <c r="Q22" s="40">
        <f t="shared" si="4"/>
        <v>0</v>
      </c>
      <c r="R22" s="52">
        <f t="shared" si="4"/>
        <v>0</v>
      </c>
      <c r="S22" s="40">
        <f t="shared" si="4"/>
        <v>0</v>
      </c>
      <c r="T22" s="61">
        <f t="shared" si="4"/>
        <v>0</v>
      </c>
      <c r="U22" s="40">
        <f t="shared" si="4"/>
        <v>0</v>
      </c>
      <c r="V22" s="52">
        <f t="shared" si="4"/>
        <v>0</v>
      </c>
      <c r="W22" s="40">
        <f t="shared" si="4"/>
        <v>0</v>
      </c>
      <c r="X22" s="52">
        <f t="shared" si="4"/>
        <v>0</v>
      </c>
      <c r="Y22" s="40">
        <f t="shared" si="4"/>
        <v>0</v>
      </c>
      <c r="Z22" s="59">
        <f t="shared" si="3"/>
        <v>0</v>
      </c>
      <c r="AA22" s="42">
        <f t="shared" si="3"/>
        <v>292.98505</v>
      </c>
    </row>
    <row r="23" spans="1:27" ht="13.5" thickTop="1">
      <c r="A23" s="1" t="s">
        <v>4</v>
      </c>
      <c r="B23" s="195"/>
      <c r="C23" s="196"/>
      <c r="D23" s="197"/>
      <c r="E23" s="196"/>
      <c r="F23" s="197"/>
      <c r="G23" s="196"/>
      <c r="H23" s="195"/>
      <c r="I23" s="198"/>
      <c r="J23" s="195"/>
      <c r="K23" s="196"/>
      <c r="L23" s="197"/>
      <c r="M23" s="196"/>
      <c r="N23" s="195"/>
      <c r="O23" s="198"/>
      <c r="P23" s="195"/>
      <c r="Q23" s="196"/>
      <c r="R23" s="197"/>
      <c r="S23" s="196"/>
      <c r="T23" s="195"/>
      <c r="U23" s="198"/>
      <c r="V23" s="195"/>
      <c r="W23" s="196"/>
      <c r="X23" s="197"/>
      <c r="Y23" s="196"/>
      <c r="Z23" s="199"/>
      <c r="AA23" s="200"/>
    </row>
    <row r="24" spans="1:27">
      <c r="A24" s="19">
        <v>250</v>
      </c>
      <c r="B24" s="55"/>
      <c r="C24" s="141">
        <f>SUMIFS('QUOTED PROJECTS-Earlier Yr'!$O$2:$O$2598,'QUOTED PROJECTS-Earlier Yr'!$Q$2:$Q$2598,"WON",'QUOTED PROJECTS-Earlier Yr'!$K$2:$K$2598,"250",'QUOTED PROJECTS-Earlier Yr'!$H$2:$H$2598,"VOLVO",'QUOTED PROJECTS-Earlier Yr'!$R$2:$R$2598,"APR")+SUMIFS('QUOTED PROJECTS-Current Year'!$O$2:$O$2525,'QUOTED PROJECTS-Current Year'!$Q$2:$Q$2525,"WON",'QUOTED PROJECTS-Current Year'!$K$2:$K$2525,"250",'QUOTED PROJECTS-Current Year'!$H$2:$H$2525,"VOLVO",'QUOTED PROJECTS-Current Year'!$R$2:$R$2525,"APR")</f>
        <v>0</v>
      </c>
      <c r="D24" s="55"/>
      <c r="E24" s="141">
        <f>SUMIFS('QUOTED PROJECTS-Earlier Yr'!$O$2:$O$2598,'QUOTED PROJECTS-Earlier Yr'!$Q$2:$Q$2598,"WON",'QUOTED PROJECTS-Earlier Yr'!$K$2:$K$2598,"250",'QUOTED PROJECTS-Earlier Yr'!$H$2:$H$2598,"VOLVO",'QUOTED PROJECTS-Earlier Yr'!$R$2:$R$2598,"MAY")+SUMIFS('QUOTED PROJECTS-Current Year'!$O$2:$O$2525,'QUOTED PROJECTS-Current Year'!$Q$2:$Q$2525,"WON",'QUOTED PROJECTS-Current Year'!$K$2:$K$2525,"250",'QUOTED PROJECTS-Current Year'!$H$2:$H$2525,"VOLVO",'QUOTED PROJECTS-Current Year'!$R$2:$R$2525,"MAY")</f>
        <v>0</v>
      </c>
      <c r="F24" s="55"/>
      <c r="G24" s="141">
        <f>SUMIFS('QUOTED PROJECTS-Earlier Yr'!$O$2:$O$2598,'QUOTED PROJECTS-Earlier Yr'!$Q$2:$Q$2598,"WON",'QUOTED PROJECTS-Earlier Yr'!$K$2:$K$2598,"250",'QUOTED PROJECTS-Earlier Yr'!$H$2:$H$2598,"VOLVO",'QUOTED PROJECTS-Earlier Yr'!$R$2:$R$2598,"JUN")+SUMIFS('QUOTED PROJECTS-Current Year'!$O$2:$O$2525,'QUOTED PROJECTS-Current Year'!$Q$2:$Q$2525,"WON",'QUOTED PROJECTS-Current Year'!$K$2:$K$2525,"250",'QUOTED PROJECTS-Current Year'!$H$2:$H$2525,"VOLVO",'QUOTED PROJECTS-Current Year'!$R$2:$R$2525,"JUN")</f>
        <v>0</v>
      </c>
      <c r="H24" s="55"/>
      <c r="I24" s="141">
        <f>SUMIFS('QUOTED PROJECTS-Earlier Yr'!$O$2:$O$2598,'QUOTED PROJECTS-Earlier Yr'!$Q$2:$Q$2598,"WON",'QUOTED PROJECTS-Earlier Yr'!$K$2:$K$2598,"250",'QUOTED PROJECTS-Earlier Yr'!$H$2:$H$2598,"VOLVO",'QUOTED PROJECTS-Earlier Yr'!$R$2:$R$2598,"JUL")+SUMIFS('QUOTED PROJECTS-Current Year'!$O$2:$O$2525,'QUOTED PROJECTS-Current Year'!$Q$2:$Q$2525,"WON",'QUOTED PROJECTS-Current Year'!$K$2:$K$2525,"250",'QUOTED PROJECTS-Current Year'!$H$2:$H$2525,"VOLVO",'QUOTED PROJECTS-Current Year'!$R$2:$R$2525,"JUL")</f>
        <v>0</v>
      </c>
      <c r="J24" s="55"/>
      <c r="K24" s="141">
        <f>SUMIFS('QUOTED PROJECTS-Earlier Yr'!$O$2:$O$2598,'QUOTED PROJECTS-Earlier Yr'!$Q$2:$Q$2598,"WON",'QUOTED PROJECTS-Earlier Yr'!$K$2:$K$2598,"250",'QUOTED PROJECTS-Earlier Yr'!$H$2:$H$2598,"VOLVO",'QUOTED PROJECTS-Earlier Yr'!$R$2:$R$2598,"AUG")+SUMIFS('QUOTED PROJECTS-Current Year'!$O$2:$O$2525,'QUOTED PROJECTS-Current Year'!$Q$2:$Q$2525,"WON",'QUOTED PROJECTS-Current Year'!$K$2:$K$2525,"250",'QUOTED PROJECTS-Current Year'!$H$2:$H$2525,"VOLVO",'QUOTED PROJECTS-Current Year'!$R$2:$R$2525,"AUG")</f>
        <v>0</v>
      </c>
      <c r="L24" s="55"/>
      <c r="M24" s="141">
        <f>SUMIFS('QUOTED PROJECTS-Earlier Yr'!$O$2:$O$2598,'QUOTED PROJECTS-Earlier Yr'!$Q$2:$Q$2598,"WON",'QUOTED PROJECTS-Earlier Yr'!$K$2:$K$2598,"250",'QUOTED PROJECTS-Earlier Yr'!$H$2:$H$2598,"VOLVO",'QUOTED PROJECTS-Earlier Yr'!$R$2:$R$2598,"SEPT")+SUMIFS('QUOTED PROJECTS-Current Year'!$O$2:$O$2525,'QUOTED PROJECTS-Current Year'!$Q$2:$Q$2525,"WON",'QUOTED PROJECTS-Current Year'!$K$2:$K$2525,"250",'QUOTED PROJECTS-Current Year'!$H$2:$H$2525,"VOLVO",'QUOTED PROJECTS-Current Year'!$R$2:$R$2525,"SEPT")</f>
        <v>0</v>
      </c>
      <c r="N24" s="55"/>
      <c r="O24" s="141">
        <f>SUMIFS('QUOTED PROJECTS-Earlier Yr'!$O$2:$O$2598,'QUOTED PROJECTS-Earlier Yr'!$Q$2:$Q$2598,"WON",'QUOTED PROJECTS-Earlier Yr'!$K$2:$K$2598,"250",'QUOTED PROJECTS-Earlier Yr'!$H$2:$H$2598,"VOLVO",'QUOTED PROJECTS-Earlier Yr'!$R$2:$R$2598,"OCT")+SUMIFS('QUOTED PROJECTS-Current Year'!$O$2:$O$2525,'QUOTED PROJECTS-Current Year'!$Q$2:$Q$2525,"WON",'QUOTED PROJECTS-Current Year'!$K$2:$K$2525,"250",'QUOTED PROJECTS-Current Year'!$H$2:$H$2525,"VOLVO",'QUOTED PROJECTS-Current Year'!$R$2:$R$2525,"OCT")</f>
        <v>0</v>
      </c>
      <c r="P24" s="55"/>
      <c r="Q24" s="141">
        <f>SUMIFS('QUOTED PROJECTS-Earlier Yr'!$O$2:$O$2598,'QUOTED PROJECTS-Earlier Yr'!$Q$2:$Q$2598,"WON",'QUOTED PROJECTS-Earlier Yr'!$K$2:$K$2598,"250",'QUOTED PROJECTS-Earlier Yr'!$H$2:$H$2598,"VOLVO",'QUOTED PROJECTS-Earlier Yr'!$R$2:$R$2598,"NOV")+SUMIFS('QUOTED PROJECTS-Current Year'!$O$2:$O$2525,'QUOTED PROJECTS-Current Year'!$Q$2:$Q$2525,"WON",'QUOTED PROJECTS-Current Year'!$K$2:$K$2525,"250",'QUOTED PROJECTS-Current Year'!$H$2:$H$2525,"VOLVO",'QUOTED PROJECTS-Current Year'!$R$2:$R$2525,"NOV")</f>
        <v>0</v>
      </c>
      <c r="R24" s="55"/>
      <c r="S24" s="141">
        <f>SUMIFS('QUOTED PROJECTS-Earlier Yr'!$O$2:$O$2598,'QUOTED PROJECTS-Earlier Yr'!$Q$2:$Q$2598,"WON",'QUOTED PROJECTS-Earlier Yr'!$K$2:$K$2598,"250",'QUOTED PROJECTS-Earlier Yr'!$H$2:$H$2598,"VOLVO",'QUOTED PROJECTS-Earlier Yr'!$R$2:$R$2598,"DEC")+SUMIFS('QUOTED PROJECTS-Current Year'!$O$2:$O$2525,'QUOTED PROJECTS-Current Year'!$Q$2:$Q$2525,"WON",'QUOTED PROJECTS-Current Year'!$K$2:$K$2525,"250",'QUOTED PROJECTS-Current Year'!$H$2:$H$2525,"VOLVO",'QUOTED PROJECTS-Current Year'!$R$2:$R$2525,"DEC")</f>
        <v>0</v>
      </c>
      <c r="T24" s="55"/>
      <c r="U24" s="141">
        <f>SUMIFS('QUOTED PROJECTS-Earlier Yr'!$O$2:$O$2598,'QUOTED PROJECTS-Earlier Yr'!$Q$2:$Q$2598,"WON",'QUOTED PROJECTS-Earlier Yr'!$K$2:$K$2598,"250",'QUOTED PROJECTS-Earlier Yr'!$H$2:$H$2598,"VOLVO",'QUOTED PROJECTS-Earlier Yr'!$R$2:$R$2598,"JAN")+SUMIFS('QUOTED PROJECTS-Current Year'!$O$2:$O$2525,'QUOTED PROJECTS-Current Year'!$Q$2:$Q$2525,"WON",'QUOTED PROJECTS-Current Year'!$K$2:$K$2525,"250",'QUOTED PROJECTS-Current Year'!$H$2:$H$2525,"VOLVO",'QUOTED PROJECTS-Current Year'!$R$2:$R$2525,"JAN")</f>
        <v>0</v>
      </c>
      <c r="V24" s="55"/>
      <c r="W24" s="141">
        <f>SUMIFS('QUOTED PROJECTS-Earlier Yr'!$O$2:$O$2598,'QUOTED PROJECTS-Earlier Yr'!$Q$2:$Q$2598,"WON",'QUOTED PROJECTS-Earlier Yr'!$K$2:$K$2598,"250",'QUOTED PROJECTS-Earlier Yr'!$H$2:$H$2598,"VOLVO",'QUOTED PROJECTS-Earlier Yr'!$R$2:$R$2598,"FEB")+SUMIFS('QUOTED PROJECTS-Current Year'!$O$2:$O$2525,'QUOTED PROJECTS-Current Year'!$Q$2:$Q$2525,"WON",'QUOTED PROJECTS-Current Year'!$K$2:$K$2525,"250",'QUOTED PROJECTS-Current Year'!$H$2:$H$2525,"VOLVO",'QUOTED PROJECTS-Current Year'!$R$2:$R$2525,"FEB")</f>
        <v>0</v>
      </c>
      <c r="X24" s="55"/>
      <c r="Y24" s="141">
        <f>SUMIFS('QUOTED PROJECTS-Earlier Yr'!$O$2:$O$2598,'QUOTED PROJECTS-Earlier Yr'!$Q$2:$Q$2598,"WON",'QUOTED PROJECTS-Earlier Yr'!$K$2:$K$2598,"250",'QUOTED PROJECTS-Earlier Yr'!$H$2:$H$2598,"VOLVO",'QUOTED PROJECTS-Earlier Yr'!$R$2:$R$2598,"MAR")+SUMIFS('QUOTED PROJECTS-Current Year'!$O$2:$O$2525,'QUOTED PROJECTS-Current Year'!$Q$2:$Q$2525,"WON",'QUOTED PROJECTS-Current Year'!$K$2:$K$2525,"250",'QUOTED PROJECTS-Current Year'!$H$2:$H$2525,"VOLVO",'QUOTED PROJECTS-Current Year'!$R$2:$R$2525,"MAR")</f>
        <v>0</v>
      </c>
      <c r="Z24" s="57">
        <f t="shared" ref="Z24:AA31" si="5">B24+D24+F24+H24+J24+L24+N24+P24+R24+T24+V24+X24</f>
        <v>0</v>
      </c>
      <c r="AA24" s="37">
        <f t="shared" si="5"/>
        <v>0</v>
      </c>
    </row>
    <row r="25" spans="1:27">
      <c r="A25" s="19">
        <v>320</v>
      </c>
      <c r="B25" s="55"/>
      <c r="C25" s="141">
        <f>SUMIFS('QUOTED PROJECTS-Earlier Yr'!$O$2:$O$2598,'QUOTED PROJECTS-Earlier Yr'!$Q$2:$Q$2598,"WON",'QUOTED PROJECTS-Earlier Yr'!$K$2:$K$2598,"320",'QUOTED PROJECTS-Earlier Yr'!$H$2:$H$2598,"VOLVO",'QUOTED PROJECTS-Earlier Yr'!$R$2:$R$2598,"APR")+SUMIFS('QUOTED PROJECTS-Current Year'!$O$2:$O$2525,'QUOTED PROJECTS-Current Year'!$Q$2:$Q$2525,"WON",'QUOTED PROJECTS-Current Year'!$K$2:$K$2525,"320",'QUOTED PROJECTS-Current Year'!$H$2:$H$2525,"VOLVO",'QUOTED PROJECTS-Current Year'!$R$2:$R$2525,"APR")</f>
        <v>0</v>
      </c>
      <c r="D25" s="55"/>
      <c r="E25" s="141">
        <f>SUMIFS('QUOTED PROJECTS-Earlier Yr'!$O$2:$O$2598,'QUOTED PROJECTS-Earlier Yr'!$Q$2:$Q$2598,"WON",'QUOTED PROJECTS-Earlier Yr'!$K$2:$K$2598,"320",'QUOTED PROJECTS-Earlier Yr'!$H$2:$H$2598,"VOLVO",'QUOTED PROJECTS-Earlier Yr'!$R$2:$R$2598,"MAY")+SUMIFS('QUOTED PROJECTS-Current Year'!$O$2:$O$2525,'QUOTED PROJECTS-Current Year'!$Q$2:$Q$2525,"WON",'QUOTED PROJECTS-Current Year'!$K$2:$K$2525,"320",'QUOTED PROJECTS-Current Year'!$H$2:$H$2525,"VOLVO",'QUOTED PROJECTS-Current Year'!$R$2:$R$2525,"MAY")</f>
        <v>0</v>
      </c>
      <c r="F25" s="55"/>
      <c r="G25" s="141">
        <f>SUMIFS('QUOTED PROJECTS-Earlier Yr'!$O$2:$O$2598,'QUOTED PROJECTS-Earlier Yr'!$Q$2:$Q$2598,"WON",'QUOTED PROJECTS-Earlier Yr'!$K$2:$K$2598,"320",'QUOTED PROJECTS-Earlier Yr'!$H$2:$H$2598,"VOLVO",'QUOTED PROJECTS-Earlier Yr'!$R$2:$R$2598,"JUN")+SUMIFS('QUOTED PROJECTS-Current Year'!$O$2:$O$2525,'QUOTED PROJECTS-Current Year'!$Q$2:$Q$2525,"WON",'QUOTED PROJECTS-Current Year'!$K$2:$K$2525,"320",'QUOTED PROJECTS-Current Year'!$H$2:$H$2525,"VOLVO",'QUOTED PROJECTS-Current Year'!$R$2:$R$2525,"JUN")</f>
        <v>0</v>
      </c>
      <c r="H25" s="55"/>
      <c r="I25" s="141">
        <f>SUMIFS('QUOTED PROJECTS-Earlier Yr'!$O$2:$O$2598,'QUOTED PROJECTS-Earlier Yr'!$Q$2:$Q$2598,"WON",'QUOTED PROJECTS-Earlier Yr'!$K$2:$K$2598,"320",'QUOTED PROJECTS-Earlier Yr'!$H$2:$H$2598,"VOLVO",'QUOTED PROJECTS-Earlier Yr'!$R$2:$R$2598,"JUL")+SUMIFS('QUOTED PROJECTS-Current Year'!$O$2:$O$2525,'QUOTED PROJECTS-Current Year'!$Q$2:$Q$2525,"WON",'QUOTED PROJECTS-Current Year'!$K$2:$K$2525,"320",'QUOTED PROJECTS-Current Year'!$H$2:$H$2525,"VOLVO",'QUOTED PROJECTS-Current Year'!$R$2:$R$2525,"JUL")</f>
        <v>0</v>
      </c>
      <c r="J25" s="55"/>
      <c r="K25" s="141">
        <f>SUMIFS('QUOTED PROJECTS-Earlier Yr'!$O$2:$O$2598,'QUOTED PROJECTS-Earlier Yr'!$Q$2:$Q$2598,"WON",'QUOTED PROJECTS-Earlier Yr'!$K$2:$K$2598,"320",'QUOTED PROJECTS-Earlier Yr'!$H$2:$H$2598,"VOLVO",'QUOTED PROJECTS-Earlier Yr'!$R$2:$R$2598,"AUG")+SUMIFS('QUOTED PROJECTS-Current Year'!$O$2:$O$2525,'QUOTED PROJECTS-Current Year'!$Q$2:$Q$2525,"WON",'QUOTED PROJECTS-Current Year'!$K$2:$K$2525,"320",'QUOTED PROJECTS-Current Year'!$H$2:$H$2525,"VOLVO",'QUOTED PROJECTS-Current Year'!$R$2:$R$2525,"AUG")</f>
        <v>0</v>
      </c>
      <c r="L25" s="55"/>
      <c r="M25" s="141">
        <f>SUMIFS('QUOTED PROJECTS-Earlier Yr'!$O$2:$O$2598,'QUOTED PROJECTS-Earlier Yr'!$Q$2:$Q$2598,"WON",'QUOTED PROJECTS-Earlier Yr'!$K$2:$K$2598,"320",'QUOTED PROJECTS-Earlier Yr'!$H$2:$H$2598,"VOLVO",'QUOTED PROJECTS-Earlier Yr'!$R$2:$R$2598,"SEPT")+SUMIFS('QUOTED PROJECTS-Current Year'!$O$2:$O$2525,'QUOTED PROJECTS-Current Year'!$Q$2:$Q$2525,"WON",'QUOTED PROJECTS-Current Year'!$K$2:$K$2525,"320",'QUOTED PROJECTS-Current Year'!$H$2:$H$2525,"VOLVO",'QUOTED PROJECTS-Current Year'!$R$2:$R$2525,"SEPT")</f>
        <v>0</v>
      </c>
      <c r="N25" s="55"/>
      <c r="O25" s="141">
        <f>SUMIFS('QUOTED PROJECTS-Earlier Yr'!$O$2:$O$2598,'QUOTED PROJECTS-Earlier Yr'!$Q$2:$Q$2598,"WON",'QUOTED PROJECTS-Earlier Yr'!$K$2:$K$2598,"320",'QUOTED PROJECTS-Earlier Yr'!$H$2:$H$2598,"VOLVO",'QUOTED PROJECTS-Earlier Yr'!$R$2:$R$2598,"OCT")+SUMIFS('QUOTED PROJECTS-Current Year'!$O$2:$O$2525,'QUOTED PROJECTS-Current Year'!$Q$2:$Q$2525,"WON",'QUOTED PROJECTS-Current Year'!$K$2:$K$2525,"320",'QUOTED PROJECTS-Current Year'!$H$2:$H$2525,"VOLVO",'QUOTED PROJECTS-Current Year'!$R$2:$R$2525,"OCT")</f>
        <v>0</v>
      </c>
      <c r="P25" s="55"/>
      <c r="Q25" s="141">
        <f>SUMIFS('QUOTED PROJECTS-Earlier Yr'!$O$2:$O$2598,'QUOTED PROJECTS-Earlier Yr'!$Q$2:$Q$2598,"WON",'QUOTED PROJECTS-Earlier Yr'!$K$2:$K$2598,"320",'QUOTED PROJECTS-Earlier Yr'!$H$2:$H$2598,"VOLVO",'QUOTED PROJECTS-Earlier Yr'!$R$2:$R$2598,"NOV")+SUMIFS('QUOTED PROJECTS-Current Year'!$O$2:$O$2525,'QUOTED PROJECTS-Current Year'!$Q$2:$Q$2525,"WON",'QUOTED PROJECTS-Current Year'!$K$2:$K$2525,"320",'QUOTED PROJECTS-Current Year'!$H$2:$H$2525,"VOLVO",'QUOTED PROJECTS-Current Year'!$R$2:$R$2525,"NOV")</f>
        <v>0</v>
      </c>
      <c r="R25" s="55"/>
      <c r="S25" s="141">
        <f>SUMIFS('QUOTED PROJECTS-Earlier Yr'!$O$2:$O$2598,'QUOTED PROJECTS-Earlier Yr'!$Q$2:$Q$2598,"WON",'QUOTED PROJECTS-Earlier Yr'!$K$2:$K$2598,"320",'QUOTED PROJECTS-Earlier Yr'!$H$2:$H$2598,"VOLVO",'QUOTED PROJECTS-Earlier Yr'!$R$2:$R$2598,"DEC")+SUMIFS('QUOTED PROJECTS-Current Year'!$O$2:$O$2525,'QUOTED PROJECTS-Current Year'!$Q$2:$Q$2525,"WON",'QUOTED PROJECTS-Current Year'!$K$2:$K$2525,"320",'QUOTED PROJECTS-Current Year'!$H$2:$H$2525,"VOLVO",'QUOTED PROJECTS-Current Year'!$R$2:$R$2525,"DEC")</f>
        <v>0</v>
      </c>
      <c r="T25" s="55"/>
      <c r="U25" s="141">
        <f>SUMIFS('QUOTED PROJECTS-Earlier Yr'!$O$2:$O$2598,'QUOTED PROJECTS-Earlier Yr'!$Q$2:$Q$2598,"WON",'QUOTED PROJECTS-Earlier Yr'!$K$2:$K$2598,"320",'QUOTED PROJECTS-Earlier Yr'!$H$2:$H$2598,"VOLVO",'QUOTED PROJECTS-Earlier Yr'!$R$2:$R$2598,"JAN")+SUMIFS('QUOTED PROJECTS-Current Year'!$O$2:$O$2525,'QUOTED PROJECTS-Current Year'!$Q$2:$Q$2525,"WON",'QUOTED PROJECTS-Current Year'!$K$2:$K$2525,"320",'QUOTED PROJECTS-Current Year'!$H$2:$H$2525,"VOLVO",'QUOTED PROJECTS-Current Year'!$R$2:$R$2525,"JAN")</f>
        <v>0</v>
      </c>
      <c r="V25" s="55"/>
      <c r="W25" s="141">
        <f>SUMIFS('QUOTED PROJECTS-Earlier Yr'!$O$2:$O$2598,'QUOTED PROJECTS-Earlier Yr'!$Q$2:$Q$2598,"WON",'QUOTED PROJECTS-Earlier Yr'!$K$2:$K$2598,"320",'QUOTED PROJECTS-Earlier Yr'!$H$2:$H$2598,"VOLVO",'QUOTED PROJECTS-Earlier Yr'!$R$2:$R$2598,"FEB")+SUMIFS('QUOTED PROJECTS-Current Year'!$O$2:$O$2525,'QUOTED PROJECTS-Current Year'!$Q$2:$Q$2525,"WON",'QUOTED PROJECTS-Current Year'!$K$2:$K$2525,"320",'QUOTED PROJECTS-Current Year'!$H$2:$H$2525,"VOLVO",'QUOTED PROJECTS-Current Year'!$R$2:$R$2525,"FEB")</f>
        <v>0</v>
      </c>
      <c r="X25" s="55"/>
      <c r="Y25" s="141">
        <f>SUMIFS('QUOTED PROJECTS-Earlier Yr'!$O$2:$O$2598,'QUOTED PROJECTS-Earlier Yr'!$Q$2:$Q$2598,"WON",'QUOTED PROJECTS-Earlier Yr'!$K$2:$K$2598,"320",'QUOTED PROJECTS-Earlier Yr'!$H$2:$H$2598,"VOLVO",'QUOTED PROJECTS-Earlier Yr'!$R$2:$R$2598,"MAR")+SUMIFS('QUOTED PROJECTS-Current Year'!$O$2:$O$2525,'QUOTED PROJECTS-Current Year'!$Q$2:$Q$2525,"WON",'QUOTED PROJECTS-Current Year'!$K$2:$K$2525,"320",'QUOTED PROJECTS-Current Year'!$H$2:$H$2525,"VOLVO",'QUOTED PROJECTS-Current Year'!$R$2:$R$2525,"MAR")</f>
        <v>0</v>
      </c>
      <c r="Z25" s="57">
        <f t="shared" si="5"/>
        <v>0</v>
      </c>
      <c r="AA25" s="37">
        <f t="shared" si="5"/>
        <v>0</v>
      </c>
    </row>
    <row r="26" spans="1:27">
      <c r="A26" s="19">
        <v>380</v>
      </c>
      <c r="B26" s="55"/>
      <c r="C26" s="141">
        <f>SUMIFS('QUOTED PROJECTS-Earlier Yr'!$O$2:$O$2598,'QUOTED PROJECTS-Earlier Yr'!$Q$2:$Q$2598,"WON",'QUOTED PROJECTS-Earlier Yr'!$K$2:$K$2598,"380",'QUOTED PROJECTS-Earlier Yr'!$H$2:$H$2598,"VOLVO",'QUOTED PROJECTS-Earlier Yr'!$R$2:$R$2598,"APR")+SUMIFS('QUOTED PROJECTS-Current Year'!$O$2:$O$2525,'QUOTED PROJECTS-Current Year'!$Q$2:$Q$2525,"WON",'QUOTED PROJECTS-Current Year'!$K$2:$K$2525,"380",'QUOTED PROJECTS-Current Year'!$H$2:$H$2525,"VOLVO",'QUOTED PROJECTS-Current Year'!$R$2:$R$2525,"APR")</f>
        <v>0</v>
      </c>
      <c r="D26" s="55"/>
      <c r="E26" s="141">
        <f>SUMIFS('QUOTED PROJECTS-Earlier Yr'!$O$2:$O$2598,'QUOTED PROJECTS-Earlier Yr'!$Q$2:$Q$2598,"WON",'QUOTED PROJECTS-Earlier Yr'!$K$2:$K$2598,"380",'QUOTED PROJECTS-Earlier Yr'!$H$2:$H$2598,"VOLVO",'QUOTED PROJECTS-Earlier Yr'!$R$2:$R$2598,"MAY")+SUMIFS('QUOTED PROJECTS-Current Year'!$O$2:$O$2525,'QUOTED PROJECTS-Current Year'!$Q$2:$Q$2525,"WON",'QUOTED PROJECTS-Current Year'!$K$2:$K$2525,"380",'QUOTED PROJECTS-Current Year'!$H$2:$H$2525,"VOLVO",'QUOTED PROJECTS-Current Year'!$R$2:$R$2525,"MAY")</f>
        <v>0</v>
      </c>
      <c r="F26" s="55"/>
      <c r="G26" s="141">
        <f>SUMIFS('QUOTED PROJECTS-Earlier Yr'!$O$2:$O$2598,'QUOTED PROJECTS-Earlier Yr'!$Q$2:$Q$2598,"WON",'QUOTED PROJECTS-Earlier Yr'!$K$2:$K$2598,"380",'QUOTED PROJECTS-Earlier Yr'!$H$2:$H$2598,"VOLVO",'QUOTED PROJECTS-Earlier Yr'!$R$2:$R$2598,"JUN")+SUMIFS('QUOTED PROJECTS-Current Year'!$O$2:$O$2525,'QUOTED PROJECTS-Current Year'!$Q$2:$Q$2525,"WON",'QUOTED PROJECTS-Current Year'!$K$2:$K$2525,"380",'QUOTED PROJECTS-Current Year'!$H$2:$H$2525,"VOLVO",'QUOTED PROJECTS-Current Year'!$R$2:$R$2525,"JUN")</f>
        <v>0</v>
      </c>
      <c r="H26" s="55"/>
      <c r="I26" s="141">
        <f>SUMIFS('QUOTED PROJECTS-Earlier Yr'!$O$2:$O$2598,'QUOTED PROJECTS-Earlier Yr'!$Q$2:$Q$2598,"WON",'QUOTED PROJECTS-Earlier Yr'!$K$2:$K$2598,"380",'QUOTED PROJECTS-Earlier Yr'!$H$2:$H$2598,"VOLVO",'QUOTED PROJECTS-Earlier Yr'!$R$2:$R$2598,"JUL")+SUMIFS('QUOTED PROJECTS-Current Year'!$O$2:$O$2525,'QUOTED PROJECTS-Current Year'!$Q$2:$Q$2525,"WON",'QUOTED PROJECTS-Current Year'!$K$2:$K$2525,"380",'QUOTED PROJECTS-Current Year'!$H$2:$H$2525,"VOLVO",'QUOTED PROJECTS-Current Year'!$R$2:$R$2525,"JUL")</f>
        <v>0</v>
      </c>
      <c r="J26" s="55"/>
      <c r="K26" s="141">
        <f>SUMIFS('QUOTED PROJECTS-Earlier Yr'!$O$2:$O$2598,'QUOTED PROJECTS-Earlier Yr'!$Q$2:$Q$2598,"WON",'QUOTED PROJECTS-Earlier Yr'!$K$2:$K$2598,"380",'QUOTED PROJECTS-Earlier Yr'!$H$2:$H$2598,"VOLVO",'QUOTED PROJECTS-Earlier Yr'!$R$2:$R$2598,"AUG")+SUMIFS('QUOTED PROJECTS-Current Year'!$O$2:$O$2525,'QUOTED PROJECTS-Current Year'!$Q$2:$Q$2525,"WON",'QUOTED PROJECTS-Current Year'!$K$2:$K$2525,"380",'QUOTED PROJECTS-Current Year'!$H$2:$H$2525,"VOLVO",'QUOTED PROJECTS-Current Year'!$R$2:$R$2525,"AUG")</f>
        <v>0</v>
      </c>
      <c r="L26" s="55"/>
      <c r="M26" s="141">
        <f>SUMIFS('QUOTED PROJECTS-Earlier Yr'!$O$2:$O$2598,'QUOTED PROJECTS-Earlier Yr'!$Q$2:$Q$2598,"WON",'QUOTED PROJECTS-Earlier Yr'!$K$2:$K$2598,"380",'QUOTED PROJECTS-Earlier Yr'!$H$2:$H$2598,"VOLVO",'QUOTED PROJECTS-Earlier Yr'!$R$2:$R$2598,"SEPT")+SUMIFS('QUOTED PROJECTS-Current Year'!$O$2:$O$2525,'QUOTED PROJECTS-Current Year'!$Q$2:$Q$2525,"WON",'QUOTED PROJECTS-Current Year'!$K$2:$K$2525,"380",'QUOTED PROJECTS-Current Year'!$H$2:$H$2525,"VOLVO",'QUOTED PROJECTS-Current Year'!$R$2:$R$2525,"SEPT")</f>
        <v>0</v>
      </c>
      <c r="N26" s="55"/>
      <c r="O26" s="141">
        <f>SUMIFS('QUOTED PROJECTS-Earlier Yr'!$O$2:$O$2598,'QUOTED PROJECTS-Earlier Yr'!$Q$2:$Q$2598,"WON",'QUOTED PROJECTS-Earlier Yr'!$K$2:$K$2598,"380",'QUOTED PROJECTS-Earlier Yr'!$H$2:$H$2598,"VOLVO",'QUOTED PROJECTS-Earlier Yr'!$R$2:$R$2598,"OCT")+SUMIFS('QUOTED PROJECTS-Current Year'!$O$2:$O$2525,'QUOTED PROJECTS-Current Year'!$Q$2:$Q$2525,"WON",'QUOTED PROJECTS-Current Year'!$K$2:$K$2525,"380",'QUOTED PROJECTS-Current Year'!$H$2:$H$2525,"VOLVO",'QUOTED PROJECTS-Current Year'!$R$2:$R$2525,"OCT")</f>
        <v>0</v>
      </c>
      <c r="P26" s="55"/>
      <c r="Q26" s="141">
        <f>SUMIFS('QUOTED PROJECTS-Earlier Yr'!$O$2:$O$2598,'QUOTED PROJECTS-Earlier Yr'!$Q$2:$Q$2598,"WON",'QUOTED PROJECTS-Earlier Yr'!$K$2:$K$2598,"380",'QUOTED PROJECTS-Earlier Yr'!$H$2:$H$2598,"VOLVO",'QUOTED PROJECTS-Earlier Yr'!$R$2:$R$2598,"NOV")+SUMIFS('QUOTED PROJECTS-Current Year'!$O$2:$O$2525,'QUOTED PROJECTS-Current Year'!$Q$2:$Q$2525,"WON",'QUOTED PROJECTS-Current Year'!$K$2:$K$2525,"380",'QUOTED PROJECTS-Current Year'!$H$2:$H$2525,"VOLVO",'QUOTED PROJECTS-Current Year'!$R$2:$R$2525,"NOV")</f>
        <v>0</v>
      </c>
      <c r="R26" s="55"/>
      <c r="S26" s="141">
        <f>SUMIFS('QUOTED PROJECTS-Earlier Yr'!$O$2:$O$2598,'QUOTED PROJECTS-Earlier Yr'!$Q$2:$Q$2598,"WON",'QUOTED PROJECTS-Earlier Yr'!$K$2:$K$2598,"380",'QUOTED PROJECTS-Earlier Yr'!$H$2:$H$2598,"VOLVO",'QUOTED PROJECTS-Earlier Yr'!$R$2:$R$2598,"DEC")+SUMIFS('QUOTED PROJECTS-Current Year'!$O$2:$O$2525,'QUOTED PROJECTS-Current Year'!$Q$2:$Q$2525,"WON",'QUOTED PROJECTS-Current Year'!$K$2:$K$2525,"380",'QUOTED PROJECTS-Current Year'!$H$2:$H$2525,"VOLVO",'QUOTED PROJECTS-Current Year'!$R$2:$R$2525,"DEC")</f>
        <v>0</v>
      </c>
      <c r="T26" s="55"/>
      <c r="U26" s="141">
        <f>SUMIFS('QUOTED PROJECTS-Earlier Yr'!$O$2:$O$2598,'QUOTED PROJECTS-Earlier Yr'!$Q$2:$Q$2598,"WON",'QUOTED PROJECTS-Earlier Yr'!$K$2:$K$2598,"380",'QUOTED PROJECTS-Earlier Yr'!$H$2:$H$2598,"VOLVO",'QUOTED PROJECTS-Earlier Yr'!$R$2:$R$2598,"JAN")+SUMIFS('QUOTED PROJECTS-Current Year'!$O$2:$O$2525,'QUOTED PROJECTS-Current Year'!$Q$2:$Q$2525,"WON",'QUOTED PROJECTS-Current Year'!$K$2:$K$2525,"380",'QUOTED PROJECTS-Current Year'!$H$2:$H$2525,"VOLVO",'QUOTED PROJECTS-Current Year'!$R$2:$R$2525,"JAN")</f>
        <v>0</v>
      </c>
      <c r="V26" s="55"/>
      <c r="W26" s="141">
        <f>SUMIFS('QUOTED PROJECTS-Earlier Yr'!$O$2:$O$2598,'QUOTED PROJECTS-Earlier Yr'!$Q$2:$Q$2598,"WON",'QUOTED PROJECTS-Earlier Yr'!$K$2:$K$2598,"380",'QUOTED PROJECTS-Earlier Yr'!$H$2:$H$2598,"VOLVO",'QUOTED PROJECTS-Earlier Yr'!$R$2:$R$2598,"FEB")+SUMIFS('QUOTED PROJECTS-Current Year'!$O$2:$O$2525,'QUOTED PROJECTS-Current Year'!$Q$2:$Q$2525,"WON",'QUOTED PROJECTS-Current Year'!$K$2:$K$2525,"380",'QUOTED PROJECTS-Current Year'!$H$2:$H$2525,"VOLVO",'QUOTED PROJECTS-Current Year'!$R$2:$R$2525,"FEB")</f>
        <v>0</v>
      </c>
      <c r="X26" s="55"/>
      <c r="Y26" s="141">
        <f>SUMIFS('QUOTED PROJECTS-Earlier Yr'!$O$2:$O$2598,'QUOTED PROJECTS-Earlier Yr'!$Q$2:$Q$2598,"WON",'QUOTED PROJECTS-Earlier Yr'!$K$2:$K$2598,"380",'QUOTED PROJECTS-Earlier Yr'!$H$2:$H$2598,"VOLVO",'QUOTED PROJECTS-Earlier Yr'!$R$2:$R$2598,"MAR")+SUMIFS('QUOTED PROJECTS-Current Year'!$O$2:$O$2525,'QUOTED PROJECTS-Current Year'!$Q$2:$Q$2525,"WON",'QUOTED PROJECTS-Current Year'!$K$2:$K$2525,"380",'QUOTED PROJECTS-Current Year'!$H$2:$H$2525,"VOLVO",'QUOTED PROJECTS-Current Year'!$R$2:$R$2525,"MAR")</f>
        <v>0</v>
      </c>
      <c r="Z26" s="57">
        <f>B26+D26+F26+H26+J26+L26+N26+P26+R26+T26+V26+X26</f>
        <v>0</v>
      </c>
      <c r="AA26" s="37">
        <f>C26+E26+G26+I26+K26+M26+O26+Q26+S26+U26+W26+Y26</f>
        <v>0</v>
      </c>
    </row>
    <row r="27" spans="1:27">
      <c r="A27" s="19">
        <v>400</v>
      </c>
      <c r="B27" s="55"/>
      <c r="C27" s="141">
        <f>SUMIFS('QUOTED PROJECTS-Earlier Yr'!$O$2:$O$2598,'QUOTED PROJECTS-Earlier Yr'!$Q$2:$Q$2598,"WON",'QUOTED PROJECTS-Earlier Yr'!$K$2:$K$2598,"400",'QUOTED PROJECTS-Earlier Yr'!$H$2:$H$2598,"VOLVO",'QUOTED PROJECTS-Earlier Yr'!$R$2:$R$2598,"APR")+SUMIFS('QUOTED PROJECTS-Current Year'!$O$2:$O$2525,'QUOTED PROJECTS-Current Year'!$Q$2:$Q$2525,"WON",'QUOTED PROJECTS-Current Year'!$K$2:$K$2525,"400",'QUOTED PROJECTS-Current Year'!$H$2:$H$2525,"VOLVO",'QUOTED PROJECTS-Current Year'!$R$2:$R$2525,"APR")</f>
        <v>0</v>
      </c>
      <c r="D27" s="55"/>
      <c r="E27" s="141">
        <f>SUMIFS('QUOTED PROJECTS-Earlier Yr'!$O$2:$O$2598,'QUOTED PROJECTS-Earlier Yr'!$Q$2:$Q$2598,"WON",'QUOTED PROJECTS-Earlier Yr'!$K$2:$K$2598,"400",'QUOTED PROJECTS-Earlier Yr'!$H$2:$H$2598,"VOLVO",'QUOTED PROJECTS-Earlier Yr'!$R$2:$R$2598,"MAY")+SUMIFS('QUOTED PROJECTS-Current Year'!$O$2:$O$2525,'QUOTED PROJECTS-Current Year'!$Q$2:$Q$2525,"WON",'QUOTED PROJECTS-Current Year'!$K$2:$K$2525,"400",'QUOTED PROJECTS-Current Year'!$H$2:$H$2525,"VOLVO",'QUOTED PROJECTS-Current Year'!$R$2:$R$2525,"MAY")</f>
        <v>0</v>
      </c>
      <c r="F27" s="55"/>
      <c r="G27" s="141">
        <f>SUMIFS('QUOTED PROJECTS-Earlier Yr'!$O$2:$O$2598,'QUOTED PROJECTS-Earlier Yr'!$Q$2:$Q$2598,"WON",'QUOTED PROJECTS-Earlier Yr'!$K$2:$K$2598,"400",'QUOTED PROJECTS-Earlier Yr'!$H$2:$H$2598,"VOLVO",'QUOTED PROJECTS-Earlier Yr'!$R$2:$R$2598,"JUN")+SUMIFS('QUOTED PROJECTS-Current Year'!$O$2:$O$2525,'QUOTED PROJECTS-Current Year'!$Q$2:$Q$2525,"WON",'QUOTED PROJECTS-Current Year'!$K$2:$K$2525,"400",'QUOTED PROJECTS-Current Year'!$H$2:$H$2525,"VOLVO",'QUOTED PROJECTS-Current Year'!$R$2:$R$2525,"JUN")</f>
        <v>0</v>
      </c>
      <c r="H27" s="55"/>
      <c r="I27" s="141">
        <f>SUMIFS('QUOTED PROJECTS-Earlier Yr'!$O$2:$O$2598,'QUOTED PROJECTS-Earlier Yr'!$Q$2:$Q$2598,"WON",'QUOTED PROJECTS-Earlier Yr'!$K$2:$K$2598,"400",'QUOTED PROJECTS-Earlier Yr'!$H$2:$H$2598,"VOLVO",'QUOTED PROJECTS-Earlier Yr'!$R$2:$R$2598,"JUL")+SUMIFS('QUOTED PROJECTS-Current Year'!$O$2:$O$2525,'QUOTED PROJECTS-Current Year'!$Q$2:$Q$2525,"WON",'QUOTED PROJECTS-Current Year'!$K$2:$K$2525,"400",'QUOTED PROJECTS-Current Year'!$H$2:$H$2525,"VOLVO",'QUOTED PROJECTS-Current Year'!$R$2:$R$2525,"JUL")</f>
        <v>0</v>
      </c>
      <c r="J27" s="55"/>
      <c r="K27" s="141">
        <f>SUMIFS('QUOTED PROJECTS-Earlier Yr'!$O$2:$O$2598,'QUOTED PROJECTS-Earlier Yr'!$Q$2:$Q$2598,"WON",'QUOTED PROJECTS-Earlier Yr'!$K$2:$K$2598,"400",'QUOTED PROJECTS-Earlier Yr'!$H$2:$H$2598,"VOLVO",'QUOTED PROJECTS-Earlier Yr'!$R$2:$R$2598,"AUG")+SUMIFS('QUOTED PROJECTS-Current Year'!$O$2:$O$2525,'QUOTED PROJECTS-Current Year'!$Q$2:$Q$2525,"WON",'QUOTED PROJECTS-Current Year'!$K$2:$K$2525,"400",'QUOTED PROJECTS-Current Year'!$H$2:$H$2525,"VOLVO",'QUOTED PROJECTS-Current Year'!$R$2:$R$2525,"AUG")</f>
        <v>0</v>
      </c>
      <c r="L27" s="55"/>
      <c r="M27" s="141">
        <f>SUMIFS('QUOTED PROJECTS-Earlier Yr'!$O$2:$O$2598,'QUOTED PROJECTS-Earlier Yr'!$Q$2:$Q$2598,"WON",'QUOTED PROJECTS-Earlier Yr'!$K$2:$K$2598,"400",'QUOTED PROJECTS-Earlier Yr'!$H$2:$H$2598,"VOLVO",'QUOTED PROJECTS-Earlier Yr'!$R$2:$R$2598,"SEPT")+SUMIFS('QUOTED PROJECTS-Current Year'!$O$2:$O$2525,'QUOTED PROJECTS-Current Year'!$Q$2:$Q$2525,"WON",'QUOTED PROJECTS-Current Year'!$K$2:$K$2525,"400",'QUOTED PROJECTS-Current Year'!$H$2:$H$2525,"VOLVO",'QUOTED PROJECTS-Current Year'!$R$2:$R$2525,"SEPT")</f>
        <v>0</v>
      </c>
      <c r="N27" s="55"/>
      <c r="O27" s="141">
        <f>SUMIFS('QUOTED PROJECTS-Earlier Yr'!$O$2:$O$2598,'QUOTED PROJECTS-Earlier Yr'!$Q$2:$Q$2598,"WON",'QUOTED PROJECTS-Earlier Yr'!$K$2:$K$2598,"400",'QUOTED PROJECTS-Earlier Yr'!$H$2:$H$2598,"VOLVO",'QUOTED PROJECTS-Earlier Yr'!$R$2:$R$2598,"OCT")+SUMIFS('QUOTED PROJECTS-Current Year'!$O$2:$O$2525,'QUOTED PROJECTS-Current Year'!$Q$2:$Q$2525,"WON",'QUOTED PROJECTS-Current Year'!$K$2:$K$2525,"400",'QUOTED PROJECTS-Current Year'!$H$2:$H$2525,"VOLVO",'QUOTED PROJECTS-Current Year'!$R$2:$R$2525,"OCT")</f>
        <v>0</v>
      </c>
      <c r="P27" s="55"/>
      <c r="Q27" s="141">
        <f>SUMIFS('QUOTED PROJECTS-Earlier Yr'!$O$2:$O$2598,'QUOTED PROJECTS-Earlier Yr'!$Q$2:$Q$2598,"WON",'QUOTED PROJECTS-Earlier Yr'!$K$2:$K$2598,"400",'QUOTED PROJECTS-Earlier Yr'!$H$2:$H$2598,"VOLVO",'QUOTED PROJECTS-Earlier Yr'!$R$2:$R$2598,"NOV")+SUMIFS('QUOTED PROJECTS-Current Year'!$O$2:$O$2525,'QUOTED PROJECTS-Current Year'!$Q$2:$Q$2525,"WON",'QUOTED PROJECTS-Current Year'!$K$2:$K$2525,"400",'QUOTED PROJECTS-Current Year'!$H$2:$H$2525,"VOLVO",'QUOTED PROJECTS-Current Year'!$R$2:$R$2525,"NOV")</f>
        <v>0</v>
      </c>
      <c r="R27" s="55"/>
      <c r="S27" s="141">
        <f>SUMIFS('QUOTED PROJECTS-Earlier Yr'!$O$2:$O$2598,'QUOTED PROJECTS-Earlier Yr'!$Q$2:$Q$2598,"WON",'QUOTED PROJECTS-Earlier Yr'!$K$2:$K$2598,"400",'QUOTED PROJECTS-Earlier Yr'!$H$2:$H$2598,"VOLVO",'QUOTED PROJECTS-Earlier Yr'!$R$2:$R$2598,"DEC")+SUMIFS('QUOTED PROJECTS-Current Year'!$O$2:$O$2525,'QUOTED PROJECTS-Current Year'!$Q$2:$Q$2525,"WON",'QUOTED PROJECTS-Current Year'!$K$2:$K$2525,"400",'QUOTED PROJECTS-Current Year'!$H$2:$H$2525,"VOLVO",'QUOTED PROJECTS-Current Year'!$R$2:$R$2525,"DEC")</f>
        <v>0</v>
      </c>
      <c r="T27" s="55"/>
      <c r="U27" s="141">
        <f>SUMIFS('QUOTED PROJECTS-Earlier Yr'!$O$2:$O$2598,'QUOTED PROJECTS-Earlier Yr'!$Q$2:$Q$2598,"WON",'QUOTED PROJECTS-Earlier Yr'!$K$2:$K$2598,"400",'QUOTED PROJECTS-Earlier Yr'!$H$2:$H$2598,"VOLVO",'QUOTED PROJECTS-Earlier Yr'!$R$2:$R$2598,"JAN")+SUMIFS('QUOTED PROJECTS-Current Year'!$O$2:$O$2525,'QUOTED PROJECTS-Current Year'!$Q$2:$Q$2525,"WON",'QUOTED PROJECTS-Current Year'!$K$2:$K$2525,"400",'QUOTED PROJECTS-Current Year'!$H$2:$H$2525,"VOLVO",'QUOTED PROJECTS-Current Year'!$R$2:$R$2525,"JAN")</f>
        <v>0</v>
      </c>
      <c r="V27" s="55"/>
      <c r="W27" s="141">
        <f>SUMIFS('QUOTED PROJECTS-Earlier Yr'!$O$2:$O$2598,'QUOTED PROJECTS-Earlier Yr'!$Q$2:$Q$2598,"WON",'QUOTED PROJECTS-Earlier Yr'!$K$2:$K$2598,"400",'QUOTED PROJECTS-Earlier Yr'!$H$2:$H$2598,"VOLVO",'QUOTED PROJECTS-Earlier Yr'!$R$2:$R$2598,"FEB")+SUMIFS('QUOTED PROJECTS-Current Year'!$O$2:$O$2525,'QUOTED PROJECTS-Current Year'!$Q$2:$Q$2525,"WON",'QUOTED PROJECTS-Current Year'!$K$2:$K$2525,"400",'QUOTED PROJECTS-Current Year'!$H$2:$H$2525,"VOLVO",'QUOTED PROJECTS-Current Year'!$R$2:$R$2525,"FEB")</f>
        <v>0</v>
      </c>
      <c r="X27" s="55"/>
      <c r="Y27" s="141">
        <f>SUMIFS('QUOTED PROJECTS-Earlier Yr'!$O$2:$O$2598,'QUOTED PROJECTS-Earlier Yr'!$Q$2:$Q$2598,"WON",'QUOTED PROJECTS-Earlier Yr'!$K$2:$K$2598,"400",'QUOTED PROJECTS-Earlier Yr'!$H$2:$H$2598,"VOLVO",'QUOTED PROJECTS-Earlier Yr'!$R$2:$R$2598,"MAR")+SUMIFS('QUOTED PROJECTS-Current Year'!$O$2:$O$2525,'QUOTED PROJECTS-Current Year'!$Q$2:$Q$2525,"WON",'QUOTED PROJECTS-Current Year'!$K$2:$K$2525,"400",'QUOTED PROJECTS-Current Year'!$H$2:$H$2525,"VOLVO",'QUOTED PROJECTS-Current Year'!$R$2:$R$2525,"MAR")</f>
        <v>0</v>
      </c>
      <c r="Z27" s="57">
        <f t="shared" si="5"/>
        <v>0</v>
      </c>
      <c r="AA27" s="37">
        <f t="shared" si="5"/>
        <v>0</v>
      </c>
    </row>
    <row r="28" spans="1:27">
      <c r="A28" s="19">
        <v>500</v>
      </c>
      <c r="B28" s="55"/>
      <c r="C28" s="141">
        <f>SUMIFS('QUOTED PROJECTS-Earlier Yr'!$O$2:$O$2598,'QUOTED PROJECTS-Earlier Yr'!$Q$2:$Q$2598,"WON",'QUOTED PROJECTS-Earlier Yr'!$K$2:$K$2598,"500",'QUOTED PROJECTS-Earlier Yr'!$H$2:$H$2598,"VOLVO",'QUOTED PROJECTS-Earlier Yr'!$R$2:$R$2598,"APR")+SUMIFS('QUOTED PROJECTS-Current Year'!$O$2:$O$2525,'QUOTED PROJECTS-Current Year'!$Q$2:$Q$2525,"WON",'QUOTED PROJECTS-Current Year'!$K$2:$K$2525,"500",'QUOTED PROJECTS-Current Year'!$H$2:$H$2525,"VOLVO",'QUOTED PROJECTS-Current Year'!$R$2:$R$2525,"APR")</f>
        <v>0</v>
      </c>
      <c r="D28" s="55"/>
      <c r="E28" s="141">
        <f>SUMIFS('QUOTED PROJECTS-Earlier Yr'!$O$2:$O$2598,'QUOTED PROJECTS-Earlier Yr'!$Q$2:$Q$2598,"WON",'QUOTED PROJECTS-Earlier Yr'!$K$2:$K$2598,"500",'QUOTED PROJECTS-Earlier Yr'!$H$2:$H$2598,"VOLVO",'QUOTED PROJECTS-Earlier Yr'!$R$2:$R$2598,"MAY")+SUMIFS('QUOTED PROJECTS-Current Year'!$O$2:$O$2525,'QUOTED PROJECTS-Current Year'!$Q$2:$Q$2525,"WON",'QUOTED PROJECTS-Current Year'!$K$2:$K$2525,"500",'QUOTED PROJECTS-Current Year'!$H$2:$H$2525,"VOLVO",'QUOTED PROJECTS-Current Year'!$R$2:$R$2525,"MAY")</f>
        <v>0</v>
      </c>
      <c r="F28" s="55"/>
      <c r="G28" s="141">
        <f>SUMIFS('QUOTED PROJECTS-Earlier Yr'!$O$2:$O$2598,'QUOTED PROJECTS-Earlier Yr'!$Q$2:$Q$2598,"WON",'QUOTED PROJECTS-Earlier Yr'!$K$2:$K$2598,"500",'QUOTED PROJECTS-Earlier Yr'!$H$2:$H$2598,"VOLVO",'QUOTED PROJECTS-Earlier Yr'!$R$2:$R$2598,"JUN")+SUMIFS('QUOTED PROJECTS-Current Year'!$O$2:$O$2525,'QUOTED PROJECTS-Current Year'!$Q$2:$Q$2525,"WON",'QUOTED PROJECTS-Current Year'!$K$2:$K$2525,"500",'QUOTED PROJECTS-Current Year'!$H$2:$H$2525,"VOLVO",'QUOTED PROJECTS-Current Year'!$R$2:$R$2525,"JUN")</f>
        <v>0</v>
      </c>
      <c r="H28" s="55"/>
      <c r="I28" s="141">
        <f>SUMIFS('QUOTED PROJECTS-Earlier Yr'!$O$2:$O$2598,'QUOTED PROJECTS-Earlier Yr'!$Q$2:$Q$2598,"WON",'QUOTED PROJECTS-Earlier Yr'!$K$2:$K$2598,"500",'QUOTED PROJECTS-Earlier Yr'!$H$2:$H$2598,"VOLVO",'QUOTED PROJECTS-Earlier Yr'!$R$2:$R$2598,"JUL")+SUMIFS('QUOTED PROJECTS-Current Year'!$O$2:$O$2525,'QUOTED PROJECTS-Current Year'!$Q$2:$Q$2525,"WON",'QUOTED PROJECTS-Current Year'!$K$2:$K$2525,"500",'QUOTED PROJECTS-Current Year'!$H$2:$H$2525,"VOLVO",'QUOTED PROJECTS-Current Year'!$R$2:$R$2525,"JUL")</f>
        <v>27.76548</v>
      </c>
      <c r="J28" s="55"/>
      <c r="K28" s="141">
        <f>SUMIFS('QUOTED PROJECTS-Earlier Yr'!$O$2:$O$2598,'QUOTED PROJECTS-Earlier Yr'!$Q$2:$Q$2598,"WON",'QUOTED PROJECTS-Earlier Yr'!$K$2:$K$2598,"500",'QUOTED PROJECTS-Earlier Yr'!$H$2:$H$2598,"VOLVO",'QUOTED PROJECTS-Earlier Yr'!$R$2:$R$2598,"AUG")+SUMIFS('QUOTED PROJECTS-Current Year'!$O$2:$O$2525,'QUOTED PROJECTS-Current Year'!$Q$2:$Q$2525,"WON",'QUOTED PROJECTS-Current Year'!$K$2:$K$2525,"500",'QUOTED PROJECTS-Current Year'!$H$2:$H$2525,"VOLVO",'QUOTED PROJECTS-Current Year'!$R$2:$R$2525,"AUG")</f>
        <v>0</v>
      </c>
      <c r="L28" s="55"/>
      <c r="M28" s="141">
        <f>SUMIFS('QUOTED PROJECTS-Earlier Yr'!$O$2:$O$2598,'QUOTED PROJECTS-Earlier Yr'!$Q$2:$Q$2598,"WON",'QUOTED PROJECTS-Earlier Yr'!$K$2:$K$2598,"500",'QUOTED PROJECTS-Earlier Yr'!$H$2:$H$2598,"VOLVO",'QUOTED PROJECTS-Earlier Yr'!$R$2:$R$2598,"SEPT")+SUMIFS('QUOTED PROJECTS-Current Year'!$O$2:$O$2525,'QUOTED PROJECTS-Current Year'!$Q$2:$Q$2525,"WON",'QUOTED PROJECTS-Current Year'!$K$2:$K$2525,"500",'QUOTED PROJECTS-Current Year'!$H$2:$H$2525,"VOLVO",'QUOTED PROJECTS-Current Year'!$R$2:$R$2525,"SEPT")</f>
        <v>0</v>
      </c>
      <c r="N28" s="55"/>
      <c r="O28" s="141">
        <f>SUMIFS('QUOTED PROJECTS-Earlier Yr'!$O$2:$O$2598,'QUOTED PROJECTS-Earlier Yr'!$Q$2:$Q$2598,"WON",'QUOTED PROJECTS-Earlier Yr'!$K$2:$K$2598,"500",'QUOTED PROJECTS-Earlier Yr'!$H$2:$H$2598,"VOLVO",'QUOTED PROJECTS-Earlier Yr'!$R$2:$R$2598,"OCT")+SUMIFS('QUOTED PROJECTS-Current Year'!$O$2:$O$2525,'QUOTED PROJECTS-Current Year'!$Q$2:$Q$2525,"WON",'QUOTED PROJECTS-Current Year'!$K$2:$K$2525,"500",'QUOTED PROJECTS-Current Year'!$H$2:$H$2525,"VOLVO",'QUOTED PROJECTS-Current Year'!$R$2:$R$2525,"OCT")</f>
        <v>0</v>
      </c>
      <c r="P28" s="55"/>
      <c r="Q28" s="141">
        <f>SUMIFS('QUOTED PROJECTS-Earlier Yr'!$O$2:$O$2598,'QUOTED PROJECTS-Earlier Yr'!$Q$2:$Q$2598,"WON",'QUOTED PROJECTS-Earlier Yr'!$K$2:$K$2598,"500",'QUOTED PROJECTS-Earlier Yr'!$H$2:$H$2598,"VOLVO",'QUOTED PROJECTS-Earlier Yr'!$R$2:$R$2598,"NOV")+SUMIFS('QUOTED PROJECTS-Current Year'!$O$2:$O$2525,'QUOTED PROJECTS-Current Year'!$Q$2:$Q$2525,"WON",'QUOTED PROJECTS-Current Year'!$K$2:$K$2525,"500",'QUOTED PROJECTS-Current Year'!$H$2:$H$2525,"VOLVO",'QUOTED PROJECTS-Current Year'!$R$2:$R$2525,"NOV")</f>
        <v>0</v>
      </c>
      <c r="R28" s="55"/>
      <c r="S28" s="141">
        <f>SUMIFS('QUOTED PROJECTS-Earlier Yr'!$O$2:$O$2598,'QUOTED PROJECTS-Earlier Yr'!$Q$2:$Q$2598,"WON",'QUOTED PROJECTS-Earlier Yr'!$K$2:$K$2598,"500",'QUOTED PROJECTS-Earlier Yr'!$H$2:$H$2598,"VOLVO",'QUOTED PROJECTS-Earlier Yr'!$R$2:$R$2598,"DEC")+SUMIFS('QUOTED PROJECTS-Current Year'!$O$2:$O$2525,'QUOTED PROJECTS-Current Year'!$Q$2:$Q$2525,"WON",'QUOTED PROJECTS-Current Year'!$K$2:$K$2525,"500",'QUOTED PROJECTS-Current Year'!$H$2:$H$2525,"VOLVO",'QUOTED PROJECTS-Current Year'!$R$2:$R$2525,"DEC")</f>
        <v>0</v>
      </c>
      <c r="T28" s="55"/>
      <c r="U28" s="141">
        <f>SUMIFS('QUOTED PROJECTS-Earlier Yr'!$O$2:$O$2598,'QUOTED PROJECTS-Earlier Yr'!$Q$2:$Q$2598,"WON",'QUOTED PROJECTS-Earlier Yr'!$K$2:$K$2598,"500",'QUOTED PROJECTS-Earlier Yr'!$H$2:$H$2598,"VOLVO",'QUOTED PROJECTS-Earlier Yr'!$R$2:$R$2598,"JAN")+SUMIFS('QUOTED PROJECTS-Current Year'!$O$2:$O$2525,'QUOTED PROJECTS-Current Year'!$Q$2:$Q$2525,"WON",'QUOTED PROJECTS-Current Year'!$K$2:$K$2525,"500",'QUOTED PROJECTS-Current Year'!$H$2:$H$2525,"VOLVO",'QUOTED PROJECTS-Current Year'!$R$2:$R$2525,"JAN")</f>
        <v>0</v>
      </c>
      <c r="V28" s="55"/>
      <c r="W28" s="141">
        <f>SUMIFS('QUOTED PROJECTS-Earlier Yr'!$O$2:$O$2598,'QUOTED PROJECTS-Earlier Yr'!$Q$2:$Q$2598,"WON",'QUOTED PROJECTS-Earlier Yr'!$K$2:$K$2598,"500",'QUOTED PROJECTS-Earlier Yr'!$H$2:$H$2598,"VOLVO",'QUOTED PROJECTS-Earlier Yr'!$R$2:$R$2598,"FEB")+SUMIFS('QUOTED PROJECTS-Current Year'!$O$2:$O$2525,'QUOTED PROJECTS-Current Year'!$Q$2:$Q$2525,"WON",'QUOTED PROJECTS-Current Year'!$K$2:$K$2525,"500",'QUOTED PROJECTS-Current Year'!$H$2:$H$2525,"VOLVO",'QUOTED PROJECTS-Current Year'!$R$2:$R$2525,"FEB")</f>
        <v>0</v>
      </c>
      <c r="X28" s="55"/>
      <c r="Y28" s="141">
        <f>SUMIFS('QUOTED PROJECTS-Earlier Yr'!$O$2:$O$2598,'QUOTED PROJECTS-Earlier Yr'!$Q$2:$Q$2598,"WON",'QUOTED PROJECTS-Earlier Yr'!$K$2:$K$2598,"500",'QUOTED PROJECTS-Earlier Yr'!$H$2:$H$2598,"VOLVO",'QUOTED PROJECTS-Earlier Yr'!$R$2:$R$2598,"MAR")+SUMIFS('QUOTED PROJECTS-Current Year'!$O$2:$O$2525,'QUOTED PROJECTS-Current Year'!$Q$2:$Q$2525,"WON",'QUOTED PROJECTS-Current Year'!$K$2:$K$2525,"500",'QUOTED PROJECTS-Current Year'!$H$2:$H$2525,"VOLVO",'QUOTED PROJECTS-Current Year'!$R$2:$R$2525,"MAR")</f>
        <v>0</v>
      </c>
      <c r="Z28" s="57">
        <f t="shared" si="5"/>
        <v>0</v>
      </c>
      <c r="AA28" s="37">
        <f t="shared" si="5"/>
        <v>27.76548</v>
      </c>
    </row>
    <row r="29" spans="1:27">
      <c r="A29" s="19">
        <v>600</v>
      </c>
      <c r="B29" s="55"/>
      <c r="C29" s="141">
        <f>SUMIFS('QUOTED PROJECTS-Earlier Yr'!$O$2:$O$2598,'QUOTED PROJECTS-Earlier Yr'!$Q$2:$Q$2598,"WON",'QUOTED PROJECTS-Earlier Yr'!$K$2:$K$2598,"600",'QUOTED PROJECTS-Earlier Yr'!$H$2:$H$2598,"VOLVO",'QUOTED PROJECTS-Earlier Yr'!$R$2:$R$2598,"APR")+SUMIFS('QUOTED PROJECTS-Current Year'!$O$2:$O$2525,'QUOTED PROJECTS-Current Year'!$Q$2:$Q$2525,"WON",'QUOTED PROJECTS-Current Year'!$K$2:$K$2525,"600",'QUOTED PROJECTS-Current Year'!$H$2:$H$2525,"VOLVO",'QUOTED PROJECTS-Current Year'!$R$2:$R$2525,"APR")</f>
        <v>0</v>
      </c>
      <c r="D29" s="55"/>
      <c r="E29" s="141">
        <f>SUMIFS('QUOTED PROJECTS-Earlier Yr'!$O$2:$O$2598,'QUOTED PROJECTS-Earlier Yr'!$Q$2:$Q$2598,"WON",'QUOTED PROJECTS-Earlier Yr'!$K$2:$K$2598,"600",'QUOTED PROJECTS-Earlier Yr'!$H$2:$H$2598,"VOLVO",'QUOTED PROJECTS-Earlier Yr'!$R$2:$R$2598,"MAY")+SUMIFS('QUOTED PROJECTS-Current Year'!$O$2:$O$2525,'QUOTED PROJECTS-Current Year'!$Q$2:$Q$2525,"WON",'QUOTED PROJECTS-Current Year'!$K$2:$K$2525,"600",'QUOTED PROJECTS-Current Year'!$H$2:$H$2525,"VOLVO",'QUOTED PROJECTS-Current Year'!$R$2:$R$2525,"MAY")</f>
        <v>0</v>
      </c>
      <c r="F29" s="55"/>
      <c r="G29" s="141">
        <f>SUMIFS('QUOTED PROJECTS-Earlier Yr'!$O$2:$O$2598,'QUOTED PROJECTS-Earlier Yr'!$Q$2:$Q$2598,"WON",'QUOTED PROJECTS-Earlier Yr'!$K$2:$K$2598,"600",'QUOTED PROJECTS-Earlier Yr'!$H$2:$H$2598,"VOLVO",'QUOTED PROJECTS-Earlier Yr'!$R$2:$R$2598,"JUN")+SUMIFS('QUOTED PROJECTS-Current Year'!$O$2:$O$2525,'QUOTED PROJECTS-Current Year'!$Q$2:$Q$2525,"WON",'QUOTED PROJECTS-Current Year'!$K$2:$K$2525,"600",'QUOTED PROJECTS-Current Year'!$H$2:$H$2525,"VOLVO",'QUOTED PROJECTS-Current Year'!$R$2:$R$2525,"JUN")</f>
        <v>0</v>
      </c>
      <c r="H29" s="55"/>
      <c r="I29" s="141">
        <f>SUMIFS('QUOTED PROJECTS-Earlier Yr'!$O$2:$O$2598,'QUOTED PROJECTS-Earlier Yr'!$Q$2:$Q$2598,"WON",'QUOTED PROJECTS-Earlier Yr'!$K$2:$K$2598,"600",'QUOTED PROJECTS-Earlier Yr'!$H$2:$H$2598,"VOLVO",'QUOTED PROJECTS-Earlier Yr'!$R$2:$R$2598,"JUL")+SUMIFS('QUOTED PROJECTS-Current Year'!$O$2:$O$2525,'QUOTED PROJECTS-Current Year'!$Q$2:$Q$2525,"WON",'QUOTED PROJECTS-Current Year'!$K$2:$K$2525,"600",'QUOTED PROJECTS-Current Year'!$H$2:$H$2525,"VOLVO",'QUOTED PROJECTS-Current Year'!$R$2:$R$2525,"JUL")</f>
        <v>38</v>
      </c>
      <c r="J29" s="55"/>
      <c r="K29" s="141">
        <f>SUMIFS('QUOTED PROJECTS-Earlier Yr'!$O$2:$O$2598,'QUOTED PROJECTS-Earlier Yr'!$Q$2:$Q$2598,"WON",'QUOTED PROJECTS-Earlier Yr'!$K$2:$K$2598,"600",'QUOTED PROJECTS-Earlier Yr'!$H$2:$H$2598,"VOLVO",'QUOTED PROJECTS-Earlier Yr'!$R$2:$R$2598,"AUG")+SUMIFS('QUOTED PROJECTS-Current Year'!$O$2:$O$2525,'QUOTED PROJECTS-Current Year'!$Q$2:$Q$2525,"WON",'QUOTED PROJECTS-Current Year'!$K$2:$K$2525,"600",'QUOTED PROJECTS-Current Year'!$H$2:$H$2525,"VOLVO",'QUOTED PROJECTS-Current Year'!$R$2:$R$2525,"AUG")</f>
        <v>80.5</v>
      </c>
      <c r="L29" s="55"/>
      <c r="M29" s="141">
        <f>SUMIFS('QUOTED PROJECTS-Earlier Yr'!$O$2:$O$2598,'QUOTED PROJECTS-Earlier Yr'!$Q$2:$Q$2598,"WON",'QUOTED PROJECTS-Earlier Yr'!$K$2:$K$2598,"600",'QUOTED PROJECTS-Earlier Yr'!$H$2:$H$2598,"VOLVO",'QUOTED PROJECTS-Earlier Yr'!$R$2:$R$2598,"SEPT")+SUMIFS('QUOTED PROJECTS-Current Year'!$O$2:$O$2525,'QUOTED PROJECTS-Current Year'!$Q$2:$Q$2525,"WON",'QUOTED PROJECTS-Current Year'!$K$2:$K$2525,"600",'QUOTED PROJECTS-Current Year'!$H$2:$H$2525,"VOLVO",'QUOTED PROJECTS-Current Year'!$R$2:$R$2525,"SEPT")</f>
        <v>0</v>
      </c>
      <c r="N29" s="55"/>
      <c r="O29" s="141">
        <f>SUMIFS('QUOTED PROJECTS-Earlier Yr'!$O$2:$O$2598,'QUOTED PROJECTS-Earlier Yr'!$Q$2:$Q$2598,"WON",'QUOTED PROJECTS-Earlier Yr'!$K$2:$K$2598,"600",'QUOTED PROJECTS-Earlier Yr'!$H$2:$H$2598,"VOLVO",'QUOTED PROJECTS-Earlier Yr'!$R$2:$R$2598,"OCT")+SUMIFS('QUOTED PROJECTS-Current Year'!$O$2:$O$2525,'QUOTED PROJECTS-Current Year'!$Q$2:$Q$2525,"WON",'QUOTED PROJECTS-Current Year'!$K$2:$K$2525,"600",'QUOTED PROJECTS-Current Year'!$H$2:$H$2525,"VOLVO",'QUOTED PROJECTS-Current Year'!$R$2:$R$2525,"OCT")</f>
        <v>0</v>
      </c>
      <c r="P29" s="55"/>
      <c r="Q29" s="141">
        <f>SUMIFS('QUOTED PROJECTS-Earlier Yr'!$O$2:$O$2598,'QUOTED PROJECTS-Earlier Yr'!$Q$2:$Q$2598,"WON",'QUOTED PROJECTS-Earlier Yr'!$K$2:$K$2598,"600",'QUOTED PROJECTS-Earlier Yr'!$H$2:$H$2598,"VOLVO",'QUOTED PROJECTS-Earlier Yr'!$R$2:$R$2598,"NOV")+SUMIFS('QUOTED PROJECTS-Current Year'!$O$2:$O$2525,'QUOTED PROJECTS-Current Year'!$Q$2:$Q$2525,"WON",'QUOTED PROJECTS-Current Year'!$K$2:$K$2525,"600",'QUOTED PROJECTS-Current Year'!$H$2:$H$2525,"VOLVO",'QUOTED PROJECTS-Current Year'!$R$2:$R$2525,"NOV")</f>
        <v>0</v>
      </c>
      <c r="R29" s="55">
        <v>0</v>
      </c>
      <c r="S29" s="141">
        <f>SUMIFS('QUOTED PROJECTS-Earlier Yr'!$O$2:$O$2598,'QUOTED PROJECTS-Earlier Yr'!$Q$2:$Q$2598,"WON",'QUOTED PROJECTS-Earlier Yr'!$K$2:$K$2598,"600",'QUOTED PROJECTS-Earlier Yr'!$H$2:$H$2598,"VOLVO",'QUOTED PROJECTS-Earlier Yr'!$R$2:$R$2598,"DEC")+SUMIFS('QUOTED PROJECTS-Current Year'!$O$2:$O$2525,'QUOTED PROJECTS-Current Year'!$Q$2:$Q$2525,"WON",'QUOTED PROJECTS-Current Year'!$K$2:$K$2525,"600",'QUOTED PROJECTS-Current Year'!$H$2:$H$2525,"VOLVO",'QUOTED PROJECTS-Current Year'!$R$2:$R$2525,"DEC")</f>
        <v>0</v>
      </c>
      <c r="T29" s="55"/>
      <c r="U29" s="141">
        <f>SUMIFS('QUOTED PROJECTS-Earlier Yr'!$O$2:$O$2598,'QUOTED PROJECTS-Earlier Yr'!$Q$2:$Q$2598,"WON",'QUOTED PROJECTS-Earlier Yr'!$K$2:$K$2598,"600",'QUOTED PROJECTS-Earlier Yr'!$H$2:$H$2598,"VOLVO",'QUOTED PROJECTS-Earlier Yr'!$R$2:$R$2598,"JAN")+SUMIFS('QUOTED PROJECTS-Current Year'!$O$2:$O$2525,'QUOTED PROJECTS-Current Year'!$Q$2:$Q$2525,"WON",'QUOTED PROJECTS-Current Year'!$K$2:$K$2525,"600",'QUOTED PROJECTS-Current Year'!$H$2:$H$2525,"VOLVO",'QUOTED PROJECTS-Current Year'!$R$2:$R$2525,"JAN")</f>
        <v>0</v>
      </c>
      <c r="V29" s="55"/>
      <c r="W29" s="141">
        <f>SUMIFS('QUOTED PROJECTS-Earlier Yr'!$O$2:$O$2598,'QUOTED PROJECTS-Earlier Yr'!$Q$2:$Q$2598,"WON",'QUOTED PROJECTS-Earlier Yr'!$K$2:$K$2598,"600",'QUOTED PROJECTS-Earlier Yr'!$H$2:$H$2598,"VOLVO",'QUOTED PROJECTS-Earlier Yr'!$R$2:$R$2598,"FEB")+SUMIFS('QUOTED PROJECTS-Current Year'!$O$2:$O$2525,'QUOTED PROJECTS-Current Year'!$Q$2:$Q$2525,"WON",'QUOTED PROJECTS-Current Year'!$K$2:$K$2525,"600",'QUOTED PROJECTS-Current Year'!$H$2:$H$2525,"VOLVO",'QUOTED PROJECTS-Current Year'!$R$2:$R$2525,"FEB")</f>
        <v>0</v>
      </c>
      <c r="X29" s="55"/>
      <c r="Y29" s="141">
        <f>SUMIFS('QUOTED PROJECTS-Earlier Yr'!$O$2:$O$2598,'QUOTED PROJECTS-Earlier Yr'!$Q$2:$Q$2598,"WON",'QUOTED PROJECTS-Earlier Yr'!$K$2:$K$2598,"600",'QUOTED PROJECTS-Earlier Yr'!$H$2:$H$2598,"VOLVO",'QUOTED PROJECTS-Earlier Yr'!$R$2:$R$2598,"MAR")+SUMIFS('QUOTED PROJECTS-Current Year'!$O$2:$O$2525,'QUOTED PROJECTS-Current Year'!$Q$2:$Q$2525,"WON",'QUOTED PROJECTS-Current Year'!$K$2:$K$2525,"600",'QUOTED PROJECTS-Current Year'!$H$2:$H$2525,"VOLVO",'QUOTED PROJECTS-Current Year'!$R$2:$R$2525,"MAR")</f>
        <v>0</v>
      </c>
      <c r="Z29" s="57">
        <f>B29+D29+F29+H29+J29+L29+N29+P29+R29+T29+V29+X29</f>
        <v>0</v>
      </c>
      <c r="AA29" s="37">
        <f>C29+E29+G29+I29+K29+M29+O29+Q29+S29+U29+W29+Y29</f>
        <v>118.5</v>
      </c>
    </row>
    <row r="30" spans="1:27" ht="13.5" thickBot="1">
      <c r="A30" s="19">
        <v>630</v>
      </c>
      <c r="B30" s="55"/>
      <c r="C30" s="141">
        <f>SUMIFS('QUOTED PROJECTS-Earlier Yr'!$O$2:$O$2598,'QUOTED PROJECTS-Earlier Yr'!$Q$2:$Q$2598,"WON",'QUOTED PROJECTS-Earlier Yr'!$K$2:$K$2598,"630",'QUOTED PROJECTS-Earlier Yr'!$H$2:$H$2598,"VOLVO",'QUOTED PROJECTS-Earlier Yr'!$R$2:$R$2598,"APR")+SUMIFS('QUOTED PROJECTS-Current Year'!$O$2:$O$2525,'QUOTED PROJECTS-Current Year'!$Q$2:$Q$2525,"WON",'QUOTED PROJECTS-Current Year'!$K$2:$K$2525,"630",'QUOTED PROJECTS-Current Year'!$H$2:$H$2525,"VOLVO",'QUOTED PROJECTS-Current Year'!$R$2:$R$2525,"APR")</f>
        <v>0</v>
      </c>
      <c r="D30" s="55"/>
      <c r="E30" s="141">
        <f>SUMIFS('QUOTED PROJECTS-Earlier Yr'!$O$2:$O$2598,'QUOTED PROJECTS-Earlier Yr'!$Q$2:$Q$2598,"WON",'QUOTED PROJECTS-Earlier Yr'!$K$2:$K$2598,"630",'QUOTED PROJECTS-Earlier Yr'!$H$2:$H$2598,"VOLVO",'QUOTED PROJECTS-Earlier Yr'!$R$2:$R$2598,"MAY")+SUMIFS('QUOTED PROJECTS-Current Year'!$O$2:$O$2525,'QUOTED PROJECTS-Current Year'!$Q$2:$Q$2525,"WON",'QUOTED PROJECTS-Current Year'!$K$2:$K$2525,"630",'QUOTED PROJECTS-Current Year'!$H$2:$H$2525,"VOLVO",'QUOTED PROJECTS-Current Year'!$R$2:$R$2525,"MAY")</f>
        <v>0</v>
      </c>
      <c r="F30" s="55"/>
      <c r="G30" s="141">
        <f>SUMIFS('QUOTED PROJECTS-Earlier Yr'!$O$2:$O$2598,'QUOTED PROJECTS-Earlier Yr'!$Q$2:$Q$2598,"WON",'QUOTED PROJECTS-Earlier Yr'!$K$2:$K$2598,"630",'QUOTED PROJECTS-Earlier Yr'!$H$2:$H$2598,"VOLVO",'QUOTED PROJECTS-Earlier Yr'!$R$2:$R$2598,"JUN")+SUMIFS('QUOTED PROJECTS-Current Year'!$O$2:$O$2525,'QUOTED PROJECTS-Current Year'!$Q$2:$Q$2525,"WON",'QUOTED PROJECTS-Current Year'!$K$2:$K$2525,"630",'QUOTED PROJECTS-Current Year'!$H$2:$H$2525,"VOLVO",'QUOTED PROJECTS-Current Year'!$R$2:$R$2525,"JUN")</f>
        <v>0</v>
      </c>
      <c r="H30" s="55"/>
      <c r="I30" s="141">
        <f>SUMIFS('QUOTED PROJECTS-Earlier Yr'!$O$2:$O$2598,'QUOTED PROJECTS-Earlier Yr'!$Q$2:$Q$2598,"WON",'QUOTED PROJECTS-Earlier Yr'!$K$2:$K$2598,"630",'QUOTED PROJECTS-Earlier Yr'!$H$2:$H$2598,"VOLVO",'QUOTED PROJECTS-Earlier Yr'!$R$2:$R$2598,"JUL")+SUMIFS('QUOTED PROJECTS-Current Year'!$O$2:$O$2525,'QUOTED PROJECTS-Current Year'!$Q$2:$Q$2525,"WON",'QUOTED PROJECTS-Current Year'!$K$2:$K$2525,"630",'QUOTED PROJECTS-Current Year'!$H$2:$H$2525,"VOLVO",'QUOTED PROJECTS-Current Year'!$R$2:$R$2525,"JUL")</f>
        <v>0</v>
      </c>
      <c r="J30" s="55"/>
      <c r="K30" s="141">
        <f>SUMIFS('QUOTED PROJECTS-Earlier Yr'!$O$2:$O$2598,'QUOTED PROJECTS-Earlier Yr'!$Q$2:$Q$2598,"WON",'QUOTED PROJECTS-Earlier Yr'!$K$2:$K$2598,"630",'QUOTED PROJECTS-Earlier Yr'!$H$2:$H$2598,"VOLVO",'QUOTED PROJECTS-Earlier Yr'!$R$2:$R$2598,"AUG")+SUMIFS('QUOTED PROJECTS-Current Year'!$O$2:$O$2525,'QUOTED PROJECTS-Current Year'!$Q$2:$Q$2525,"WON",'QUOTED PROJECTS-Current Year'!$K$2:$K$2525,"630",'QUOTED PROJECTS-Current Year'!$H$2:$H$2525,"VOLVO",'QUOTED PROJECTS-Current Year'!$R$2:$R$2525,"AUG")</f>
        <v>0</v>
      </c>
      <c r="L30" s="55"/>
      <c r="M30" s="141">
        <f>SUMIFS('QUOTED PROJECTS-Earlier Yr'!$O$2:$O$2598,'QUOTED PROJECTS-Earlier Yr'!$Q$2:$Q$2598,"WON",'QUOTED PROJECTS-Earlier Yr'!$K$2:$K$2598,"630",'QUOTED PROJECTS-Earlier Yr'!$H$2:$H$2598,"VOLVO",'QUOTED PROJECTS-Earlier Yr'!$R$2:$R$2598,"SEPT")+SUMIFS('QUOTED PROJECTS-Current Year'!$O$2:$O$2525,'QUOTED PROJECTS-Current Year'!$Q$2:$Q$2525,"WON",'QUOTED PROJECTS-Current Year'!$K$2:$K$2525,"630",'QUOTED PROJECTS-Current Year'!$H$2:$H$2525,"VOLVO",'QUOTED PROJECTS-Current Year'!$R$2:$R$2525,"SEPT")</f>
        <v>0</v>
      </c>
      <c r="N30" s="55"/>
      <c r="O30" s="141">
        <f>SUMIFS('QUOTED PROJECTS-Earlier Yr'!$O$2:$O$2598,'QUOTED PROJECTS-Earlier Yr'!$Q$2:$Q$2598,"WON",'QUOTED PROJECTS-Earlier Yr'!$K$2:$K$2598,"630",'QUOTED PROJECTS-Earlier Yr'!$H$2:$H$2598,"VOLVO",'QUOTED PROJECTS-Earlier Yr'!$R$2:$R$2598,"OCT")+SUMIFS('QUOTED PROJECTS-Current Year'!$O$2:$O$2525,'QUOTED PROJECTS-Current Year'!$Q$2:$Q$2525,"WON",'QUOTED PROJECTS-Current Year'!$K$2:$K$2525,"630",'QUOTED PROJECTS-Current Year'!$H$2:$H$2525,"VOLVO",'QUOTED PROJECTS-Current Year'!$R$2:$R$2525,"OCT")</f>
        <v>0</v>
      </c>
      <c r="P30" s="55"/>
      <c r="Q30" s="141">
        <f>SUMIFS('QUOTED PROJECTS-Earlier Yr'!$O$2:$O$2598,'QUOTED PROJECTS-Earlier Yr'!$Q$2:$Q$2598,"WON",'QUOTED PROJECTS-Earlier Yr'!$K$2:$K$2598,"630",'QUOTED PROJECTS-Earlier Yr'!$H$2:$H$2598,"VOLVO",'QUOTED PROJECTS-Earlier Yr'!$R$2:$R$2598,"NOV")+SUMIFS('QUOTED PROJECTS-Current Year'!$O$2:$O$2525,'QUOTED PROJECTS-Current Year'!$Q$2:$Q$2525,"WON",'QUOTED PROJECTS-Current Year'!$K$2:$K$2525,"630",'QUOTED PROJECTS-Current Year'!$H$2:$H$2525,"VOLVO",'QUOTED PROJECTS-Current Year'!$R$2:$R$2525,"NOV")</f>
        <v>0</v>
      </c>
      <c r="R30" s="55"/>
      <c r="S30" s="141">
        <f>SUMIFS('QUOTED PROJECTS-Earlier Yr'!$O$2:$O$2598,'QUOTED PROJECTS-Earlier Yr'!$Q$2:$Q$2598,"WON",'QUOTED PROJECTS-Earlier Yr'!$K$2:$K$2598,"630",'QUOTED PROJECTS-Earlier Yr'!$H$2:$H$2598,"VOLVO",'QUOTED PROJECTS-Earlier Yr'!$R$2:$R$2598,"DEC")+SUMIFS('QUOTED PROJECTS-Current Year'!$O$2:$O$2525,'QUOTED PROJECTS-Current Year'!$Q$2:$Q$2525,"WON",'QUOTED PROJECTS-Current Year'!$K$2:$K$2525,"630",'QUOTED PROJECTS-Current Year'!$H$2:$H$2525,"VOLVO",'QUOTED PROJECTS-Current Year'!$R$2:$R$2525,"DEC")</f>
        <v>0</v>
      </c>
      <c r="T30" s="55"/>
      <c r="U30" s="141">
        <f>SUMIFS('QUOTED PROJECTS-Earlier Yr'!$O$2:$O$2598,'QUOTED PROJECTS-Earlier Yr'!$Q$2:$Q$2598,"WON",'QUOTED PROJECTS-Earlier Yr'!$K$2:$K$2598,"630",'QUOTED PROJECTS-Earlier Yr'!$H$2:$H$2598,"VOLVO",'QUOTED PROJECTS-Earlier Yr'!$R$2:$R$2598,"JAN")+SUMIFS('QUOTED PROJECTS-Current Year'!$O$2:$O$2525,'QUOTED PROJECTS-Current Year'!$Q$2:$Q$2525,"WON",'QUOTED PROJECTS-Current Year'!$K$2:$K$2525,"630",'QUOTED PROJECTS-Current Year'!$H$2:$H$2525,"VOLVO",'QUOTED PROJECTS-Current Year'!$R$2:$R$2525,"JAN")</f>
        <v>0</v>
      </c>
      <c r="V30" s="55"/>
      <c r="W30" s="141">
        <f>SUMIFS('QUOTED PROJECTS-Earlier Yr'!$O$2:$O$2598,'QUOTED PROJECTS-Earlier Yr'!$Q$2:$Q$2598,"WON",'QUOTED PROJECTS-Earlier Yr'!$K$2:$K$2598,"630",'QUOTED PROJECTS-Earlier Yr'!$H$2:$H$2598,"VOLVO",'QUOTED PROJECTS-Earlier Yr'!$R$2:$R$2598,"FEB")+SUMIFS('QUOTED PROJECTS-Current Year'!$O$2:$O$2525,'QUOTED PROJECTS-Current Year'!$Q$2:$Q$2525,"WON",'QUOTED PROJECTS-Current Year'!$K$2:$K$2525,"630",'QUOTED PROJECTS-Current Year'!$H$2:$H$2525,"VOLVO",'QUOTED PROJECTS-Current Year'!$R$2:$R$2525,"FEB")</f>
        <v>0</v>
      </c>
      <c r="X30" s="55"/>
      <c r="Y30" s="141">
        <f>SUMIFS('QUOTED PROJECTS-Earlier Yr'!$O$2:$O$2598,'QUOTED PROJECTS-Earlier Yr'!$Q$2:$Q$2598,"WON",'QUOTED PROJECTS-Earlier Yr'!$K$2:$K$2598,"630",'QUOTED PROJECTS-Earlier Yr'!$H$2:$H$2598,"VOLVO",'QUOTED PROJECTS-Earlier Yr'!$R$2:$R$2598,"MAR")+SUMIFS('QUOTED PROJECTS-Current Year'!$O$2:$O$2525,'QUOTED PROJECTS-Current Year'!$Q$2:$Q$2525,"WON",'QUOTED PROJECTS-Current Year'!$K$2:$K$2525,"630",'QUOTED PROJECTS-Current Year'!$H$2:$H$2525,"VOLVO",'QUOTED PROJECTS-Current Year'!$R$2:$R$2525,"MAR")</f>
        <v>0</v>
      </c>
      <c r="Z30" s="62">
        <f t="shared" si="5"/>
        <v>0</v>
      </c>
      <c r="AA30" s="39">
        <f t="shared" si="5"/>
        <v>0</v>
      </c>
    </row>
    <row r="31" spans="1:27" s="1" customFormat="1" ht="14.25" thickTop="1" thickBot="1">
      <c r="A31" s="1" t="s">
        <v>66</v>
      </c>
      <c r="B31" s="60">
        <f t="shared" ref="B31:Y31" si="6">SUM(B24:B30)</f>
        <v>0</v>
      </c>
      <c r="C31" s="41">
        <f t="shared" si="6"/>
        <v>0</v>
      </c>
      <c r="D31" s="59">
        <f t="shared" si="6"/>
        <v>0</v>
      </c>
      <c r="E31" s="41">
        <f t="shared" si="6"/>
        <v>0</v>
      </c>
      <c r="F31" s="59">
        <f t="shared" si="6"/>
        <v>0</v>
      </c>
      <c r="G31" s="41">
        <f t="shared" si="6"/>
        <v>0</v>
      </c>
      <c r="H31" s="59">
        <f t="shared" si="6"/>
        <v>0</v>
      </c>
      <c r="I31" s="41">
        <f t="shared" si="6"/>
        <v>65.765479999999997</v>
      </c>
      <c r="J31" s="59">
        <f t="shared" si="6"/>
        <v>0</v>
      </c>
      <c r="K31" s="41">
        <f t="shared" si="6"/>
        <v>80.5</v>
      </c>
      <c r="L31" s="59">
        <f t="shared" si="6"/>
        <v>0</v>
      </c>
      <c r="M31" s="41">
        <f t="shared" si="6"/>
        <v>0</v>
      </c>
      <c r="N31" s="59">
        <f t="shared" si="6"/>
        <v>0</v>
      </c>
      <c r="O31" s="41">
        <f t="shared" si="6"/>
        <v>0</v>
      </c>
      <c r="P31" s="59">
        <f t="shared" si="6"/>
        <v>0</v>
      </c>
      <c r="Q31" s="41">
        <f t="shared" si="6"/>
        <v>0</v>
      </c>
      <c r="R31" s="59">
        <f t="shared" si="6"/>
        <v>0</v>
      </c>
      <c r="S31" s="41">
        <f t="shared" si="6"/>
        <v>0</v>
      </c>
      <c r="T31" s="59">
        <f t="shared" si="6"/>
        <v>0</v>
      </c>
      <c r="U31" s="41">
        <f t="shared" si="6"/>
        <v>0</v>
      </c>
      <c r="V31" s="59">
        <f t="shared" si="6"/>
        <v>0</v>
      </c>
      <c r="W31" s="41">
        <f t="shared" si="6"/>
        <v>0</v>
      </c>
      <c r="X31" s="59">
        <f t="shared" si="6"/>
        <v>0</v>
      </c>
      <c r="Y31" s="40">
        <f t="shared" si="6"/>
        <v>0</v>
      </c>
      <c r="Z31" s="63">
        <f t="shared" si="5"/>
        <v>0</v>
      </c>
      <c r="AA31" s="44">
        <f t="shared" si="5"/>
        <v>146.26548</v>
      </c>
    </row>
    <row r="32" spans="1:27" ht="13.5" thickTop="1">
      <c r="A32" s="1" t="s">
        <v>73</v>
      </c>
      <c r="B32" s="195"/>
      <c r="C32" s="196"/>
      <c r="D32" s="197"/>
      <c r="E32" s="196"/>
      <c r="F32" s="197"/>
      <c r="G32" s="196"/>
      <c r="H32" s="195"/>
      <c r="I32" s="198"/>
      <c r="J32" s="195"/>
      <c r="K32" s="196"/>
      <c r="L32" s="197"/>
      <c r="M32" s="196"/>
      <c r="N32" s="195"/>
      <c r="O32" s="198"/>
      <c r="P32" s="195"/>
      <c r="Q32" s="196"/>
      <c r="R32" s="197"/>
      <c r="S32" s="196"/>
      <c r="T32" s="195"/>
      <c r="U32" s="198"/>
      <c r="V32" s="195"/>
      <c r="W32" s="196"/>
      <c r="X32" s="197"/>
      <c r="Y32" s="196"/>
      <c r="Z32" s="199"/>
      <c r="AA32" s="200"/>
    </row>
    <row r="33" spans="1:27">
      <c r="A33" s="19">
        <v>125</v>
      </c>
      <c r="B33" s="55"/>
      <c r="C33" s="141">
        <f>SUMIFS('QUOTED PROJECTS-Earlier Yr'!$O$2:$O$2598,'QUOTED PROJECTS-Earlier Yr'!$Q$2:$Q$2598,"WON",'QUOTED PROJECTS-Earlier Yr'!$K$2:$K$2598,"125",'QUOTED PROJECTS-Earlier Yr'!$H$2:$H$2598,"MAXFORCE",'QUOTED PROJECTS-Earlier Yr'!$R$2:$R$2598,"APR")+SUMIFS('QUOTED PROJECTS-Current Year'!$O$2:$O$2525,'QUOTED PROJECTS-Current Year'!$Q$2:$Q$2525,"WON",'QUOTED PROJECTS-Current Year'!$K$2:$K$2525,"125",'QUOTED PROJECTS-Current Year'!$H$2:$H$2525,"MAXFORCE",'QUOTED PROJECTS-Current Year'!$R$2:$R$2525,"APR")</f>
        <v>0</v>
      </c>
      <c r="D33" s="55"/>
      <c r="E33" s="141">
        <f>SUMIFS('QUOTED PROJECTS-Earlier Yr'!$O$2:$O$2598,'QUOTED PROJECTS-Earlier Yr'!$Q$2:$Q$2598,"WON",'QUOTED PROJECTS-Earlier Yr'!$K$2:$K$2598,"125",'QUOTED PROJECTS-Earlier Yr'!$H$2:$H$2598,"MAXFORCE",'QUOTED PROJECTS-Earlier Yr'!$R$2:$R$2598,"MAY")+SUMIFS('QUOTED PROJECTS-Current Year'!$O$2:$O$2525,'QUOTED PROJECTS-Current Year'!$Q$2:$Q$2525,"WON",'QUOTED PROJECTS-Current Year'!$K$2:$K$2525,"125",'QUOTED PROJECTS-Current Year'!$H$2:$H$2525,"MAXFORCE",'QUOTED PROJECTS-Current Year'!$R$2:$R$2525,"MAY")</f>
        <v>0</v>
      </c>
      <c r="F33" s="55"/>
      <c r="G33" s="141">
        <f>SUMIFS('QUOTED PROJECTS-Earlier Yr'!$O$2:$O$2598,'QUOTED PROJECTS-Earlier Yr'!$Q$2:$Q$2598,"WON",'QUOTED PROJECTS-Earlier Yr'!$K$2:$K$2598,"125",'QUOTED PROJECTS-Earlier Yr'!$H$2:$H$2598,"MAXFORCE",'QUOTED PROJECTS-Earlier Yr'!$R$2:$R$2598,"JUN")+SUMIFS('QUOTED PROJECTS-Current Year'!$O$2:$O$2525,'QUOTED PROJECTS-Current Year'!$Q$2:$Q$2525,"WON",'QUOTED PROJECTS-Current Year'!$K$2:$K$2525,"125",'QUOTED PROJECTS-Current Year'!$H$2:$H$2525,"MAXFORCE",'QUOTED PROJECTS-Current Year'!$R$2:$R$2525,"JUN")</f>
        <v>0</v>
      </c>
      <c r="H33" s="55"/>
      <c r="I33" s="141">
        <f>SUMIFS('QUOTED PROJECTS-Earlier Yr'!$O$2:$O$2598,'QUOTED PROJECTS-Earlier Yr'!$Q$2:$Q$2598,"WON",'QUOTED PROJECTS-Earlier Yr'!$K$2:$K$2598,"125",'QUOTED PROJECTS-Earlier Yr'!$H$2:$H$2598,"MAXFORCE",'QUOTED PROJECTS-Earlier Yr'!$R$2:$R$2598,"JUL")+SUMIFS('QUOTED PROJECTS-Current Year'!$O$2:$O$2525,'QUOTED PROJECTS-Current Year'!$Q$2:$Q$2525,"WON",'QUOTED PROJECTS-Current Year'!$K$2:$K$2525,"125",'QUOTED PROJECTS-Current Year'!$H$2:$H$2525,"MAXFORCE",'QUOTED PROJECTS-Current Year'!$R$2:$R$2525,"JUL")</f>
        <v>0</v>
      </c>
      <c r="J33" s="55"/>
      <c r="K33" s="141">
        <f>SUMIFS('QUOTED PROJECTS-Earlier Yr'!$O$2:$O$2598,'QUOTED PROJECTS-Earlier Yr'!$Q$2:$Q$2598,"WON",'QUOTED PROJECTS-Earlier Yr'!$K$2:$K$2598,"125",'QUOTED PROJECTS-Earlier Yr'!$H$2:$H$2598,"MAXFORCE",'QUOTED PROJECTS-Earlier Yr'!$R$2:$R$2598,"AUG")+SUMIFS('QUOTED PROJECTS-Current Year'!$O$2:$O$2525,'QUOTED PROJECTS-Current Year'!$Q$2:$Q$2525,"WON",'QUOTED PROJECTS-Current Year'!$K$2:$K$2525,"125",'QUOTED PROJECTS-Current Year'!$H$2:$H$2525,"MAXFORCE",'QUOTED PROJECTS-Current Year'!$R$2:$R$2525,"AUG")</f>
        <v>0</v>
      </c>
      <c r="L33" s="55"/>
      <c r="M33" s="141">
        <f>SUMIFS('QUOTED PROJECTS-Earlier Yr'!$O$2:$O$2598,'QUOTED PROJECTS-Earlier Yr'!$Q$2:$Q$2598,"WON",'QUOTED PROJECTS-Earlier Yr'!$K$2:$K$2598,"125",'QUOTED PROJECTS-Earlier Yr'!$H$2:$H$2598,"MAXFORCE",'QUOTED PROJECTS-Earlier Yr'!$R$2:$R$2598,"SEPT")+SUMIFS('QUOTED PROJECTS-Current Year'!$O$2:$O$2525,'QUOTED PROJECTS-Current Year'!$Q$2:$Q$2525,"WON",'QUOTED PROJECTS-Current Year'!$K$2:$K$2525,"125",'QUOTED PROJECTS-Current Year'!$H$2:$H$2525,"MAXFORCE",'QUOTED PROJECTS-Current Year'!$R$2:$R$2525,"SEPT")</f>
        <v>0</v>
      </c>
      <c r="N33" s="55"/>
      <c r="O33" s="141">
        <f>SUMIFS('QUOTED PROJECTS-Earlier Yr'!$O$2:$O$2598,'QUOTED PROJECTS-Earlier Yr'!$Q$2:$Q$2598,"WON",'QUOTED PROJECTS-Earlier Yr'!$K$2:$K$2598,"125",'QUOTED PROJECTS-Earlier Yr'!$H$2:$H$2598,"MAXFORCE",'QUOTED PROJECTS-Earlier Yr'!$R$2:$R$2598,"OCT")+SUMIFS('QUOTED PROJECTS-Current Year'!$O$2:$O$2525,'QUOTED PROJECTS-Current Year'!$Q$2:$Q$2525,"WON",'QUOTED PROJECTS-Current Year'!$K$2:$K$2525,"125",'QUOTED PROJECTS-Current Year'!$H$2:$H$2525,"MAXFORCE",'QUOTED PROJECTS-Current Year'!$R$2:$R$2525,"OCT")</f>
        <v>0</v>
      </c>
      <c r="P33" s="55"/>
      <c r="Q33" s="141">
        <f>SUMIFS('QUOTED PROJECTS-Earlier Yr'!$O$2:$O$2598,'QUOTED PROJECTS-Earlier Yr'!$Q$2:$Q$2598,"WON",'QUOTED PROJECTS-Earlier Yr'!$K$2:$K$2598,"125",'QUOTED PROJECTS-Earlier Yr'!$H$2:$H$2598,"MAXFORCE",'QUOTED PROJECTS-Earlier Yr'!$R$2:$R$2598,"NOV")+SUMIFS('QUOTED PROJECTS-Current Year'!$O$2:$O$2525,'QUOTED PROJECTS-Current Year'!$Q$2:$Q$2525,"WON",'QUOTED PROJECTS-Current Year'!$K$2:$K$2525,"125",'QUOTED PROJECTS-Current Year'!$H$2:$H$2525,"MAXFORCE",'QUOTED PROJECTS-Current Year'!$R$2:$R$2525,"NOV")</f>
        <v>0</v>
      </c>
      <c r="R33" s="55"/>
      <c r="S33" s="141">
        <f>SUMIFS('QUOTED PROJECTS-Earlier Yr'!$O$2:$O$2598,'QUOTED PROJECTS-Earlier Yr'!$Q$2:$Q$2598,"WON",'QUOTED PROJECTS-Earlier Yr'!$K$2:$K$2598,"125",'QUOTED PROJECTS-Earlier Yr'!$H$2:$H$2598,"MAXFORCE",'QUOTED PROJECTS-Earlier Yr'!$R$2:$R$2598,"DEC")+SUMIFS('QUOTED PROJECTS-Current Year'!$O$2:$O$2525,'QUOTED PROJECTS-Current Year'!$Q$2:$Q$2525,"WON",'QUOTED PROJECTS-Current Year'!$K$2:$K$2525,"125",'QUOTED PROJECTS-Current Year'!$H$2:$H$2525,"MAXFORCE",'QUOTED PROJECTS-Current Year'!$R$2:$R$2525,"DEC")</f>
        <v>0</v>
      </c>
      <c r="T33" s="55"/>
      <c r="U33" s="141">
        <f>SUMIFS('QUOTED PROJECTS-Earlier Yr'!$O$2:$O$2598,'QUOTED PROJECTS-Earlier Yr'!$Q$2:$Q$2598,"WON",'QUOTED PROJECTS-Earlier Yr'!$K$2:$K$2598,"125",'QUOTED PROJECTS-Earlier Yr'!$H$2:$H$2598,"MAXFORCE",'QUOTED PROJECTS-Earlier Yr'!$R$2:$R$2598,"JAN")+SUMIFS('QUOTED PROJECTS-Current Year'!$O$2:$O$2525,'QUOTED PROJECTS-Current Year'!$Q$2:$Q$2525,"WON",'QUOTED PROJECTS-Current Year'!$K$2:$K$2525,"125",'QUOTED PROJECTS-Current Year'!$H$2:$H$2525,"MAXFORCE",'QUOTED PROJECTS-Current Year'!$R$2:$R$2525,"JAN")</f>
        <v>0</v>
      </c>
      <c r="V33" s="55"/>
      <c r="W33" s="141">
        <f>SUMIFS('QUOTED PROJECTS-Earlier Yr'!$O$2:$O$2598,'QUOTED PROJECTS-Earlier Yr'!$Q$2:$Q$2598,"WON",'QUOTED PROJECTS-Earlier Yr'!$K$2:$K$2598,"125",'QUOTED PROJECTS-Earlier Yr'!$H$2:$H$2598,"MAXFORCE",'QUOTED PROJECTS-Earlier Yr'!$R$2:$R$2598,"FEB")+SUMIFS('QUOTED PROJECTS-Current Year'!$O$2:$O$2525,'QUOTED PROJECTS-Current Year'!$Q$2:$Q$2525,"WON",'QUOTED PROJECTS-Current Year'!$K$2:$K$2525,"125",'QUOTED PROJECTS-Current Year'!$H$2:$H$2525,"MAXFORCE",'QUOTED PROJECTS-Current Year'!$R$2:$R$2525,"FEB")</f>
        <v>0</v>
      </c>
      <c r="X33" s="55"/>
      <c r="Y33" s="141">
        <f>SUMIFS('QUOTED PROJECTS-Earlier Yr'!$O$2:$O$2598,'QUOTED PROJECTS-Earlier Yr'!$Q$2:$Q$2598,"WON",'QUOTED PROJECTS-Earlier Yr'!$K$2:$K$2598,"125",'QUOTED PROJECTS-Earlier Yr'!$H$2:$H$2598,"MAXFORCE",'QUOTED PROJECTS-Earlier Yr'!$R$2:$R$2598,"MAR")+SUMIFS('QUOTED PROJECTS-Current Year'!$O$2:$O$2525,'QUOTED PROJECTS-Current Year'!$Q$2:$Q$2525,"WON",'QUOTED PROJECTS-Current Year'!$K$2:$K$2525,"125",'QUOTED PROJECTS-Current Year'!$H$2:$H$2525,"MAXFORCE",'QUOTED PROJECTS-Current Year'!$R$2:$R$2525,"MAR")</f>
        <v>0</v>
      </c>
      <c r="Z33" s="57">
        <f t="shared" ref="Z33:AA38" si="7">B33+D33+F33+H33+J33+L33+N33+P33+R33+T33+V33+X33</f>
        <v>0</v>
      </c>
      <c r="AA33" s="37">
        <f t="shared" si="7"/>
        <v>0</v>
      </c>
    </row>
    <row r="34" spans="1:27">
      <c r="A34" s="19">
        <v>140</v>
      </c>
      <c r="B34" s="55"/>
      <c r="C34" s="141">
        <f>SUMIFS('QUOTED PROJECTS-Earlier Yr'!$O$2:$O$2598,'QUOTED PROJECTS-Earlier Yr'!$Q$2:$Q$2598,"WON",'QUOTED PROJECTS-Earlier Yr'!$K$2:$K$2598,"140",'QUOTED PROJECTS-Earlier Yr'!$H$2:$H$2598,"MAXFORCE",'QUOTED PROJECTS-Earlier Yr'!$R$2:$R$2598,"APR")+SUMIFS('QUOTED PROJECTS-Current Year'!$O$2:$O$2525,'QUOTED PROJECTS-Current Year'!$Q$2:$Q$2525,"WON",'QUOTED PROJECTS-Current Year'!$K$2:$K$2525,"140",'QUOTED PROJECTS-Current Year'!$H$2:$H$2525,"MAXFORCE",'QUOTED PROJECTS-Current Year'!$R$2:$R$2525,"APR")</f>
        <v>0</v>
      </c>
      <c r="D34" s="55"/>
      <c r="E34" s="141">
        <f>SUMIFS('QUOTED PROJECTS-Earlier Yr'!$O$2:$O$2598,'QUOTED PROJECTS-Earlier Yr'!$Q$2:$Q$2598,"WON",'QUOTED PROJECTS-Earlier Yr'!$K$2:$K$2598,"140",'QUOTED PROJECTS-Earlier Yr'!$H$2:$H$2598,"MAXFORCE",'QUOTED PROJECTS-Earlier Yr'!$R$2:$R$2598,"MAY")+SUMIFS('QUOTED PROJECTS-Current Year'!$O$2:$O$2525,'QUOTED PROJECTS-Current Year'!$Q$2:$Q$2525,"WON",'QUOTED PROJECTS-Current Year'!$K$2:$K$2525,"140",'QUOTED PROJECTS-Current Year'!$H$2:$H$2525,"MAXFORCE",'QUOTED PROJECTS-Current Year'!$R$2:$R$2525,"MAY")</f>
        <v>0</v>
      </c>
      <c r="F34" s="55"/>
      <c r="G34" s="141">
        <f>SUMIFS('QUOTED PROJECTS-Earlier Yr'!$O$2:$O$2598,'QUOTED PROJECTS-Earlier Yr'!$Q$2:$Q$2598,"WON",'QUOTED PROJECTS-Earlier Yr'!$K$2:$K$2598,"140",'QUOTED PROJECTS-Earlier Yr'!$H$2:$H$2598,"MAXFORCE",'QUOTED PROJECTS-Earlier Yr'!$R$2:$R$2598,"JUN")+SUMIFS('QUOTED PROJECTS-Current Year'!$O$2:$O$2525,'QUOTED PROJECTS-Current Year'!$Q$2:$Q$2525,"WON",'QUOTED PROJECTS-Current Year'!$K$2:$K$2525,"140",'QUOTED PROJECTS-Current Year'!$H$2:$H$2525,"MAXFORCE",'QUOTED PROJECTS-Current Year'!$R$2:$R$2525,"JUN")</f>
        <v>0</v>
      </c>
      <c r="H34" s="55"/>
      <c r="I34" s="141">
        <f>SUMIFS('QUOTED PROJECTS-Earlier Yr'!$O$2:$O$2598,'QUOTED PROJECTS-Earlier Yr'!$Q$2:$Q$2598,"WON",'QUOTED PROJECTS-Earlier Yr'!$K$2:$K$2598,"140",'QUOTED PROJECTS-Earlier Yr'!$H$2:$H$2598,"MAXFORCE",'QUOTED PROJECTS-Earlier Yr'!$R$2:$R$2598,"JUL")+SUMIFS('QUOTED PROJECTS-Current Year'!$O$2:$O$2525,'QUOTED PROJECTS-Current Year'!$Q$2:$Q$2525,"WON",'QUOTED PROJECTS-Current Year'!$K$2:$K$2525,"140",'QUOTED PROJECTS-Current Year'!$H$2:$H$2525,"MAXFORCE",'QUOTED PROJECTS-Current Year'!$R$2:$R$2525,"JUL")</f>
        <v>0</v>
      </c>
      <c r="J34" s="55"/>
      <c r="K34" s="141">
        <f>SUMIFS('QUOTED PROJECTS-Earlier Yr'!$O$2:$O$2598,'QUOTED PROJECTS-Earlier Yr'!$Q$2:$Q$2598,"WON",'QUOTED PROJECTS-Earlier Yr'!$K$2:$K$2598,"140",'QUOTED PROJECTS-Earlier Yr'!$H$2:$H$2598,"MAXFORCE",'QUOTED PROJECTS-Earlier Yr'!$R$2:$R$2598,"AUG")+SUMIFS('QUOTED PROJECTS-Current Year'!$O$2:$O$2525,'QUOTED PROJECTS-Current Year'!$Q$2:$Q$2525,"WON",'QUOTED PROJECTS-Current Year'!$K$2:$K$2525,"140",'QUOTED PROJECTS-Current Year'!$H$2:$H$2525,"MAXFORCE",'QUOTED PROJECTS-Current Year'!$R$2:$R$2525,"AUG")</f>
        <v>0</v>
      </c>
      <c r="L34" s="55"/>
      <c r="M34" s="141">
        <f>SUMIFS('QUOTED PROJECTS-Earlier Yr'!$O$2:$O$2598,'QUOTED PROJECTS-Earlier Yr'!$Q$2:$Q$2598,"WON",'QUOTED PROJECTS-Earlier Yr'!$K$2:$K$2598,"140",'QUOTED PROJECTS-Earlier Yr'!$H$2:$H$2598,"MAXFORCE",'QUOTED PROJECTS-Earlier Yr'!$R$2:$R$2598,"SEPT")+SUMIFS('QUOTED PROJECTS-Current Year'!$O$2:$O$2525,'QUOTED PROJECTS-Current Year'!$Q$2:$Q$2525,"WON",'QUOTED PROJECTS-Current Year'!$K$2:$K$2525,"140",'QUOTED PROJECTS-Current Year'!$H$2:$H$2525,"MAXFORCE",'QUOTED PROJECTS-Current Year'!$R$2:$R$2525,"SEPT")</f>
        <v>0</v>
      </c>
      <c r="N34" s="55"/>
      <c r="O34" s="141">
        <f>SUMIFS('QUOTED PROJECTS-Earlier Yr'!$O$2:$O$2598,'QUOTED PROJECTS-Earlier Yr'!$Q$2:$Q$2598,"WON",'QUOTED PROJECTS-Earlier Yr'!$K$2:$K$2598,"140",'QUOTED PROJECTS-Earlier Yr'!$H$2:$H$2598,"MAXFORCE",'QUOTED PROJECTS-Earlier Yr'!$R$2:$R$2598,"OCT")+SUMIFS('QUOTED PROJECTS-Current Year'!$O$2:$O$2525,'QUOTED PROJECTS-Current Year'!$Q$2:$Q$2525,"WON",'QUOTED PROJECTS-Current Year'!$K$2:$K$2525,"140",'QUOTED PROJECTS-Current Year'!$H$2:$H$2525,"MAXFORCE",'QUOTED PROJECTS-Current Year'!$R$2:$R$2525,"OCT")</f>
        <v>0</v>
      </c>
      <c r="P34" s="55"/>
      <c r="Q34" s="141">
        <f>SUMIFS('QUOTED PROJECTS-Earlier Yr'!$O$2:$O$2598,'QUOTED PROJECTS-Earlier Yr'!$Q$2:$Q$2598,"WON",'QUOTED PROJECTS-Earlier Yr'!$K$2:$K$2598,"140",'QUOTED PROJECTS-Earlier Yr'!$H$2:$H$2598,"MAXFORCE",'QUOTED PROJECTS-Earlier Yr'!$R$2:$R$2598,"NOV")+SUMIFS('QUOTED PROJECTS-Current Year'!$O$2:$O$2525,'QUOTED PROJECTS-Current Year'!$Q$2:$Q$2525,"WON",'QUOTED PROJECTS-Current Year'!$K$2:$K$2525,"140",'QUOTED PROJECTS-Current Year'!$H$2:$H$2525,"MAXFORCE",'QUOTED PROJECTS-Current Year'!$R$2:$R$2525,"NOV")</f>
        <v>0</v>
      </c>
      <c r="R34" s="55"/>
      <c r="S34" s="141">
        <f>SUMIFS('QUOTED PROJECTS-Earlier Yr'!$O$2:$O$2598,'QUOTED PROJECTS-Earlier Yr'!$Q$2:$Q$2598,"WON",'QUOTED PROJECTS-Earlier Yr'!$K$2:$K$2598,"140",'QUOTED PROJECTS-Earlier Yr'!$H$2:$H$2598,"MAXFORCE",'QUOTED PROJECTS-Earlier Yr'!$R$2:$R$2598,"DEC")+SUMIFS('QUOTED PROJECTS-Current Year'!$O$2:$O$2525,'QUOTED PROJECTS-Current Year'!$Q$2:$Q$2525,"WON",'QUOTED PROJECTS-Current Year'!$K$2:$K$2525,"140",'QUOTED PROJECTS-Current Year'!$H$2:$H$2525,"MAXFORCE",'QUOTED PROJECTS-Current Year'!$R$2:$R$2525,"DEC")</f>
        <v>0</v>
      </c>
      <c r="T34" s="55"/>
      <c r="U34" s="141">
        <f>SUMIFS('QUOTED PROJECTS-Earlier Yr'!$O$2:$O$2598,'QUOTED PROJECTS-Earlier Yr'!$Q$2:$Q$2598,"WON",'QUOTED PROJECTS-Earlier Yr'!$K$2:$K$2598,"140",'QUOTED PROJECTS-Earlier Yr'!$H$2:$H$2598,"MAXFORCE",'QUOTED PROJECTS-Earlier Yr'!$R$2:$R$2598,"JAN")+SUMIFS('QUOTED PROJECTS-Current Year'!$O$2:$O$2525,'QUOTED PROJECTS-Current Year'!$Q$2:$Q$2525,"WON",'QUOTED PROJECTS-Current Year'!$K$2:$K$2525,"140",'QUOTED PROJECTS-Current Year'!$H$2:$H$2525,"MAXFORCE",'QUOTED PROJECTS-Current Year'!$R$2:$R$2525,"JAN")</f>
        <v>0</v>
      </c>
      <c r="V34" s="55"/>
      <c r="W34" s="141">
        <f>SUMIFS('QUOTED PROJECTS-Earlier Yr'!$O$2:$O$2598,'QUOTED PROJECTS-Earlier Yr'!$Q$2:$Q$2598,"WON",'QUOTED PROJECTS-Earlier Yr'!$K$2:$K$2598,"140",'QUOTED PROJECTS-Earlier Yr'!$H$2:$H$2598,"MAXFORCE",'QUOTED PROJECTS-Earlier Yr'!$R$2:$R$2598,"FEB")+SUMIFS('QUOTED PROJECTS-Current Year'!$O$2:$O$2525,'QUOTED PROJECTS-Current Year'!$Q$2:$Q$2525,"WON",'QUOTED PROJECTS-Current Year'!$K$2:$K$2525,"140",'QUOTED PROJECTS-Current Year'!$H$2:$H$2525,"MAXFORCE",'QUOTED PROJECTS-Current Year'!$R$2:$R$2525,"FEB")</f>
        <v>0</v>
      </c>
      <c r="X34" s="55"/>
      <c r="Y34" s="141">
        <f>SUMIFS('QUOTED PROJECTS-Earlier Yr'!$O$2:$O$2598,'QUOTED PROJECTS-Earlier Yr'!$Q$2:$Q$2598,"WON",'QUOTED PROJECTS-Earlier Yr'!$K$2:$K$2598,"140",'QUOTED PROJECTS-Earlier Yr'!$H$2:$H$2598,"MAXFORCE",'QUOTED PROJECTS-Earlier Yr'!$R$2:$R$2598,"MAR")+SUMIFS('QUOTED PROJECTS-Current Year'!$O$2:$O$2525,'QUOTED PROJECTS-Current Year'!$Q$2:$Q$2525,"WON",'QUOTED PROJECTS-Current Year'!$K$2:$K$2525,"140",'QUOTED PROJECTS-Current Year'!$H$2:$H$2525,"MAXFORCE",'QUOTED PROJECTS-Current Year'!$R$2:$R$2525,"MAR")</f>
        <v>0</v>
      </c>
      <c r="Z34" s="57">
        <f t="shared" si="7"/>
        <v>0</v>
      </c>
      <c r="AA34" s="37">
        <f t="shared" si="7"/>
        <v>0</v>
      </c>
    </row>
    <row r="35" spans="1:27">
      <c r="A35" s="19">
        <v>160</v>
      </c>
      <c r="B35" s="55"/>
      <c r="C35" s="141">
        <f>SUMIFS('QUOTED PROJECTS-Earlier Yr'!$O$2:$O$2598,'QUOTED PROJECTS-Earlier Yr'!$Q$2:$Q$2598,"WON",'QUOTED PROJECTS-Earlier Yr'!$K$2:$K$2598,"160",'QUOTED PROJECTS-Earlier Yr'!$H$2:$H$2598,"MAXFORCE",'QUOTED PROJECTS-Earlier Yr'!$R$2:$R$2598,"APR")+SUMIFS('QUOTED PROJECTS-Current Year'!$O$2:$O$2525,'QUOTED PROJECTS-Current Year'!$Q$2:$Q$2525,"WON",'QUOTED PROJECTS-Current Year'!$K$2:$K$2525,"160",'QUOTED PROJECTS-Current Year'!$H$2:$H$2525,"MAXFORCE",'QUOTED PROJECTS-Current Year'!$R$2:$R$2525,"APR")</f>
        <v>0</v>
      </c>
      <c r="D35" s="55"/>
      <c r="E35" s="141">
        <f>SUMIFS('QUOTED PROJECTS-Earlier Yr'!$O$2:$O$2598,'QUOTED PROJECTS-Earlier Yr'!$Q$2:$Q$2598,"WON",'QUOTED PROJECTS-Earlier Yr'!$K$2:$K$2598,"160",'QUOTED PROJECTS-Earlier Yr'!$H$2:$H$2598,"MAXFORCE",'QUOTED PROJECTS-Earlier Yr'!$R$2:$R$2598,"MAY")+SUMIFS('QUOTED PROJECTS-Current Year'!$O$2:$O$2525,'QUOTED PROJECTS-Current Year'!$Q$2:$Q$2525,"WON",'QUOTED PROJECTS-Current Year'!$K$2:$K$2525,"160",'QUOTED PROJECTS-Current Year'!$H$2:$H$2525,"MAXFORCE",'QUOTED PROJECTS-Current Year'!$R$2:$R$2525,"MAY")</f>
        <v>0</v>
      </c>
      <c r="F35" s="55"/>
      <c r="G35" s="141">
        <f>SUMIFS('QUOTED PROJECTS-Earlier Yr'!$O$2:$O$2598,'QUOTED PROJECTS-Earlier Yr'!$Q$2:$Q$2598,"WON",'QUOTED PROJECTS-Earlier Yr'!$K$2:$K$2598,"160",'QUOTED PROJECTS-Earlier Yr'!$H$2:$H$2598,"MAXFORCE",'QUOTED PROJECTS-Earlier Yr'!$R$2:$R$2598,"JUN")+SUMIFS('QUOTED PROJECTS-Current Year'!$O$2:$O$2525,'QUOTED PROJECTS-Current Year'!$Q$2:$Q$2525,"WON",'QUOTED PROJECTS-Current Year'!$K$2:$K$2525,"160",'QUOTED PROJECTS-Current Year'!$H$2:$H$2525,"MAXFORCE",'QUOTED PROJECTS-Current Year'!$R$2:$R$2525,"JUN")</f>
        <v>0</v>
      </c>
      <c r="H35" s="55"/>
      <c r="I35" s="141">
        <f>SUMIFS('QUOTED PROJECTS-Earlier Yr'!$O$2:$O$2598,'QUOTED PROJECTS-Earlier Yr'!$Q$2:$Q$2598,"WON",'QUOTED PROJECTS-Earlier Yr'!$K$2:$K$2598,"160",'QUOTED PROJECTS-Earlier Yr'!$H$2:$H$2598,"MAXFORCE",'QUOTED PROJECTS-Earlier Yr'!$R$2:$R$2598,"JUL")+SUMIFS('QUOTED PROJECTS-Current Year'!$O$2:$O$2525,'QUOTED PROJECTS-Current Year'!$Q$2:$Q$2525,"WON",'QUOTED PROJECTS-Current Year'!$K$2:$K$2525,"160",'QUOTED PROJECTS-Current Year'!$H$2:$H$2525,"MAXFORCE",'QUOTED PROJECTS-Current Year'!$R$2:$R$2525,"JUL")</f>
        <v>0</v>
      </c>
      <c r="J35" s="55"/>
      <c r="K35" s="141">
        <f>SUMIFS('QUOTED PROJECTS-Earlier Yr'!$O$2:$O$2598,'QUOTED PROJECTS-Earlier Yr'!$Q$2:$Q$2598,"WON",'QUOTED PROJECTS-Earlier Yr'!$K$2:$K$2598,"160",'QUOTED PROJECTS-Earlier Yr'!$H$2:$H$2598,"MAXFORCE",'QUOTED PROJECTS-Earlier Yr'!$R$2:$R$2598,"AUG")+SUMIFS('QUOTED PROJECTS-Current Year'!$O$2:$O$2525,'QUOTED PROJECTS-Current Year'!$Q$2:$Q$2525,"WON",'QUOTED PROJECTS-Current Year'!$K$2:$K$2525,"160",'QUOTED PROJECTS-Current Year'!$H$2:$H$2525,"MAXFORCE",'QUOTED PROJECTS-Current Year'!$R$2:$R$2525,"AUG")</f>
        <v>0</v>
      </c>
      <c r="L35" s="55"/>
      <c r="M35" s="141">
        <f>SUMIFS('QUOTED PROJECTS-Earlier Yr'!$O$2:$O$2598,'QUOTED PROJECTS-Earlier Yr'!$Q$2:$Q$2598,"WON",'QUOTED PROJECTS-Earlier Yr'!$K$2:$K$2598,"160",'QUOTED PROJECTS-Earlier Yr'!$H$2:$H$2598,"MAXFORCE",'QUOTED PROJECTS-Earlier Yr'!$R$2:$R$2598,"SEPT")+SUMIFS('QUOTED PROJECTS-Current Year'!$O$2:$O$2525,'QUOTED PROJECTS-Current Year'!$Q$2:$Q$2525,"WON",'QUOTED PROJECTS-Current Year'!$K$2:$K$2525,"160",'QUOTED PROJECTS-Current Year'!$H$2:$H$2525,"MAXFORCE",'QUOTED PROJECTS-Current Year'!$R$2:$R$2525,"SEPT")</f>
        <v>0</v>
      </c>
      <c r="N35" s="55"/>
      <c r="O35" s="141">
        <f>SUMIFS('QUOTED PROJECTS-Earlier Yr'!$O$2:$O$2598,'QUOTED PROJECTS-Earlier Yr'!$Q$2:$Q$2598,"WON",'QUOTED PROJECTS-Earlier Yr'!$K$2:$K$2598,"160",'QUOTED PROJECTS-Earlier Yr'!$H$2:$H$2598,"MAXFORCE",'QUOTED PROJECTS-Earlier Yr'!$R$2:$R$2598,"OCT")+SUMIFS('QUOTED PROJECTS-Current Year'!$O$2:$O$2525,'QUOTED PROJECTS-Current Year'!$Q$2:$Q$2525,"WON",'QUOTED PROJECTS-Current Year'!$K$2:$K$2525,"160",'QUOTED PROJECTS-Current Year'!$H$2:$H$2525,"MAXFORCE",'QUOTED PROJECTS-Current Year'!$R$2:$R$2525,"OCT")</f>
        <v>0</v>
      </c>
      <c r="P35" s="55"/>
      <c r="Q35" s="141">
        <f>SUMIFS('QUOTED PROJECTS-Earlier Yr'!$O$2:$O$2598,'QUOTED PROJECTS-Earlier Yr'!$Q$2:$Q$2598,"WON",'QUOTED PROJECTS-Earlier Yr'!$K$2:$K$2598,"160",'QUOTED PROJECTS-Earlier Yr'!$H$2:$H$2598,"MAXFORCE",'QUOTED PROJECTS-Earlier Yr'!$R$2:$R$2598,"NOV")+SUMIFS('QUOTED PROJECTS-Current Year'!$O$2:$O$2525,'QUOTED PROJECTS-Current Year'!$Q$2:$Q$2525,"WON",'QUOTED PROJECTS-Current Year'!$K$2:$K$2525,"160",'QUOTED PROJECTS-Current Year'!$H$2:$H$2525,"MAXFORCE",'QUOTED PROJECTS-Current Year'!$R$2:$R$2525,"NOV")</f>
        <v>0</v>
      </c>
      <c r="R35" s="55"/>
      <c r="S35" s="141">
        <f>SUMIFS('QUOTED PROJECTS-Earlier Yr'!$O$2:$O$2598,'QUOTED PROJECTS-Earlier Yr'!$Q$2:$Q$2598,"WON",'QUOTED PROJECTS-Earlier Yr'!$K$2:$K$2598,"160",'QUOTED PROJECTS-Earlier Yr'!$H$2:$H$2598,"MAXFORCE",'QUOTED PROJECTS-Earlier Yr'!$R$2:$R$2598,"DEC")+SUMIFS('QUOTED PROJECTS-Current Year'!$O$2:$O$2525,'QUOTED PROJECTS-Current Year'!$Q$2:$Q$2525,"WON",'QUOTED PROJECTS-Current Year'!$K$2:$K$2525,"160",'QUOTED PROJECTS-Current Year'!$H$2:$H$2525,"MAXFORCE",'QUOTED PROJECTS-Current Year'!$R$2:$R$2525,"DEC")</f>
        <v>0</v>
      </c>
      <c r="T35" s="55"/>
      <c r="U35" s="141">
        <f>SUMIFS('QUOTED PROJECTS-Earlier Yr'!$O$2:$O$2598,'QUOTED PROJECTS-Earlier Yr'!$Q$2:$Q$2598,"WON",'QUOTED PROJECTS-Earlier Yr'!$K$2:$K$2598,"160",'QUOTED PROJECTS-Earlier Yr'!$H$2:$H$2598,"MAXFORCE",'QUOTED PROJECTS-Earlier Yr'!$R$2:$R$2598,"JAN")+SUMIFS('QUOTED PROJECTS-Current Year'!$O$2:$O$2525,'QUOTED PROJECTS-Current Year'!$Q$2:$Q$2525,"WON",'QUOTED PROJECTS-Current Year'!$K$2:$K$2525,"160",'QUOTED PROJECTS-Current Year'!$H$2:$H$2525,"MAXFORCE",'QUOTED PROJECTS-Current Year'!$R$2:$R$2525,"JAN")</f>
        <v>0</v>
      </c>
      <c r="V35" s="55"/>
      <c r="W35" s="141">
        <f>SUMIFS('QUOTED PROJECTS-Earlier Yr'!$O$2:$O$2598,'QUOTED PROJECTS-Earlier Yr'!$Q$2:$Q$2598,"WON",'QUOTED PROJECTS-Earlier Yr'!$K$2:$K$2598,"160",'QUOTED PROJECTS-Earlier Yr'!$H$2:$H$2598,"MAXFORCE",'QUOTED PROJECTS-Earlier Yr'!$R$2:$R$2598,"FEB")+SUMIFS('QUOTED PROJECTS-Current Year'!$O$2:$O$2525,'QUOTED PROJECTS-Current Year'!$Q$2:$Q$2525,"WON",'QUOTED PROJECTS-Current Year'!$K$2:$K$2525,"160",'QUOTED PROJECTS-Current Year'!$H$2:$H$2525,"MAXFORCE",'QUOTED PROJECTS-Current Year'!$R$2:$R$2525,"FEB")</f>
        <v>0</v>
      </c>
      <c r="X35" s="55"/>
      <c r="Y35" s="141">
        <f>SUMIFS('QUOTED PROJECTS-Earlier Yr'!$O$2:$O$2598,'QUOTED PROJECTS-Earlier Yr'!$Q$2:$Q$2598,"WON",'QUOTED PROJECTS-Earlier Yr'!$K$2:$K$2598,"160",'QUOTED PROJECTS-Earlier Yr'!$H$2:$H$2598,"MAXFORCE",'QUOTED PROJECTS-Earlier Yr'!$R$2:$R$2598,"MAR")+SUMIFS('QUOTED PROJECTS-Current Year'!$O$2:$O$2525,'QUOTED PROJECTS-Current Year'!$Q$2:$Q$2525,"WON",'QUOTED PROJECTS-Current Year'!$K$2:$K$2525,"160",'QUOTED PROJECTS-Current Year'!$H$2:$H$2525,"MAXFORCE",'QUOTED PROJECTS-Current Year'!$R$2:$R$2525,"MAR")</f>
        <v>0</v>
      </c>
      <c r="Z35" s="57">
        <f t="shared" si="7"/>
        <v>0</v>
      </c>
      <c r="AA35" s="37">
        <f t="shared" si="7"/>
        <v>0</v>
      </c>
    </row>
    <row r="36" spans="1:27">
      <c r="A36" s="19">
        <v>180</v>
      </c>
      <c r="B36" s="55"/>
      <c r="C36" s="141">
        <f>SUMIFS('QUOTED PROJECTS-Earlier Yr'!$O$2:$O$2598,'QUOTED PROJECTS-Earlier Yr'!$Q$2:$Q$2598,"WON",'QUOTED PROJECTS-Earlier Yr'!$K$2:$K$2598,"180",'QUOTED PROJECTS-Earlier Yr'!$H$2:$H$2598,"MAXFORCE",'QUOTED PROJECTS-Earlier Yr'!$R$2:$R$2598,"APR")+SUMIFS('QUOTED PROJECTS-Current Year'!$O$2:$O$2525,'QUOTED PROJECTS-Current Year'!$Q$2:$Q$2525,"WON",'QUOTED PROJECTS-Current Year'!$K$2:$K$2525,"180",'QUOTED PROJECTS-Current Year'!$H$2:$H$2525,"MAXFORCE",'QUOTED PROJECTS-Current Year'!$R$2:$R$2525,"APR")</f>
        <v>0</v>
      </c>
      <c r="D36" s="55"/>
      <c r="E36" s="141">
        <f>SUMIFS('QUOTED PROJECTS-Earlier Yr'!$O$2:$O$2598,'QUOTED PROJECTS-Earlier Yr'!$Q$2:$Q$2598,"WON",'QUOTED PROJECTS-Earlier Yr'!$K$2:$K$2598,"180",'QUOTED PROJECTS-Earlier Yr'!$H$2:$H$2598,"MAXFORCE",'QUOTED PROJECTS-Earlier Yr'!$R$2:$R$2598,"MAY")+SUMIFS('QUOTED PROJECTS-Current Year'!$O$2:$O$2525,'QUOTED PROJECTS-Current Year'!$Q$2:$Q$2525,"WON",'QUOTED PROJECTS-Current Year'!$K$2:$K$2525,"180",'QUOTED PROJECTS-Current Year'!$H$2:$H$2525,"MAXFORCE",'QUOTED PROJECTS-Current Year'!$R$2:$R$2525,"MAY")</f>
        <v>0</v>
      </c>
      <c r="F36" s="55"/>
      <c r="G36" s="141">
        <f>SUMIFS('QUOTED PROJECTS-Earlier Yr'!$O$2:$O$2598,'QUOTED PROJECTS-Earlier Yr'!$Q$2:$Q$2598,"WON",'QUOTED PROJECTS-Earlier Yr'!$K$2:$K$2598,"180",'QUOTED PROJECTS-Earlier Yr'!$H$2:$H$2598,"MAXFORCE",'QUOTED PROJECTS-Earlier Yr'!$R$2:$R$2598,"JUN")+SUMIFS('QUOTED PROJECTS-Current Year'!$O$2:$O$2525,'QUOTED PROJECTS-Current Year'!$Q$2:$Q$2525,"WON",'QUOTED PROJECTS-Current Year'!$K$2:$K$2525,"180",'QUOTED PROJECTS-Current Year'!$H$2:$H$2525,"MAXFORCE",'QUOTED PROJECTS-Current Year'!$R$2:$R$2525,"JUN")</f>
        <v>0</v>
      </c>
      <c r="H36" s="55"/>
      <c r="I36" s="141">
        <f>SUMIFS('QUOTED PROJECTS-Earlier Yr'!$O$2:$O$2598,'QUOTED PROJECTS-Earlier Yr'!$Q$2:$Q$2598,"WON",'QUOTED PROJECTS-Earlier Yr'!$K$2:$K$2598,"180",'QUOTED PROJECTS-Earlier Yr'!$H$2:$H$2598,"MAXFORCE",'QUOTED PROJECTS-Earlier Yr'!$R$2:$R$2598,"JUL")+SUMIFS('QUOTED PROJECTS-Current Year'!$O$2:$O$2525,'QUOTED PROJECTS-Current Year'!$Q$2:$Q$2525,"WON",'QUOTED PROJECTS-Current Year'!$K$2:$K$2525,"180",'QUOTED PROJECTS-Current Year'!$H$2:$H$2525,"MAXFORCE",'QUOTED PROJECTS-Current Year'!$R$2:$R$2525,"JUL")</f>
        <v>0</v>
      </c>
      <c r="J36" s="55"/>
      <c r="K36" s="141">
        <f>SUMIFS('QUOTED PROJECTS-Earlier Yr'!$O$2:$O$2598,'QUOTED PROJECTS-Earlier Yr'!$Q$2:$Q$2598,"WON",'QUOTED PROJECTS-Earlier Yr'!$K$2:$K$2598,"180",'QUOTED PROJECTS-Earlier Yr'!$H$2:$H$2598,"MAXFORCE",'QUOTED PROJECTS-Earlier Yr'!$R$2:$R$2598,"AUG")+SUMIFS('QUOTED PROJECTS-Current Year'!$O$2:$O$2525,'QUOTED PROJECTS-Current Year'!$Q$2:$Q$2525,"WON",'QUOTED PROJECTS-Current Year'!$K$2:$K$2525,"180",'QUOTED PROJECTS-Current Year'!$H$2:$H$2525,"MAXFORCE",'QUOTED PROJECTS-Current Year'!$R$2:$R$2525,"AUG")</f>
        <v>0</v>
      </c>
      <c r="L36" s="55"/>
      <c r="M36" s="141">
        <f>SUMIFS('QUOTED PROJECTS-Earlier Yr'!$O$2:$O$2598,'QUOTED PROJECTS-Earlier Yr'!$Q$2:$Q$2598,"WON",'QUOTED PROJECTS-Earlier Yr'!$K$2:$K$2598,"180",'QUOTED PROJECTS-Earlier Yr'!$H$2:$H$2598,"MAXFORCE",'QUOTED PROJECTS-Earlier Yr'!$R$2:$R$2598,"SEPT")+SUMIFS('QUOTED PROJECTS-Current Year'!$O$2:$O$2525,'QUOTED PROJECTS-Current Year'!$Q$2:$Q$2525,"WON",'QUOTED PROJECTS-Current Year'!$K$2:$K$2525,"180",'QUOTED PROJECTS-Current Year'!$H$2:$H$2525,"MAXFORCE",'QUOTED PROJECTS-Current Year'!$R$2:$R$2525,"SEPT")</f>
        <v>0</v>
      </c>
      <c r="N36" s="55"/>
      <c r="O36" s="141">
        <f>SUMIFS('QUOTED PROJECTS-Earlier Yr'!$O$2:$O$2598,'QUOTED PROJECTS-Earlier Yr'!$Q$2:$Q$2598,"WON",'QUOTED PROJECTS-Earlier Yr'!$K$2:$K$2598,"180",'QUOTED PROJECTS-Earlier Yr'!$H$2:$H$2598,"MAXFORCE",'QUOTED PROJECTS-Earlier Yr'!$R$2:$R$2598,"OCT")+SUMIFS('QUOTED PROJECTS-Current Year'!$O$2:$O$2525,'QUOTED PROJECTS-Current Year'!$Q$2:$Q$2525,"WON",'QUOTED PROJECTS-Current Year'!$K$2:$K$2525,"180",'QUOTED PROJECTS-Current Year'!$H$2:$H$2525,"MAXFORCE",'QUOTED PROJECTS-Current Year'!$R$2:$R$2525,"OCT")</f>
        <v>0</v>
      </c>
      <c r="P36" s="55"/>
      <c r="Q36" s="141">
        <f>SUMIFS('QUOTED PROJECTS-Earlier Yr'!$O$2:$O$2598,'QUOTED PROJECTS-Earlier Yr'!$Q$2:$Q$2598,"WON",'QUOTED PROJECTS-Earlier Yr'!$K$2:$K$2598,"180",'QUOTED PROJECTS-Earlier Yr'!$H$2:$H$2598,"MAXFORCE",'QUOTED PROJECTS-Earlier Yr'!$R$2:$R$2598,"NOV")+SUMIFS('QUOTED PROJECTS-Current Year'!$O$2:$O$2525,'QUOTED PROJECTS-Current Year'!$Q$2:$Q$2525,"WON",'QUOTED PROJECTS-Current Year'!$K$2:$K$2525,"180",'QUOTED PROJECTS-Current Year'!$H$2:$H$2525,"MAXFORCE",'QUOTED PROJECTS-Current Year'!$R$2:$R$2525,"NOV")</f>
        <v>0</v>
      </c>
      <c r="R36" s="55"/>
      <c r="S36" s="141">
        <f>SUMIFS('QUOTED PROJECTS-Earlier Yr'!$O$2:$O$2598,'QUOTED PROJECTS-Earlier Yr'!$Q$2:$Q$2598,"WON",'QUOTED PROJECTS-Earlier Yr'!$K$2:$K$2598,"180",'QUOTED PROJECTS-Earlier Yr'!$H$2:$H$2598,"MAXFORCE",'QUOTED PROJECTS-Earlier Yr'!$R$2:$R$2598,"DEC")+SUMIFS('QUOTED PROJECTS-Current Year'!$O$2:$O$2525,'QUOTED PROJECTS-Current Year'!$Q$2:$Q$2525,"WON",'QUOTED PROJECTS-Current Year'!$K$2:$K$2525,"180",'QUOTED PROJECTS-Current Year'!$H$2:$H$2525,"MAXFORCE",'QUOTED PROJECTS-Current Year'!$R$2:$R$2525,"DEC")</f>
        <v>0</v>
      </c>
      <c r="T36" s="55"/>
      <c r="U36" s="141">
        <f>SUMIFS('QUOTED PROJECTS-Earlier Yr'!$O$2:$O$2598,'QUOTED PROJECTS-Earlier Yr'!$Q$2:$Q$2598,"WON",'QUOTED PROJECTS-Earlier Yr'!$K$2:$K$2598,"180",'QUOTED PROJECTS-Earlier Yr'!$H$2:$H$2598,"MAXFORCE",'QUOTED PROJECTS-Earlier Yr'!$R$2:$R$2598,"JAN")+SUMIFS('QUOTED PROJECTS-Current Year'!$O$2:$O$2525,'QUOTED PROJECTS-Current Year'!$Q$2:$Q$2525,"WON",'QUOTED PROJECTS-Current Year'!$K$2:$K$2525,"180",'QUOTED PROJECTS-Current Year'!$H$2:$H$2525,"MAXFORCE",'QUOTED PROJECTS-Current Year'!$R$2:$R$2525,"JAN")</f>
        <v>0</v>
      </c>
      <c r="V36" s="55"/>
      <c r="W36" s="141">
        <f>SUMIFS('QUOTED PROJECTS-Earlier Yr'!$O$2:$O$2598,'QUOTED PROJECTS-Earlier Yr'!$Q$2:$Q$2598,"WON",'QUOTED PROJECTS-Earlier Yr'!$K$2:$K$2598,"180",'QUOTED PROJECTS-Earlier Yr'!$H$2:$H$2598,"MAXFORCE",'QUOTED PROJECTS-Earlier Yr'!$R$2:$R$2598,"FEB")+SUMIFS('QUOTED PROJECTS-Current Year'!$O$2:$O$2525,'QUOTED PROJECTS-Current Year'!$Q$2:$Q$2525,"WON",'QUOTED PROJECTS-Current Year'!$K$2:$K$2525,"180",'QUOTED PROJECTS-Current Year'!$H$2:$H$2525,"MAXFORCE",'QUOTED PROJECTS-Current Year'!$R$2:$R$2525,"FEB")</f>
        <v>0</v>
      </c>
      <c r="X36" s="55"/>
      <c r="Y36" s="141">
        <f>SUMIFS('QUOTED PROJECTS-Earlier Yr'!$O$2:$O$2598,'QUOTED PROJECTS-Earlier Yr'!$Q$2:$Q$2598,"WON",'QUOTED PROJECTS-Earlier Yr'!$K$2:$K$2598,"180",'QUOTED PROJECTS-Earlier Yr'!$H$2:$H$2598,"MAXFORCE",'QUOTED PROJECTS-Earlier Yr'!$R$2:$R$2598,"MAR")+SUMIFS('QUOTED PROJECTS-Current Year'!$O$2:$O$2525,'QUOTED PROJECTS-Current Year'!$Q$2:$Q$2525,"WON",'QUOTED PROJECTS-Current Year'!$K$2:$K$2525,"180",'QUOTED PROJECTS-Current Year'!$H$2:$H$2525,"MAXFORCE",'QUOTED PROJECTS-Current Year'!$R$2:$R$2525,"MAR")</f>
        <v>0</v>
      </c>
      <c r="Z36" s="57">
        <f t="shared" si="7"/>
        <v>0</v>
      </c>
      <c r="AA36" s="37">
        <f t="shared" si="7"/>
        <v>0</v>
      </c>
    </row>
    <row r="37" spans="1:27" ht="13.5" thickBot="1">
      <c r="A37" s="19">
        <v>200</v>
      </c>
      <c r="B37" s="55"/>
      <c r="C37" s="141">
        <f>SUMIFS('QUOTED PROJECTS-Earlier Yr'!$O$2:$O$2598,'QUOTED PROJECTS-Earlier Yr'!$Q$2:$Q$2598,"WON",'QUOTED PROJECTS-Earlier Yr'!$K$2:$K$2598,"200",'QUOTED PROJECTS-Earlier Yr'!$H$2:$H$2598,"MAXFORCE",'QUOTED PROJECTS-Earlier Yr'!$R$2:$R$2598,"APR")+SUMIFS('QUOTED PROJECTS-Current Year'!$O$2:$O$2525,'QUOTED PROJECTS-Current Year'!$Q$2:$Q$2525,"WON",'QUOTED PROJECTS-Current Year'!$K$2:$K$2525,"200",'QUOTED PROJECTS-Current Year'!$H$2:$H$2525,"MAXFORCE",'QUOTED PROJECTS-Current Year'!$R$2:$R$2525,"APR")</f>
        <v>0</v>
      </c>
      <c r="D37" s="55"/>
      <c r="E37" s="141">
        <f>SUMIFS('QUOTED PROJECTS-Earlier Yr'!$O$2:$O$2598,'QUOTED PROJECTS-Earlier Yr'!$Q$2:$Q$2598,"WON",'QUOTED PROJECTS-Earlier Yr'!$K$2:$K$2598,"200",'QUOTED PROJECTS-Earlier Yr'!$H$2:$H$2598,"MAXFORCE",'QUOTED PROJECTS-Earlier Yr'!$R$2:$R$2598,"MAY")+SUMIFS('QUOTED PROJECTS-Current Year'!$O$2:$O$2525,'QUOTED PROJECTS-Current Year'!$Q$2:$Q$2525,"WON",'QUOTED PROJECTS-Current Year'!$K$2:$K$2525,"200",'QUOTED PROJECTS-Current Year'!$H$2:$H$2525,"MAXFORCE",'QUOTED PROJECTS-Current Year'!$R$2:$R$2525,"MAY")</f>
        <v>0</v>
      </c>
      <c r="F37" s="55"/>
      <c r="G37" s="141">
        <f>SUMIFS('QUOTED PROJECTS-Earlier Yr'!$O$2:$O$2598,'QUOTED PROJECTS-Earlier Yr'!$Q$2:$Q$2598,"WON",'QUOTED PROJECTS-Earlier Yr'!$K$2:$K$2598,"200",'QUOTED PROJECTS-Earlier Yr'!$H$2:$H$2598,"MAXFORCE",'QUOTED PROJECTS-Earlier Yr'!$R$2:$R$2598,"JUN")+SUMIFS('QUOTED PROJECTS-Current Year'!$O$2:$O$2525,'QUOTED PROJECTS-Current Year'!$Q$2:$Q$2525,"WON",'QUOTED PROJECTS-Current Year'!$K$2:$K$2525,"200",'QUOTED PROJECTS-Current Year'!$H$2:$H$2525,"MAXFORCE",'QUOTED PROJECTS-Current Year'!$R$2:$R$2525,"JUN")</f>
        <v>0</v>
      </c>
      <c r="H37" s="55"/>
      <c r="I37" s="141">
        <f>SUMIFS('QUOTED PROJECTS-Earlier Yr'!$O$2:$O$2598,'QUOTED PROJECTS-Earlier Yr'!$Q$2:$Q$2598,"WON",'QUOTED PROJECTS-Earlier Yr'!$K$2:$K$2598,"200",'QUOTED PROJECTS-Earlier Yr'!$H$2:$H$2598,"MAXFORCE",'QUOTED PROJECTS-Earlier Yr'!$R$2:$R$2598,"JUL")+SUMIFS('QUOTED PROJECTS-Current Year'!$O$2:$O$2525,'QUOTED PROJECTS-Current Year'!$Q$2:$Q$2525,"WON",'QUOTED PROJECTS-Current Year'!$K$2:$K$2525,"200",'QUOTED PROJECTS-Current Year'!$H$2:$H$2525,"MAXFORCE",'QUOTED PROJECTS-Current Year'!$R$2:$R$2525,"JUL")</f>
        <v>0</v>
      </c>
      <c r="J37" s="55"/>
      <c r="K37" s="141">
        <f>SUMIFS('QUOTED PROJECTS-Earlier Yr'!$O$2:$O$2598,'QUOTED PROJECTS-Earlier Yr'!$Q$2:$Q$2598,"WON",'QUOTED PROJECTS-Earlier Yr'!$K$2:$K$2598,"200",'QUOTED PROJECTS-Earlier Yr'!$H$2:$H$2598,"MAXFORCE",'QUOTED PROJECTS-Earlier Yr'!$R$2:$R$2598,"AUG")+SUMIFS('QUOTED PROJECTS-Current Year'!$O$2:$O$2525,'QUOTED PROJECTS-Current Year'!$Q$2:$Q$2525,"WON",'QUOTED PROJECTS-Current Year'!$K$2:$K$2525,"200",'QUOTED PROJECTS-Current Year'!$H$2:$H$2525,"MAXFORCE",'QUOTED PROJECTS-Current Year'!$R$2:$R$2525,"AUG")</f>
        <v>0</v>
      </c>
      <c r="L37" s="55"/>
      <c r="M37" s="141">
        <f>SUMIFS('QUOTED PROJECTS-Earlier Yr'!$O$2:$O$2598,'QUOTED PROJECTS-Earlier Yr'!$Q$2:$Q$2598,"WON",'QUOTED PROJECTS-Earlier Yr'!$K$2:$K$2598,"200",'QUOTED PROJECTS-Earlier Yr'!$H$2:$H$2598,"MAXFORCE",'QUOTED PROJECTS-Earlier Yr'!$R$2:$R$2598,"SEPT")+SUMIFS('QUOTED PROJECTS-Current Year'!$O$2:$O$2525,'QUOTED PROJECTS-Current Year'!$Q$2:$Q$2525,"WON",'QUOTED PROJECTS-Current Year'!$K$2:$K$2525,"200",'QUOTED PROJECTS-Current Year'!$H$2:$H$2525,"MAXFORCE",'QUOTED PROJECTS-Current Year'!$R$2:$R$2525,"SEPT")</f>
        <v>0</v>
      </c>
      <c r="N37" s="55"/>
      <c r="O37" s="141">
        <f>SUMIFS('QUOTED PROJECTS-Earlier Yr'!$O$2:$O$2598,'QUOTED PROJECTS-Earlier Yr'!$Q$2:$Q$2598,"WON",'QUOTED PROJECTS-Earlier Yr'!$K$2:$K$2598,"200",'QUOTED PROJECTS-Earlier Yr'!$H$2:$H$2598,"MAXFORCE",'QUOTED PROJECTS-Earlier Yr'!$R$2:$R$2598,"OCT")+SUMIFS('QUOTED PROJECTS-Current Year'!$O$2:$O$2525,'QUOTED PROJECTS-Current Year'!$Q$2:$Q$2525,"WON",'QUOTED PROJECTS-Current Year'!$K$2:$K$2525,"200",'QUOTED PROJECTS-Current Year'!$H$2:$H$2525,"MAXFORCE",'QUOTED PROJECTS-Current Year'!$R$2:$R$2525,"OCT")</f>
        <v>0</v>
      </c>
      <c r="P37" s="55"/>
      <c r="Q37" s="141">
        <f>SUMIFS('QUOTED PROJECTS-Earlier Yr'!$O$2:$O$2598,'QUOTED PROJECTS-Earlier Yr'!$Q$2:$Q$2598,"WON",'QUOTED PROJECTS-Earlier Yr'!$K$2:$K$2598,"200",'QUOTED PROJECTS-Earlier Yr'!$H$2:$H$2598,"MAXFORCE",'QUOTED PROJECTS-Earlier Yr'!$R$2:$R$2598,"NOV")+SUMIFS('QUOTED PROJECTS-Current Year'!$O$2:$O$2525,'QUOTED PROJECTS-Current Year'!$Q$2:$Q$2525,"WON",'QUOTED PROJECTS-Current Year'!$K$2:$K$2525,"200",'QUOTED PROJECTS-Current Year'!$H$2:$H$2525,"MAXFORCE",'QUOTED PROJECTS-Current Year'!$R$2:$R$2525,"NOV")</f>
        <v>0</v>
      </c>
      <c r="R37" s="55"/>
      <c r="S37" s="141">
        <f>SUMIFS('QUOTED PROJECTS-Earlier Yr'!$O$2:$O$2598,'QUOTED PROJECTS-Earlier Yr'!$Q$2:$Q$2598,"WON",'QUOTED PROJECTS-Earlier Yr'!$K$2:$K$2598,"200",'QUOTED PROJECTS-Earlier Yr'!$H$2:$H$2598,"MAXFORCE",'QUOTED PROJECTS-Earlier Yr'!$R$2:$R$2598,"DEC")+SUMIFS('QUOTED PROJECTS-Current Year'!$O$2:$O$2525,'QUOTED PROJECTS-Current Year'!$Q$2:$Q$2525,"WON",'QUOTED PROJECTS-Current Year'!$K$2:$K$2525,"200",'QUOTED PROJECTS-Current Year'!$H$2:$H$2525,"MAXFORCE",'QUOTED PROJECTS-Current Year'!$R$2:$R$2525,"DEC")</f>
        <v>0</v>
      </c>
      <c r="T37" s="55"/>
      <c r="U37" s="141">
        <f>SUMIFS('QUOTED PROJECTS-Earlier Yr'!$O$2:$O$2598,'QUOTED PROJECTS-Earlier Yr'!$Q$2:$Q$2598,"WON",'QUOTED PROJECTS-Earlier Yr'!$K$2:$K$2598,"200",'QUOTED PROJECTS-Earlier Yr'!$H$2:$H$2598,"MAXFORCE",'QUOTED PROJECTS-Earlier Yr'!$R$2:$R$2598,"JAN")+SUMIFS('QUOTED PROJECTS-Current Year'!$O$2:$O$2525,'QUOTED PROJECTS-Current Year'!$Q$2:$Q$2525,"WON",'QUOTED PROJECTS-Current Year'!$K$2:$K$2525,"200",'QUOTED PROJECTS-Current Year'!$H$2:$H$2525,"MAXFORCE",'QUOTED PROJECTS-Current Year'!$R$2:$R$2525,"JAN")</f>
        <v>0</v>
      </c>
      <c r="V37" s="55"/>
      <c r="W37" s="141">
        <f>SUMIFS('QUOTED PROJECTS-Earlier Yr'!$O$2:$O$2598,'QUOTED PROJECTS-Earlier Yr'!$Q$2:$Q$2598,"WON",'QUOTED PROJECTS-Earlier Yr'!$K$2:$K$2598,"200",'QUOTED PROJECTS-Earlier Yr'!$H$2:$H$2598,"MAXFORCE",'QUOTED PROJECTS-Earlier Yr'!$R$2:$R$2598,"FEB")+SUMIFS('QUOTED PROJECTS-Current Year'!$O$2:$O$2525,'QUOTED PROJECTS-Current Year'!$Q$2:$Q$2525,"WON",'QUOTED PROJECTS-Current Year'!$K$2:$K$2525,"200",'QUOTED PROJECTS-Current Year'!$H$2:$H$2525,"MAXFORCE",'QUOTED PROJECTS-Current Year'!$R$2:$R$2525,"FEB")</f>
        <v>0</v>
      </c>
      <c r="X37" s="55"/>
      <c r="Y37" s="141">
        <f>SUMIFS('QUOTED PROJECTS-Earlier Yr'!$O$2:$O$2598,'QUOTED PROJECTS-Earlier Yr'!$Q$2:$Q$2598,"WON",'QUOTED PROJECTS-Earlier Yr'!$K$2:$K$2598,"200",'QUOTED PROJECTS-Earlier Yr'!$H$2:$H$2598,"MAXFORCE",'QUOTED PROJECTS-Earlier Yr'!$R$2:$R$2598,"MAR")+SUMIFS('QUOTED PROJECTS-Current Year'!$O$2:$O$2525,'QUOTED PROJECTS-Current Year'!$Q$2:$Q$2525,"WON",'QUOTED PROJECTS-Current Year'!$K$2:$K$2525,"200",'QUOTED PROJECTS-Current Year'!$H$2:$H$2525,"MAXFORCE",'QUOTED PROJECTS-Current Year'!$R$2:$R$2525,"MAR")</f>
        <v>0</v>
      </c>
      <c r="Z37" s="57">
        <f t="shared" si="7"/>
        <v>0</v>
      </c>
      <c r="AA37" s="37">
        <f t="shared" si="7"/>
        <v>0</v>
      </c>
    </row>
    <row r="38" spans="1:27" ht="14.25" thickTop="1" thickBot="1">
      <c r="A38" s="1" t="s">
        <v>90</v>
      </c>
      <c r="B38" s="60">
        <f t="shared" ref="B38:Y38" si="8">SUM(B33:B37)</f>
        <v>0</v>
      </c>
      <c r="C38" s="41">
        <f t="shared" si="8"/>
        <v>0</v>
      </c>
      <c r="D38" s="59">
        <f t="shared" si="8"/>
        <v>0</v>
      </c>
      <c r="E38" s="41">
        <f t="shared" si="8"/>
        <v>0</v>
      </c>
      <c r="F38" s="59">
        <f t="shared" si="8"/>
        <v>0</v>
      </c>
      <c r="G38" s="41">
        <f t="shared" si="8"/>
        <v>0</v>
      </c>
      <c r="H38" s="59">
        <f t="shared" si="8"/>
        <v>0</v>
      </c>
      <c r="I38" s="41">
        <f t="shared" si="8"/>
        <v>0</v>
      </c>
      <c r="J38" s="59">
        <f t="shared" si="8"/>
        <v>0</v>
      </c>
      <c r="K38" s="41">
        <f t="shared" si="8"/>
        <v>0</v>
      </c>
      <c r="L38" s="59">
        <f t="shared" si="8"/>
        <v>0</v>
      </c>
      <c r="M38" s="41">
        <f t="shared" si="8"/>
        <v>0</v>
      </c>
      <c r="N38" s="59">
        <f t="shared" si="8"/>
        <v>0</v>
      </c>
      <c r="O38" s="41">
        <f t="shared" si="8"/>
        <v>0</v>
      </c>
      <c r="P38" s="59">
        <f t="shared" si="8"/>
        <v>0</v>
      </c>
      <c r="Q38" s="41">
        <f t="shared" si="8"/>
        <v>0</v>
      </c>
      <c r="R38" s="59">
        <f t="shared" si="8"/>
        <v>0</v>
      </c>
      <c r="S38" s="41">
        <f t="shared" si="8"/>
        <v>0</v>
      </c>
      <c r="T38" s="59">
        <f t="shared" si="8"/>
        <v>0</v>
      </c>
      <c r="U38" s="41">
        <f t="shared" si="8"/>
        <v>0</v>
      </c>
      <c r="V38" s="59">
        <f t="shared" si="8"/>
        <v>0</v>
      </c>
      <c r="W38" s="41">
        <f t="shared" si="8"/>
        <v>0</v>
      </c>
      <c r="X38" s="59">
        <f t="shared" si="8"/>
        <v>0</v>
      </c>
      <c r="Y38" s="40">
        <f t="shared" si="8"/>
        <v>0</v>
      </c>
      <c r="Z38" s="63">
        <f t="shared" si="7"/>
        <v>0</v>
      </c>
      <c r="AA38" s="44">
        <f t="shared" si="7"/>
        <v>0</v>
      </c>
    </row>
    <row r="39" spans="1:27" ht="14.25" thickTop="1" thickBot="1">
      <c r="B39" s="201"/>
      <c r="C39" s="198"/>
      <c r="D39" s="202"/>
      <c r="E39" s="198"/>
      <c r="F39" s="202"/>
      <c r="G39" s="198"/>
      <c r="H39" s="202"/>
      <c r="I39" s="198"/>
      <c r="J39" s="203"/>
      <c r="K39" s="198"/>
      <c r="L39" s="202"/>
      <c r="M39" s="198"/>
      <c r="N39" s="202"/>
      <c r="O39" s="198"/>
      <c r="P39" s="203"/>
      <c r="Q39" s="198"/>
      <c r="R39" s="202"/>
      <c r="S39" s="198"/>
      <c r="T39" s="202"/>
      <c r="U39" s="198"/>
      <c r="V39" s="203"/>
      <c r="W39" s="198"/>
      <c r="X39" s="202"/>
      <c r="Y39" s="196"/>
      <c r="Z39" s="204"/>
      <c r="AA39" s="205"/>
    </row>
    <row r="40" spans="1:27" s="1" customFormat="1" ht="14.25" thickTop="1" thickBot="1">
      <c r="A40" s="1" t="s">
        <v>2</v>
      </c>
      <c r="B40" s="53">
        <f t="shared" ref="B40:AA40" si="9">B22+B18+B31+B38</f>
        <v>0</v>
      </c>
      <c r="C40" s="43">
        <f t="shared" si="9"/>
        <v>0</v>
      </c>
      <c r="D40" s="53">
        <f t="shared" si="9"/>
        <v>0</v>
      </c>
      <c r="E40" s="43">
        <f t="shared" si="9"/>
        <v>0</v>
      </c>
      <c r="F40" s="53">
        <f t="shared" si="9"/>
        <v>0</v>
      </c>
      <c r="G40" s="43">
        <f t="shared" si="9"/>
        <v>0</v>
      </c>
      <c r="H40" s="53">
        <f t="shared" si="9"/>
        <v>0</v>
      </c>
      <c r="I40" s="43">
        <f t="shared" si="9"/>
        <v>358.75053000000003</v>
      </c>
      <c r="J40" s="53">
        <f t="shared" si="9"/>
        <v>0</v>
      </c>
      <c r="K40" s="43">
        <f t="shared" si="9"/>
        <v>80.5</v>
      </c>
      <c r="L40" s="53">
        <f t="shared" si="9"/>
        <v>0</v>
      </c>
      <c r="M40" s="43">
        <f t="shared" si="9"/>
        <v>0</v>
      </c>
      <c r="N40" s="53">
        <f t="shared" si="9"/>
        <v>0</v>
      </c>
      <c r="O40" s="43">
        <f t="shared" si="9"/>
        <v>0</v>
      </c>
      <c r="P40" s="53">
        <f t="shared" si="9"/>
        <v>0</v>
      </c>
      <c r="Q40" s="43">
        <f t="shared" si="9"/>
        <v>0</v>
      </c>
      <c r="R40" s="53">
        <f t="shared" si="9"/>
        <v>0</v>
      </c>
      <c r="S40" s="43">
        <f t="shared" si="9"/>
        <v>0</v>
      </c>
      <c r="T40" s="53">
        <f t="shared" si="9"/>
        <v>0</v>
      </c>
      <c r="U40" s="43">
        <f t="shared" si="9"/>
        <v>0</v>
      </c>
      <c r="V40" s="53">
        <f t="shared" si="9"/>
        <v>0</v>
      </c>
      <c r="W40" s="43">
        <f t="shared" si="9"/>
        <v>0</v>
      </c>
      <c r="X40" s="53">
        <f t="shared" si="9"/>
        <v>0</v>
      </c>
      <c r="Y40" s="43">
        <f t="shared" si="9"/>
        <v>0</v>
      </c>
      <c r="Z40" s="53">
        <f t="shared" si="9"/>
        <v>0</v>
      </c>
      <c r="AA40" s="43">
        <f t="shared" si="9"/>
        <v>439.25053000000003</v>
      </c>
    </row>
    <row r="41" spans="1:27" ht="13.5" thickTop="1"/>
    <row r="43" spans="1:27">
      <c r="A43" s="3" t="s">
        <v>67</v>
      </c>
      <c r="B43" s="54">
        <f>B40+D40+F40+H40+J40+L40+N40+P40+R40+T40+V40+X40</f>
        <v>0</v>
      </c>
    </row>
    <row r="44" spans="1:27">
      <c r="A44" s="3" t="s">
        <v>68</v>
      </c>
      <c r="B44" s="54">
        <f>C40+E40+G40+I40+K40+M40+O40+Q40+S40+U40+W40+Y40</f>
        <v>439.25053000000003</v>
      </c>
    </row>
    <row r="46" spans="1:27">
      <c r="A46" s="142" t="s">
        <v>234</v>
      </c>
      <c r="B46" s="206"/>
    </row>
  </sheetData>
  <mergeCells count="23">
    <mergeCell ref="B7:G7"/>
    <mergeCell ref="H7:M7"/>
    <mergeCell ref="N7:S7"/>
    <mergeCell ref="T7:Y7"/>
    <mergeCell ref="B8:AA8"/>
    <mergeCell ref="X4:Y4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A1:AA1"/>
    <mergeCell ref="B3:G3"/>
    <mergeCell ref="H3:M3"/>
    <mergeCell ref="N3:S3"/>
    <mergeCell ref="T3:Y3"/>
    <mergeCell ref="Z3:AA3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8"/>
  <dimension ref="A1:W90"/>
  <sheetViews>
    <sheetView zoomScale="70" zoomScaleNormal="70" workbookViewId="0">
      <pane xSplit="1" ySplit="3" topLeftCell="B4" activePane="bottomRight" state="frozen"/>
      <selection sqref="A1:AA1"/>
      <selection pane="topRight" sqref="A1:AA1"/>
      <selection pane="bottomLeft" sqref="A1:AA1"/>
      <selection pane="bottomRight" activeCell="B71" sqref="B71"/>
    </sheetView>
  </sheetViews>
  <sheetFormatPr defaultRowHeight="12.75"/>
  <cols>
    <col min="1" max="1" width="19.42578125" style="19" customWidth="1" collapsed="1"/>
    <col min="2" max="3" width="12.42578125" style="19" bestFit="1" customWidth="1" collapsed="1"/>
    <col min="4" max="11" width="9.140625" style="19" collapsed="1"/>
    <col min="12" max="12" width="4.5703125" style="19" customWidth="1" collapsed="1"/>
    <col min="13" max="13" width="3.28515625" style="34" customWidth="1" collapsed="1"/>
    <col min="14" max="14" width="4" style="19" customWidth="1" collapsed="1"/>
    <col min="15" max="15" width="9.140625" style="19" collapsed="1"/>
    <col min="16" max="17" width="12.42578125" style="19" bestFit="1" customWidth="1" collapsed="1"/>
    <col min="18" max="16384" width="9.140625" style="19" collapsed="1"/>
  </cols>
  <sheetData>
    <row r="1" spans="1:23">
      <c r="A1" s="403" t="s">
        <v>6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O1" s="403" t="s">
        <v>6</v>
      </c>
      <c r="P1" s="403"/>
      <c r="Q1" s="403"/>
      <c r="R1" s="403"/>
      <c r="S1" s="403"/>
      <c r="T1" s="403"/>
      <c r="U1" s="403"/>
      <c r="V1" s="403"/>
    </row>
    <row r="2" spans="1:23">
      <c r="A2" s="403" t="s">
        <v>195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O2" s="403" t="s">
        <v>195</v>
      </c>
      <c r="P2" s="403"/>
      <c r="Q2" s="403"/>
      <c r="R2" s="403"/>
      <c r="S2" s="403"/>
      <c r="T2" s="403"/>
      <c r="U2" s="403"/>
      <c r="V2" s="403"/>
    </row>
    <row r="3" spans="1:23" ht="13.5" thickBot="1">
      <c r="A3" s="183" t="s">
        <v>193</v>
      </c>
      <c r="B3" s="183">
        <v>775</v>
      </c>
      <c r="C3" s="183">
        <v>1010</v>
      </c>
      <c r="D3" s="183">
        <v>1250</v>
      </c>
      <c r="E3" s="183">
        <v>1500</v>
      </c>
      <c r="F3" s="183">
        <v>1850</v>
      </c>
      <c r="G3" s="183">
        <v>2000</v>
      </c>
      <c r="H3" s="183">
        <v>2250</v>
      </c>
      <c r="I3" s="183">
        <v>2500</v>
      </c>
      <c r="J3" s="184">
        <v>2750</v>
      </c>
      <c r="K3" s="184">
        <v>3000</v>
      </c>
      <c r="O3" s="183" t="s">
        <v>193</v>
      </c>
      <c r="P3" s="183">
        <v>750</v>
      </c>
      <c r="Q3" s="183">
        <v>1010</v>
      </c>
      <c r="R3" s="183">
        <v>1250</v>
      </c>
      <c r="S3" s="183">
        <v>1500</v>
      </c>
      <c r="T3" s="183">
        <v>1800</v>
      </c>
      <c r="U3" s="183">
        <v>2000</v>
      </c>
      <c r="V3" s="183">
        <v>2250</v>
      </c>
    </row>
    <row r="4" spans="1:23" ht="13.5" thickBot="1">
      <c r="A4" s="156" t="s">
        <v>194</v>
      </c>
      <c r="B4" s="114">
        <f>'Booking-QTY-WRK-P'!$B10</f>
        <v>0</v>
      </c>
      <c r="C4" s="114">
        <f>'Booking-QTY-WRK-P'!$B12</f>
        <v>0</v>
      </c>
      <c r="D4" s="114">
        <f>'Booking-QTY-WRK-P'!$B13</f>
        <v>0</v>
      </c>
      <c r="E4" s="114">
        <f>'Booking-QTY-WRK-P'!$B14</f>
        <v>0</v>
      </c>
      <c r="F4" s="114">
        <f>'Booking-QTY-WRK-P'!$B15</f>
        <v>0</v>
      </c>
      <c r="G4" s="114">
        <f>'Booking-QTY-WRK-P'!$B16</f>
        <v>0</v>
      </c>
      <c r="H4" s="114">
        <f>'Booking-QTY-WRK-P'!$B17</f>
        <v>0</v>
      </c>
      <c r="I4" s="114">
        <f>'Booking-QTY-WRK-P'!$B18</f>
        <v>0</v>
      </c>
      <c r="J4" s="114">
        <f>'Booking-QTY-WRK-P'!$B19</f>
        <v>0</v>
      </c>
      <c r="K4" s="114">
        <f>'Booking-QTY-WRK-P'!$B20</f>
        <v>0</v>
      </c>
      <c r="O4" s="156" t="s">
        <v>194</v>
      </c>
      <c r="P4" s="114">
        <f>'Booking-QTY-WRK-P'!$B23</f>
        <v>0</v>
      </c>
      <c r="Q4" s="114">
        <f>'Booking-QTY-WRK-P'!$B24</f>
        <v>0</v>
      </c>
      <c r="R4" s="114">
        <f>'Booking-QTY-WRK-P'!$B25</f>
        <v>0</v>
      </c>
      <c r="S4" s="114">
        <f>'Booking-QTY-WRK-P'!$B26</f>
        <v>0</v>
      </c>
      <c r="T4" s="114">
        <f>'Booking-QTY-WRK-P'!$B27</f>
        <v>0</v>
      </c>
      <c r="U4" s="114">
        <f>'Booking-QTY-WRK-P'!$B28</f>
        <v>4</v>
      </c>
      <c r="V4" s="114">
        <f>'Booking-QTY-WRK-P'!$B29</f>
        <v>0</v>
      </c>
    </row>
    <row r="5" spans="1:23" ht="13.5" thickBot="1">
      <c r="A5" s="156" t="s">
        <v>8</v>
      </c>
      <c r="B5" s="114">
        <f>'Booking-QTY-WRK-P'!$D10+B4</f>
        <v>0</v>
      </c>
      <c r="C5" s="114">
        <f>'Booking-QTY-WRK-P'!$D12+C4</f>
        <v>0</v>
      </c>
      <c r="D5" s="114">
        <f>'Booking-QTY-WRK-P'!$D13+D4</f>
        <v>0</v>
      </c>
      <c r="E5" s="114">
        <f>'Booking-QTY-WRK-P'!$D14+E4</f>
        <v>0</v>
      </c>
      <c r="F5" s="114">
        <f>'Booking-QTY-WRK-P'!$D15+F4</f>
        <v>0</v>
      </c>
      <c r="G5" s="114">
        <f>'Booking-QTY-WRK-P'!$D16+G4</f>
        <v>0</v>
      </c>
      <c r="H5" s="114">
        <f>'Booking-QTY-WRK-P'!$D17+H4</f>
        <v>0</v>
      </c>
      <c r="I5" s="114">
        <f>'Booking-QTY-WRK-P'!$D18+I4</f>
        <v>0</v>
      </c>
      <c r="J5" s="114">
        <f>'Booking-QTY-WRK-P'!$D19+J4</f>
        <v>0</v>
      </c>
      <c r="K5" s="114">
        <f>'Booking-QTY-WRK-P'!$D20+K4</f>
        <v>0</v>
      </c>
      <c r="O5" s="156" t="s">
        <v>8</v>
      </c>
      <c r="P5" s="114">
        <f>'Booking-QTY-WRK-P'!$D23+P4</f>
        <v>0</v>
      </c>
      <c r="Q5" s="114">
        <f>'Booking-QTY-WRK-P'!$D24+Q4</f>
        <v>0</v>
      </c>
      <c r="R5" s="114">
        <f>'Booking-QTY-WRK-P'!$D25+R4</f>
        <v>0</v>
      </c>
      <c r="S5" s="114">
        <f>'Booking-QTY-WRK-P'!$D26+S4</f>
        <v>0</v>
      </c>
      <c r="T5" s="114">
        <f>'Booking-QTY-WRK-P'!$D27+T4</f>
        <v>0</v>
      </c>
      <c r="U5" s="114">
        <f>'Booking-QTY-WRK-P'!$D28+U4</f>
        <v>4</v>
      </c>
      <c r="V5" s="114">
        <f>'Booking-QTY-WRK-P'!$D29+V4</f>
        <v>2</v>
      </c>
    </row>
    <row r="6" spans="1:23" ht="13.5" thickBot="1">
      <c r="A6" s="156" t="s">
        <v>74</v>
      </c>
      <c r="B6" s="114">
        <f>'Booking-QTY-WRK-P'!$F10+B5</f>
        <v>0</v>
      </c>
      <c r="C6" s="114">
        <f>'Booking-QTY-WRK-P'!$F12+C5</f>
        <v>0</v>
      </c>
      <c r="D6" s="114">
        <f>'Booking-QTY-WRK-P'!$F13+D5</f>
        <v>0</v>
      </c>
      <c r="E6" s="114">
        <f>'Booking-QTY-WRK-P'!$F14+E5</f>
        <v>0</v>
      </c>
      <c r="F6" s="114">
        <f>'Booking-QTY-WRK-P'!$F15+F5</f>
        <v>0</v>
      </c>
      <c r="G6" s="114">
        <f>'Booking-QTY-WRK-P'!$F16+G5</f>
        <v>0</v>
      </c>
      <c r="H6" s="114">
        <f>'Booking-QTY-WRK-P'!$F17+H5</f>
        <v>0</v>
      </c>
      <c r="I6" s="114">
        <f>'Booking-QTY-WRK-P'!$F18+I5</f>
        <v>0</v>
      </c>
      <c r="J6" s="114">
        <f>'Booking-QTY-WRK-P'!$F19+J5</f>
        <v>0</v>
      </c>
      <c r="K6" s="114">
        <f>'Booking-QTY-WRK-P'!$F20+K5</f>
        <v>0</v>
      </c>
      <c r="O6" s="156" t="s">
        <v>74</v>
      </c>
      <c r="P6" s="114">
        <f>'Booking-QTY-WRK-P'!$F23+P5</f>
        <v>0</v>
      </c>
      <c r="Q6" s="114">
        <f>'Booking-QTY-WRK-P'!$F24+Q5</f>
        <v>0</v>
      </c>
      <c r="R6" s="114">
        <f>'Booking-QTY-WRK-P'!$F25+R5</f>
        <v>3</v>
      </c>
      <c r="S6" s="114">
        <f>'Booking-QTY-WRK-P'!$F26+S5</f>
        <v>0</v>
      </c>
      <c r="T6" s="114">
        <f>'Booking-QTY-WRK-P'!$F27+T5</f>
        <v>0</v>
      </c>
      <c r="U6" s="114">
        <f>'Booking-QTY-WRK-P'!$F28+U5</f>
        <v>4</v>
      </c>
      <c r="V6" s="114">
        <f>'Booking-QTY-WRK-P'!$F29+V5</f>
        <v>2</v>
      </c>
    </row>
    <row r="7" spans="1:23" ht="13.5" thickBot="1">
      <c r="A7" s="156" t="s">
        <v>42</v>
      </c>
      <c r="B7" s="114">
        <f t="shared" ref="B7:D7" si="0">B6</f>
        <v>0</v>
      </c>
      <c r="C7" s="114">
        <f t="shared" si="0"/>
        <v>0</v>
      </c>
      <c r="D7" s="114">
        <f t="shared" si="0"/>
        <v>0</v>
      </c>
      <c r="E7" s="114">
        <f>E6</f>
        <v>0</v>
      </c>
      <c r="F7" s="114">
        <f t="shared" ref="F7:K7" si="1">F6</f>
        <v>0</v>
      </c>
      <c r="G7" s="114">
        <f t="shared" si="1"/>
        <v>0</v>
      </c>
      <c r="H7" s="114">
        <f t="shared" si="1"/>
        <v>0</v>
      </c>
      <c r="I7" s="114">
        <f t="shared" si="1"/>
        <v>0</v>
      </c>
      <c r="J7" s="114">
        <f t="shared" si="1"/>
        <v>0</v>
      </c>
      <c r="K7" s="114">
        <f t="shared" si="1"/>
        <v>0</v>
      </c>
      <c r="L7" s="19" t="s">
        <v>201</v>
      </c>
      <c r="O7" s="156" t="s">
        <v>42</v>
      </c>
      <c r="P7" s="114">
        <f t="shared" ref="P7:V7" si="2">P6</f>
        <v>0</v>
      </c>
      <c r="Q7" s="114">
        <f t="shared" si="2"/>
        <v>0</v>
      </c>
      <c r="R7" s="114">
        <f t="shared" si="2"/>
        <v>3</v>
      </c>
      <c r="S7" s="114">
        <f t="shared" si="2"/>
        <v>0</v>
      </c>
      <c r="T7" s="114">
        <f t="shared" si="2"/>
        <v>0</v>
      </c>
      <c r="U7" s="114">
        <f t="shared" si="2"/>
        <v>4</v>
      </c>
      <c r="V7" s="114">
        <f t="shared" si="2"/>
        <v>2</v>
      </c>
      <c r="W7" s="19" t="s">
        <v>201</v>
      </c>
    </row>
    <row r="8" spans="1:23" ht="13.5" thickBot="1">
      <c r="A8" s="156" t="s">
        <v>75</v>
      </c>
      <c r="B8" s="114">
        <f>'Booking-QTY-WRK-P'!$H10+B6</f>
        <v>0</v>
      </c>
      <c r="C8" s="114">
        <f>'Booking-QTY-WRK-P'!$H12+C6</f>
        <v>0</v>
      </c>
      <c r="D8" s="114">
        <f>'Booking-QTY-WRK-P'!$H13+D6</f>
        <v>0</v>
      </c>
      <c r="E8" s="114">
        <f>'Booking-QTY-WRK-P'!$H14+E6</f>
        <v>0</v>
      </c>
      <c r="F8" s="114">
        <f>'Booking-QTY-WRK-P'!$H15+F6</f>
        <v>0</v>
      </c>
      <c r="G8" s="114">
        <f>'Booking-QTY-WRK-P'!$H16+G6</f>
        <v>0</v>
      </c>
      <c r="H8" s="114">
        <f>'Booking-QTY-WRK-P'!$H17+H6</f>
        <v>0</v>
      </c>
      <c r="I8" s="114">
        <f>'Booking-QTY-WRK-P'!$H18+I6</f>
        <v>0</v>
      </c>
      <c r="J8" s="114">
        <f>'Booking-QTY-WRK-P'!$H19+J6</f>
        <v>0</v>
      </c>
      <c r="K8" s="114">
        <f>'Booking-QTY-WRK-P'!$H20+K6</f>
        <v>0</v>
      </c>
      <c r="O8" s="156" t="s">
        <v>75</v>
      </c>
      <c r="P8" s="114">
        <f>'Booking-QTY-WRK-P'!$H23+P6</f>
        <v>0</v>
      </c>
      <c r="Q8" s="114">
        <f>'Booking-QTY-WRK-P'!$H24+Q6</f>
        <v>0</v>
      </c>
      <c r="R8" s="114">
        <f>'Booking-QTY-WRK-P'!$H25+R6</f>
        <v>3</v>
      </c>
      <c r="S8" s="114">
        <f>'Booking-QTY-WRK-P'!$H26+S6</f>
        <v>0</v>
      </c>
      <c r="T8" s="114">
        <f>'Booking-QTY-WRK-P'!$H27+T6</f>
        <v>0</v>
      </c>
      <c r="U8" s="114">
        <f>'Booking-QTY-WRK-P'!$H28+U6</f>
        <v>8</v>
      </c>
      <c r="V8" s="114">
        <f>'Booking-QTY-WRK-P'!$H29+V6</f>
        <v>15</v>
      </c>
    </row>
    <row r="9" spans="1:23" ht="13.5" thickBot="1">
      <c r="A9" s="156" t="s">
        <v>12</v>
      </c>
      <c r="B9" s="114">
        <f>'Booking-QTY-WRK-P'!$J10+B8</f>
        <v>0</v>
      </c>
      <c r="C9" s="114">
        <f>'Booking-QTY-WRK-P'!$J12+C8</f>
        <v>0</v>
      </c>
      <c r="D9" s="114">
        <f>'Booking-QTY-WRK-P'!$J13+D8</f>
        <v>0</v>
      </c>
      <c r="E9" s="114">
        <f>'Booking-QTY-WRK-P'!$J14+E8</f>
        <v>0</v>
      </c>
      <c r="F9" s="114">
        <f>'Booking-QTY-WRK-P'!$J15+F8</f>
        <v>0</v>
      </c>
      <c r="G9" s="114">
        <f>'Booking-QTY-WRK-P'!$J16+G8</f>
        <v>0</v>
      </c>
      <c r="H9" s="114">
        <f>'Booking-QTY-WRK-P'!$J17+H8</f>
        <v>0</v>
      </c>
      <c r="I9" s="114">
        <f>'Booking-QTY-WRK-P'!$J18+I8</f>
        <v>0</v>
      </c>
      <c r="J9" s="114">
        <f>'Booking-QTY-WRK-P'!$J19+J8</f>
        <v>0</v>
      </c>
      <c r="K9" s="114">
        <f>'Booking-QTY-WRK-P'!$J20+K8</f>
        <v>0</v>
      </c>
      <c r="O9" s="156" t="s">
        <v>12</v>
      </c>
      <c r="P9" s="114">
        <f>'Booking-QTY-WRK-P'!$J23+P8</f>
        <v>0</v>
      </c>
      <c r="Q9" s="114">
        <f>'Booking-QTY-WRK-P'!$J24+Q8</f>
        <v>0</v>
      </c>
      <c r="R9" s="114">
        <f>'Booking-QTY-WRK-P'!$J25+R8</f>
        <v>4</v>
      </c>
      <c r="S9" s="114">
        <f>'Booking-QTY-WRK-P'!$J26+S8</f>
        <v>0</v>
      </c>
      <c r="T9" s="114">
        <f>'Booking-QTY-WRK-P'!$J27+T8</f>
        <v>0</v>
      </c>
      <c r="U9" s="114">
        <f>'Booking-QTY-WRK-P'!$J28+U8</f>
        <v>8</v>
      </c>
      <c r="V9" s="114">
        <f>'Booking-QTY-WRK-P'!$J29+V8</f>
        <v>15</v>
      </c>
    </row>
    <row r="10" spans="1:23" ht="21" customHeight="1" thickBot="1">
      <c r="A10" s="156" t="s">
        <v>14</v>
      </c>
      <c r="B10" s="114">
        <f>'Booking-QTY-WRK-P'!$L10+B9</f>
        <v>0</v>
      </c>
      <c r="C10" s="114">
        <f>'Booking-QTY-WRK-P'!$L12+C9</f>
        <v>0</v>
      </c>
      <c r="D10" s="114">
        <f>'Booking-QTY-WRK-P'!$L13+D9</f>
        <v>0</v>
      </c>
      <c r="E10" s="114">
        <f>'Booking-QTY-WRK-P'!$L14+E9</f>
        <v>0</v>
      </c>
      <c r="F10" s="114">
        <f>'Booking-QTY-WRK-P'!$L15+F9</f>
        <v>0</v>
      </c>
      <c r="G10" s="114">
        <f>'Booking-QTY-WRK-P'!$L16+G9</f>
        <v>0</v>
      </c>
      <c r="H10" s="114">
        <f>'Booking-QTY-WRK-P'!$L17+H9</f>
        <v>0</v>
      </c>
      <c r="I10" s="114">
        <f>'Booking-QTY-WRK-P'!$L18+I9</f>
        <v>0</v>
      </c>
      <c r="J10" s="114">
        <f>'Booking-QTY-WRK-P'!$L19+J9</f>
        <v>0</v>
      </c>
      <c r="K10" s="114">
        <f>'Booking-QTY-WRK-P'!$L20+K9</f>
        <v>0</v>
      </c>
      <c r="O10" s="156" t="s">
        <v>14</v>
      </c>
      <c r="P10" s="114">
        <f>'Booking-QTY-WRK-P'!$L23+P9</f>
        <v>0</v>
      </c>
      <c r="Q10" s="114">
        <f>'Booking-QTY-WRK-P'!$L24+Q9</f>
        <v>1</v>
      </c>
      <c r="R10" s="114">
        <f>'Booking-QTY-WRK-P'!$L25+R9</f>
        <v>4</v>
      </c>
      <c r="S10" s="114">
        <f>'Booking-QTY-WRK-P'!$L26+S9</f>
        <v>0</v>
      </c>
      <c r="T10" s="114">
        <f>'Booking-QTY-WRK-P'!$L27+T9</f>
        <v>0</v>
      </c>
      <c r="U10" s="114">
        <f>'Booking-QTY-WRK-P'!$L28+U9</f>
        <v>8</v>
      </c>
      <c r="V10" s="114">
        <f>'Booking-QTY-WRK-P'!$L29+V9</f>
        <v>15</v>
      </c>
    </row>
    <row r="11" spans="1:23" ht="13.5" thickBot="1">
      <c r="A11" s="156" t="s">
        <v>43</v>
      </c>
      <c r="B11" s="114">
        <f t="shared" ref="B11:D11" si="3">B10</f>
        <v>0</v>
      </c>
      <c r="C11" s="114">
        <f t="shared" si="3"/>
        <v>0</v>
      </c>
      <c r="D11" s="114">
        <f t="shared" si="3"/>
        <v>0</v>
      </c>
      <c r="E11" s="114">
        <f>E10</f>
        <v>0</v>
      </c>
      <c r="F11" s="114">
        <f t="shared" ref="F11:K11" si="4">F10</f>
        <v>0</v>
      </c>
      <c r="G11" s="114">
        <f t="shared" si="4"/>
        <v>0</v>
      </c>
      <c r="H11" s="114">
        <f t="shared" si="4"/>
        <v>0</v>
      </c>
      <c r="I11" s="114">
        <f t="shared" si="4"/>
        <v>0</v>
      </c>
      <c r="J11" s="114">
        <f t="shared" si="4"/>
        <v>0</v>
      </c>
      <c r="K11" s="114">
        <f t="shared" si="4"/>
        <v>0</v>
      </c>
      <c r="L11" s="19" t="s">
        <v>201</v>
      </c>
      <c r="O11" s="156" t="s">
        <v>43</v>
      </c>
      <c r="P11" s="114">
        <f>P10</f>
        <v>0</v>
      </c>
      <c r="Q11" s="114">
        <f t="shared" ref="Q11:V11" si="5">Q10</f>
        <v>1</v>
      </c>
      <c r="R11" s="114">
        <f t="shared" si="5"/>
        <v>4</v>
      </c>
      <c r="S11" s="114">
        <f t="shared" si="5"/>
        <v>0</v>
      </c>
      <c r="T11" s="114">
        <f t="shared" si="5"/>
        <v>0</v>
      </c>
      <c r="U11" s="114">
        <f t="shared" si="5"/>
        <v>8</v>
      </c>
      <c r="V11" s="114">
        <f t="shared" si="5"/>
        <v>15</v>
      </c>
      <c r="W11" s="19" t="s">
        <v>201</v>
      </c>
    </row>
    <row r="12" spans="1:23" ht="21.75" customHeight="1" thickBot="1">
      <c r="A12" s="156" t="s">
        <v>13</v>
      </c>
      <c r="B12" s="114">
        <f>'Booking-QTY-WRK-P'!$N10+B10</f>
        <v>0</v>
      </c>
      <c r="C12" s="114">
        <f>'Booking-QTY-WRK-P'!$N12+C10</f>
        <v>0</v>
      </c>
      <c r="D12" s="114">
        <f>'Booking-QTY-WRK-P'!$N13+D10</f>
        <v>0</v>
      </c>
      <c r="E12" s="114">
        <f>'Booking-QTY-WRK-P'!$N14+E10</f>
        <v>0</v>
      </c>
      <c r="F12" s="114">
        <f>'Booking-QTY-WRK-P'!$N15+F10</f>
        <v>0</v>
      </c>
      <c r="G12" s="114">
        <f>'Booking-QTY-WRK-P'!$N16+G10</f>
        <v>0</v>
      </c>
      <c r="H12" s="114">
        <f>'Booking-QTY-WRK-P'!$N17+H10</f>
        <v>0</v>
      </c>
      <c r="I12" s="114">
        <f>'Booking-QTY-WRK-P'!$N18+I10</f>
        <v>0</v>
      </c>
      <c r="J12" s="114">
        <f>'Booking-QTY-WRK-P'!$N19+J10</f>
        <v>0</v>
      </c>
      <c r="K12" s="114">
        <f>'Booking-QTY-WRK-P'!$N20+K10</f>
        <v>0</v>
      </c>
      <c r="O12" s="156" t="s">
        <v>13</v>
      </c>
      <c r="P12" s="114">
        <f>'Booking-QTY-WRK-P'!$N23+P10</f>
        <v>0</v>
      </c>
      <c r="Q12" s="114">
        <f>'Booking-QTY-WRK-P'!$N24+Q10</f>
        <v>1</v>
      </c>
      <c r="R12" s="114">
        <f>'Booking-QTY-WRK-P'!$N25+R10</f>
        <v>8</v>
      </c>
      <c r="S12" s="114">
        <f>'Booking-QTY-WRK-P'!$N26+S10</f>
        <v>0</v>
      </c>
      <c r="T12" s="114">
        <f>'Booking-QTY-WRK-P'!$N27+T10</f>
        <v>0</v>
      </c>
      <c r="U12" s="114">
        <f>'Booking-QTY-WRK-P'!$N28+U10</f>
        <v>8</v>
      </c>
      <c r="V12" s="114">
        <f>'Booking-QTY-WRK-P'!$N29+V10</f>
        <v>15</v>
      </c>
    </row>
    <row r="13" spans="1:23" ht="24" customHeight="1" thickBot="1">
      <c r="A13" s="156" t="s">
        <v>57</v>
      </c>
      <c r="B13" s="114">
        <f>'Booking-QTY-WRK-P'!$P10+B12</f>
        <v>0</v>
      </c>
      <c r="C13" s="114">
        <f>'Booking-QTY-WRK-P'!$P12+C12</f>
        <v>0</v>
      </c>
      <c r="D13" s="114">
        <f>'Booking-QTY-WRK-P'!$P13+D12</f>
        <v>0</v>
      </c>
      <c r="E13" s="114">
        <f>'Booking-QTY-WRK-P'!$P14+E12</f>
        <v>0</v>
      </c>
      <c r="F13" s="114">
        <f>'Booking-QTY-WRK-P'!$P15+F12</f>
        <v>0</v>
      </c>
      <c r="G13" s="114">
        <f>'Booking-QTY-WRK-P'!$P16+G12</f>
        <v>0</v>
      </c>
      <c r="H13" s="114">
        <f>'Booking-QTY-WRK-P'!$P17+H12</f>
        <v>0</v>
      </c>
      <c r="I13" s="114">
        <f>'Booking-QTY-WRK-P'!$P18+I12</f>
        <v>0</v>
      </c>
      <c r="J13" s="114">
        <f>'Booking-QTY-WRK-P'!$P19+J12</f>
        <v>0</v>
      </c>
      <c r="K13" s="114">
        <f>'Booking-QTY-WRK-P'!$P20+K12</f>
        <v>0</v>
      </c>
      <c r="O13" s="156" t="s">
        <v>57</v>
      </c>
      <c r="P13" s="114">
        <f>'Booking-QTY-WRK-P'!$P23+P12</f>
        <v>0</v>
      </c>
      <c r="Q13" s="114">
        <f>'Booking-QTY-WRK-P'!$P24+Q12</f>
        <v>1</v>
      </c>
      <c r="R13" s="114">
        <f>'Booking-QTY-WRK-P'!$P25+R12</f>
        <v>8</v>
      </c>
      <c r="S13" s="114">
        <f>'Booking-QTY-WRK-P'!$P26+S12</f>
        <v>3</v>
      </c>
      <c r="T13" s="114">
        <f>'Booking-QTY-WRK-P'!$P27+T12</f>
        <v>0</v>
      </c>
      <c r="U13" s="114">
        <f>'Booking-QTY-WRK-P'!$P28+U12</f>
        <v>8</v>
      </c>
      <c r="V13" s="114">
        <f>'Booking-QTY-WRK-P'!$P29+V12</f>
        <v>15</v>
      </c>
    </row>
    <row r="14" spans="1:23" ht="27.75" customHeight="1" thickBot="1">
      <c r="A14" s="156" t="s">
        <v>15</v>
      </c>
      <c r="B14" s="114">
        <f>'Booking-QTY-WRK-P'!$R10+B13</f>
        <v>0</v>
      </c>
      <c r="C14" s="114">
        <f>'Booking-QTY-WRK-P'!$R12+C13</f>
        <v>0</v>
      </c>
      <c r="D14" s="114">
        <f>'Booking-QTY-WRK-P'!$R13+D13</f>
        <v>0</v>
      </c>
      <c r="E14" s="114">
        <f>'Booking-QTY-WRK-P'!$R14+E13</f>
        <v>0</v>
      </c>
      <c r="F14" s="114">
        <f>'Booking-QTY-WRK-P'!$R15+F13</f>
        <v>0</v>
      </c>
      <c r="G14" s="114">
        <f>'Booking-QTY-WRK-P'!$R16+G13</f>
        <v>0</v>
      </c>
      <c r="H14" s="114">
        <f>'Booking-QTY-WRK-P'!$R17+H13</f>
        <v>0</v>
      </c>
      <c r="I14" s="114">
        <f>'Booking-QTY-WRK-P'!$R18+I13</f>
        <v>0</v>
      </c>
      <c r="J14" s="114">
        <f>'Booking-QTY-WRK-P'!$R19+J13</f>
        <v>0</v>
      </c>
      <c r="K14" s="114">
        <f>'Booking-QTY-WRK-P'!$R20+K13</f>
        <v>0</v>
      </c>
      <c r="O14" s="156" t="s">
        <v>15</v>
      </c>
      <c r="P14" s="114">
        <f>'Booking-QTY-WRK-P'!$R23+P13</f>
        <v>2</v>
      </c>
      <c r="Q14" s="114">
        <f>'Booking-QTY-WRK-P'!$R24+Q13</f>
        <v>1</v>
      </c>
      <c r="R14" s="114">
        <f>'Booking-QTY-WRK-P'!$R25+R13</f>
        <v>8</v>
      </c>
      <c r="S14" s="114">
        <f>'Booking-QTY-WRK-P'!$R26+S13</f>
        <v>3</v>
      </c>
      <c r="T14" s="114">
        <f>'Booking-QTY-WRK-P'!$R27+T13</f>
        <v>0</v>
      </c>
      <c r="U14" s="114">
        <f>'Booking-QTY-WRK-P'!$R28+U13</f>
        <v>8</v>
      </c>
      <c r="V14" s="114">
        <f>'Booking-QTY-WRK-P'!$R29+V13</f>
        <v>15</v>
      </c>
    </row>
    <row r="15" spans="1:23" ht="13.5" thickBot="1">
      <c r="A15" s="156" t="s">
        <v>44</v>
      </c>
      <c r="B15" s="114">
        <f t="shared" ref="B15:D15" si="6">B14</f>
        <v>0</v>
      </c>
      <c r="C15" s="114">
        <f t="shared" si="6"/>
        <v>0</v>
      </c>
      <c r="D15" s="114">
        <f t="shared" si="6"/>
        <v>0</v>
      </c>
      <c r="E15" s="114">
        <f>E14</f>
        <v>0</v>
      </c>
      <c r="F15" s="114">
        <f t="shared" ref="F15:K15" si="7">F14</f>
        <v>0</v>
      </c>
      <c r="G15" s="114">
        <f t="shared" si="7"/>
        <v>0</v>
      </c>
      <c r="H15" s="114">
        <f t="shared" si="7"/>
        <v>0</v>
      </c>
      <c r="I15" s="114">
        <f t="shared" si="7"/>
        <v>0</v>
      </c>
      <c r="J15" s="114">
        <f t="shared" si="7"/>
        <v>0</v>
      </c>
      <c r="K15" s="114">
        <f t="shared" si="7"/>
        <v>0</v>
      </c>
      <c r="L15" s="19" t="s">
        <v>201</v>
      </c>
      <c r="O15" s="156" t="s">
        <v>44</v>
      </c>
      <c r="P15" s="114">
        <f>P14</f>
        <v>2</v>
      </c>
      <c r="Q15" s="114">
        <f t="shared" ref="Q15:V15" si="8">Q14</f>
        <v>1</v>
      </c>
      <c r="R15" s="114">
        <f t="shared" si="8"/>
        <v>8</v>
      </c>
      <c r="S15" s="114">
        <f t="shared" si="8"/>
        <v>3</v>
      </c>
      <c r="T15" s="114">
        <f t="shared" si="8"/>
        <v>0</v>
      </c>
      <c r="U15" s="114">
        <f t="shared" si="8"/>
        <v>8</v>
      </c>
      <c r="V15" s="114">
        <f t="shared" si="8"/>
        <v>15</v>
      </c>
      <c r="W15" s="19" t="s">
        <v>201</v>
      </c>
    </row>
    <row r="16" spans="1:23" ht="13.5" thickBot="1">
      <c r="A16" s="156" t="s">
        <v>17</v>
      </c>
      <c r="B16" s="114">
        <f>'Booking-QTY-WRK-P'!$T10+B14</f>
        <v>0</v>
      </c>
      <c r="C16" s="114">
        <f>'Booking-QTY-WRK-P'!$T12+C14</f>
        <v>0</v>
      </c>
      <c r="D16" s="114">
        <f>'Booking-QTY-WRK-P'!$T13+D14</f>
        <v>0</v>
      </c>
      <c r="E16" s="114">
        <f>'Booking-QTY-WRK-P'!$T14+E14</f>
        <v>0</v>
      </c>
      <c r="F16" s="114">
        <f>'Booking-QTY-WRK-P'!$T15+F14</f>
        <v>0</v>
      </c>
      <c r="G16" s="114">
        <f>'Booking-QTY-WRK-P'!$T16+G14</f>
        <v>0</v>
      </c>
      <c r="H16" s="114">
        <f>'Booking-QTY-WRK-P'!$T17+H14</f>
        <v>0</v>
      </c>
      <c r="I16" s="114">
        <f>'Booking-QTY-WRK-P'!$T18+I14</f>
        <v>0</v>
      </c>
      <c r="J16" s="114">
        <f>'Booking-QTY-WRK-P'!$T19+J14</f>
        <v>0</v>
      </c>
      <c r="K16" s="114">
        <f>'Booking-QTY-WRK-P'!$T20+K14</f>
        <v>0</v>
      </c>
      <c r="O16" s="156" t="s">
        <v>17</v>
      </c>
      <c r="P16" s="114">
        <f>'Booking-QTY-WRK-P'!$T23+P14</f>
        <v>2</v>
      </c>
      <c r="Q16" s="114">
        <f>'Booking-QTY-WRK-P'!$T24+Q14</f>
        <v>1</v>
      </c>
      <c r="R16" s="114">
        <f>'Booking-QTY-WRK-P'!$T25+R14</f>
        <v>8</v>
      </c>
      <c r="S16" s="114">
        <f>'Booking-QTY-WRK-P'!$T26+S14</f>
        <v>3</v>
      </c>
      <c r="T16" s="114">
        <f>'Booking-QTY-WRK-P'!$T27+T14</f>
        <v>0</v>
      </c>
      <c r="U16" s="114">
        <f>'Booking-QTY-WRK-P'!$T28+U14</f>
        <v>12</v>
      </c>
      <c r="V16" s="114">
        <f>'Booking-QTY-WRK-P'!$T29+V14</f>
        <v>15</v>
      </c>
    </row>
    <row r="17" spans="1:23" ht="27.75" customHeight="1" thickBot="1">
      <c r="A17" s="156" t="s">
        <v>59</v>
      </c>
      <c r="B17" s="114">
        <f>'Booking-QTY-WRK-P'!$V10+B16</f>
        <v>0</v>
      </c>
      <c r="C17" s="114">
        <f>'Booking-QTY-WRK-P'!$V12+C16</f>
        <v>0</v>
      </c>
      <c r="D17" s="114">
        <f>'Booking-QTY-WRK-P'!$V13+D16</f>
        <v>0</v>
      </c>
      <c r="E17" s="114">
        <f>'Booking-QTY-WRK-P'!$V14+E16</f>
        <v>0</v>
      </c>
      <c r="F17" s="114">
        <f>'Booking-QTY-WRK-P'!$V15+F16</f>
        <v>0</v>
      </c>
      <c r="G17" s="114">
        <f>'Booking-QTY-WRK-P'!$V16+G16</f>
        <v>0</v>
      </c>
      <c r="H17" s="114">
        <f>'Booking-QTY-WRK-P'!$V17+H16</f>
        <v>0</v>
      </c>
      <c r="I17" s="114">
        <f>'Booking-QTY-WRK-P'!$V18+I16</f>
        <v>0</v>
      </c>
      <c r="J17" s="114">
        <f>'Booking-QTY-WRK-P'!$V19+J16</f>
        <v>0</v>
      </c>
      <c r="K17" s="114">
        <f>'Booking-QTY-WRK-P'!$V20+K16</f>
        <v>0</v>
      </c>
      <c r="O17" s="156" t="s">
        <v>59</v>
      </c>
      <c r="P17" s="114">
        <f>'Booking-QTY-WRK-P'!$V23+P16</f>
        <v>2</v>
      </c>
      <c r="Q17" s="114">
        <f>'Booking-QTY-WRK-P'!$V24+Q16</f>
        <v>3</v>
      </c>
      <c r="R17" s="114">
        <f>'Booking-QTY-WRK-P'!$V25+R16</f>
        <v>8</v>
      </c>
      <c r="S17" s="114">
        <f>'Booking-QTY-WRK-P'!$V26+S16</f>
        <v>3</v>
      </c>
      <c r="T17" s="114">
        <f>'Booking-QTY-WRK-P'!$V27+T16</f>
        <v>0</v>
      </c>
      <c r="U17" s="114">
        <f>'Booking-QTY-WRK-P'!$V28+U16</f>
        <v>12</v>
      </c>
      <c r="V17" s="114">
        <f>'Booking-QTY-WRK-P'!$V29+V16</f>
        <v>15</v>
      </c>
    </row>
    <row r="18" spans="1:23" ht="27.75" customHeight="1" thickBot="1">
      <c r="A18" s="156" t="s">
        <v>60</v>
      </c>
      <c r="B18" s="114">
        <f>'Booking-QTY-WRK-P'!$X10+B17</f>
        <v>0</v>
      </c>
      <c r="C18" s="114">
        <f>'Booking-QTY-WRK-P'!$X12+C17</f>
        <v>0</v>
      </c>
      <c r="D18" s="114">
        <f>'Booking-QTY-WRK-P'!$X13+D17</f>
        <v>0</v>
      </c>
      <c r="E18" s="114">
        <f>'Booking-QTY-WRK-P'!$X14+E17</f>
        <v>0</v>
      </c>
      <c r="F18" s="114">
        <f>'Booking-QTY-WRK-P'!$X15+F17</f>
        <v>0</v>
      </c>
      <c r="G18" s="114">
        <f>'Booking-QTY-WRK-P'!$X16+G17</f>
        <v>0</v>
      </c>
      <c r="H18" s="114">
        <f>'Booking-QTY-WRK-P'!$X17+H17</f>
        <v>0</v>
      </c>
      <c r="I18" s="114">
        <f>'Booking-QTY-WRK-P'!$X18+I17</f>
        <v>0</v>
      </c>
      <c r="J18" s="114">
        <f>'Booking-QTY-WRK-P'!$X19+J17</f>
        <v>0</v>
      </c>
      <c r="K18" s="114">
        <f>'Booking-QTY-WRK-P'!$X20+K17</f>
        <v>0</v>
      </c>
      <c r="O18" s="156" t="s">
        <v>60</v>
      </c>
      <c r="P18" s="114">
        <f>'Booking-QTY-WRK-P'!$X23+P17</f>
        <v>5</v>
      </c>
      <c r="Q18" s="114">
        <f>'Booking-QTY-WRK-P'!$X24+Q17</f>
        <v>3</v>
      </c>
      <c r="R18" s="114">
        <f>'Booking-QTY-WRK-P'!$X25+R17</f>
        <v>8</v>
      </c>
      <c r="S18" s="114">
        <f>'Booking-QTY-WRK-P'!$X26+S17</f>
        <v>3</v>
      </c>
      <c r="T18" s="114">
        <f>'Booking-QTY-WRK-P'!$X27+T17</f>
        <v>0</v>
      </c>
      <c r="U18" s="114">
        <f>'Booking-QTY-WRK-P'!$X28+U17</f>
        <v>12</v>
      </c>
      <c r="V18" s="114">
        <f>'Booking-QTY-WRK-P'!$X29+V17</f>
        <v>15</v>
      </c>
    </row>
    <row r="19" spans="1:23" ht="13.5" thickBot="1">
      <c r="A19" s="156" t="s">
        <v>45</v>
      </c>
      <c r="B19" s="114">
        <f t="shared" ref="B19:D19" si="9">B18</f>
        <v>0</v>
      </c>
      <c r="C19" s="114">
        <f t="shared" si="9"/>
        <v>0</v>
      </c>
      <c r="D19" s="114">
        <f t="shared" si="9"/>
        <v>0</v>
      </c>
      <c r="E19" s="114">
        <f>E18</f>
        <v>0</v>
      </c>
      <c r="F19" s="114">
        <f t="shared" ref="F19:K19" si="10">F18</f>
        <v>0</v>
      </c>
      <c r="G19" s="114">
        <f t="shared" si="10"/>
        <v>0</v>
      </c>
      <c r="H19" s="114">
        <f t="shared" si="10"/>
        <v>0</v>
      </c>
      <c r="I19" s="114">
        <f t="shared" si="10"/>
        <v>0</v>
      </c>
      <c r="J19" s="114">
        <f t="shared" si="10"/>
        <v>0</v>
      </c>
      <c r="K19" s="114">
        <f t="shared" si="10"/>
        <v>0</v>
      </c>
      <c r="O19" s="156" t="s">
        <v>45</v>
      </c>
      <c r="P19" s="114">
        <f>P18</f>
        <v>5</v>
      </c>
      <c r="Q19" s="114">
        <f t="shared" ref="Q19:V19" si="11">Q18</f>
        <v>3</v>
      </c>
      <c r="R19" s="114">
        <f t="shared" si="11"/>
        <v>8</v>
      </c>
      <c r="S19" s="114">
        <f t="shared" si="11"/>
        <v>3</v>
      </c>
      <c r="T19" s="114">
        <f t="shared" si="11"/>
        <v>0</v>
      </c>
      <c r="U19" s="114">
        <f t="shared" si="11"/>
        <v>12</v>
      </c>
      <c r="V19" s="114">
        <f t="shared" si="11"/>
        <v>15</v>
      </c>
    </row>
    <row r="20" spans="1:23">
      <c r="A20" s="403" t="s">
        <v>196</v>
      </c>
      <c r="B20" s="403"/>
      <c r="C20" s="403"/>
      <c r="D20" s="403"/>
      <c r="E20" s="403"/>
      <c r="F20" s="403"/>
      <c r="G20" s="403"/>
      <c r="H20" s="403"/>
      <c r="I20" s="403"/>
      <c r="J20" s="403"/>
      <c r="K20" s="403"/>
      <c r="O20" s="403" t="s">
        <v>196</v>
      </c>
      <c r="P20" s="403"/>
      <c r="Q20" s="403"/>
      <c r="R20" s="403"/>
      <c r="S20" s="403"/>
      <c r="T20" s="403"/>
      <c r="U20" s="403"/>
      <c r="V20" s="403"/>
    </row>
    <row r="21" spans="1:23" ht="13.5" thickBot="1">
      <c r="A21" s="183" t="s">
        <v>193</v>
      </c>
      <c r="B21" s="183">
        <v>775</v>
      </c>
      <c r="C21" s="183">
        <v>1010</v>
      </c>
      <c r="D21" s="183">
        <v>1250</v>
      </c>
      <c r="E21" s="183">
        <v>1500</v>
      </c>
      <c r="F21" s="183">
        <v>1850</v>
      </c>
      <c r="G21" s="183">
        <v>2000</v>
      </c>
      <c r="H21" s="183">
        <v>2250</v>
      </c>
      <c r="I21" s="183">
        <v>2500</v>
      </c>
      <c r="J21" s="184">
        <v>2750</v>
      </c>
      <c r="K21" s="184">
        <v>3000</v>
      </c>
      <c r="O21" s="183" t="s">
        <v>193</v>
      </c>
      <c r="P21" s="183">
        <v>750</v>
      </c>
      <c r="Q21" s="183">
        <v>1010</v>
      </c>
      <c r="R21" s="183">
        <v>1250</v>
      </c>
      <c r="S21" s="183">
        <v>1500</v>
      </c>
      <c r="T21" s="183">
        <v>1800</v>
      </c>
      <c r="U21" s="183">
        <v>2000</v>
      </c>
      <c r="V21" s="183">
        <v>2250</v>
      </c>
    </row>
    <row r="22" spans="1:23" ht="13.5" thickBot="1">
      <c r="A22" s="156" t="s">
        <v>194</v>
      </c>
      <c r="B22" s="114">
        <f>'Booking-QTY-WRK-P'!$C10</f>
        <v>0</v>
      </c>
      <c r="C22" s="114">
        <f>'Booking-QTY-WRK-P'!$C12</f>
        <v>0</v>
      </c>
      <c r="D22" s="114">
        <f>'Booking-QTY-WRK-P'!$C13</f>
        <v>0</v>
      </c>
      <c r="E22" s="114">
        <f>'Booking-QTY-WRK-P'!$C14</f>
        <v>0</v>
      </c>
      <c r="F22" s="114">
        <f>'Booking-QTY-WRK-P'!$C15</f>
        <v>0</v>
      </c>
      <c r="G22" s="114">
        <f>'Booking-QTY-WRK-P'!$C16</f>
        <v>0</v>
      </c>
      <c r="H22" s="114">
        <f>'Booking-QTY-WRK-P'!$C17</f>
        <v>0</v>
      </c>
      <c r="I22" s="114">
        <f>'Booking-QTY-WRK-P'!$C18</f>
        <v>0</v>
      </c>
      <c r="J22" s="114">
        <f>'Booking-QTY-WRK-P'!$C19</f>
        <v>0</v>
      </c>
      <c r="K22" s="114">
        <f>'Booking-QTY-WRK-P'!$C20</f>
        <v>0</v>
      </c>
      <c r="O22" s="156" t="s">
        <v>194</v>
      </c>
      <c r="P22" s="114">
        <f>'Booking-QTY-WRK-P'!$C23</f>
        <v>0</v>
      </c>
      <c r="Q22" s="114">
        <f>'Booking-QTY-WRK-P'!$C24</f>
        <v>0</v>
      </c>
      <c r="R22" s="114">
        <f>'Booking-QTY-WRK-P'!$C25</f>
        <v>0</v>
      </c>
      <c r="S22" s="114">
        <f>'Booking-QTY-WRK-P'!$C26</f>
        <v>0</v>
      </c>
      <c r="T22" s="114">
        <f>'Booking-QTY-WRK-P'!$C27</f>
        <v>0</v>
      </c>
      <c r="U22" s="114">
        <f>'Booking-QTY-WRK-P'!$C28</f>
        <v>0</v>
      </c>
      <c r="V22" s="114">
        <f>'Booking-QTY-WRK-P'!$C29</f>
        <v>0</v>
      </c>
    </row>
    <row r="23" spans="1:23" ht="13.5" thickBot="1">
      <c r="A23" s="156" t="s">
        <v>8</v>
      </c>
      <c r="B23" s="114">
        <f>'Booking-QTY-WRK-P'!$E10+B22</f>
        <v>0</v>
      </c>
      <c r="C23" s="114">
        <f>'Booking-QTY-WRK-P'!$E12+C22</f>
        <v>0</v>
      </c>
      <c r="D23" s="114">
        <f>'Booking-QTY-WRK-P'!$E13+D22</f>
        <v>0</v>
      </c>
      <c r="E23" s="114">
        <f>'Booking-QTY-WRK-P'!$E14+E22</f>
        <v>0</v>
      </c>
      <c r="F23" s="114">
        <f>'Booking-QTY-WRK-P'!$E15+F22</f>
        <v>0</v>
      </c>
      <c r="G23" s="114">
        <f>'Booking-QTY-WRK-P'!$E16+G22</f>
        <v>0</v>
      </c>
      <c r="H23" s="114">
        <f>'Booking-QTY-WRK-P'!$E17+H22</f>
        <v>0</v>
      </c>
      <c r="I23" s="114">
        <f>'Booking-QTY-WRK-P'!$E18+I22</f>
        <v>0</v>
      </c>
      <c r="J23" s="114">
        <f>'Booking-QTY-WRK-P'!$E19+J22</f>
        <v>0</v>
      </c>
      <c r="K23" s="114">
        <f>'Booking-QTY-WRK-P'!$E20+K22</f>
        <v>0</v>
      </c>
      <c r="O23" s="156" t="s">
        <v>8</v>
      </c>
      <c r="P23" s="114">
        <f>'Booking-QTY-WRK-P'!$E23+P22</f>
        <v>0</v>
      </c>
      <c r="Q23" s="114">
        <f>'Booking-QTY-WRK-P'!$E24+Q22</f>
        <v>0</v>
      </c>
      <c r="R23" s="114">
        <f>'Booking-QTY-WRK-P'!$E25+R22</f>
        <v>0</v>
      </c>
      <c r="S23" s="114">
        <f>'Booking-QTY-WRK-P'!$E26+S22</f>
        <v>0</v>
      </c>
      <c r="T23" s="114">
        <f>'Booking-QTY-WRK-P'!$E27+T22</f>
        <v>0</v>
      </c>
      <c r="U23" s="114">
        <f>'Booking-QTY-WRK-P'!$E28+U22</f>
        <v>0</v>
      </c>
      <c r="V23" s="114">
        <f>'Booking-QTY-WRK-P'!$E29+V22</f>
        <v>0</v>
      </c>
    </row>
    <row r="24" spans="1:23" ht="13.5" thickBot="1">
      <c r="A24" s="156" t="s">
        <v>74</v>
      </c>
      <c r="B24" s="114">
        <f>'Booking-QTY-WRK-P'!$G10+B23</f>
        <v>0</v>
      </c>
      <c r="C24" s="114">
        <f>'Booking-QTY-WRK-P'!$G12+C23</f>
        <v>0</v>
      </c>
      <c r="D24" s="114">
        <f>'Booking-QTY-WRK-P'!$G13+D23</f>
        <v>0</v>
      </c>
      <c r="E24" s="114">
        <f>'Booking-QTY-WRK-P'!$G14+E23</f>
        <v>0</v>
      </c>
      <c r="F24" s="114">
        <f>'Booking-QTY-WRK-P'!$G15+F23</f>
        <v>0</v>
      </c>
      <c r="G24" s="114">
        <f>'Booking-QTY-WRK-P'!$G16+G23</f>
        <v>0</v>
      </c>
      <c r="H24" s="114">
        <f>'Booking-QTY-WRK-P'!$G17+H23</f>
        <v>0</v>
      </c>
      <c r="I24" s="114">
        <f>'Booking-QTY-WRK-P'!$G18+I23</f>
        <v>0</v>
      </c>
      <c r="J24" s="114">
        <f>'Booking-QTY-WRK-P'!$G19+J23</f>
        <v>0</v>
      </c>
      <c r="K24" s="114">
        <f>'Booking-QTY-WRK-P'!$G20+K23</f>
        <v>0</v>
      </c>
      <c r="O24" s="156" t="s">
        <v>74</v>
      </c>
      <c r="P24" s="114">
        <f>'Booking-QTY-WRK-P'!$G23+P23</f>
        <v>2</v>
      </c>
      <c r="Q24" s="114">
        <f>'Booking-QTY-WRK-P'!$G24+Q23</f>
        <v>1</v>
      </c>
      <c r="R24" s="114">
        <f>'Booking-QTY-WRK-P'!$G25+R23</f>
        <v>1</v>
      </c>
      <c r="S24" s="114">
        <f>'Booking-QTY-WRK-P'!$G26+S23</f>
        <v>0</v>
      </c>
      <c r="T24" s="114">
        <f>'Booking-QTY-WRK-P'!$G27+T23</f>
        <v>0</v>
      </c>
      <c r="U24" s="114">
        <f>'Booking-QTY-WRK-P'!$G28+U23</f>
        <v>0</v>
      </c>
      <c r="V24" s="114">
        <f>'Booking-QTY-WRK-P'!$G29+V23</f>
        <v>0</v>
      </c>
    </row>
    <row r="25" spans="1:23" ht="13.5" thickBot="1">
      <c r="A25" s="156" t="s">
        <v>42</v>
      </c>
      <c r="B25" s="114">
        <f>B24</f>
        <v>0</v>
      </c>
      <c r="C25" s="114">
        <f t="shared" ref="C25:K25" si="12">C24</f>
        <v>0</v>
      </c>
      <c r="D25" s="114">
        <f t="shared" si="12"/>
        <v>0</v>
      </c>
      <c r="E25" s="114">
        <f t="shared" si="12"/>
        <v>0</v>
      </c>
      <c r="F25" s="114">
        <f t="shared" si="12"/>
        <v>0</v>
      </c>
      <c r="G25" s="114">
        <f t="shared" si="12"/>
        <v>0</v>
      </c>
      <c r="H25" s="114">
        <f t="shared" si="12"/>
        <v>0</v>
      </c>
      <c r="I25" s="114">
        <f t="shared" si="12"/>
        <v>0</v>
      </c>
      <c r="J25" s="114">
        <f t="shared" si="12"/>
        <v>0</v>
      </c>
      <c r="K25" s="114">
        <f t="shared" si="12"/>
        <v>0</v>
      </c>
      <c r="L25" s="19" t="s">
        <v>201</v>
      </c>
      <c r="O25" s="156" t="s">
        <v>42</v>
      </c>
      <c r="P25" s="114">
        <f>P24</f>
        <v>2</v>
      </c>
      <c r="Q25" s="114">
        <f>Q24</f>
        <v>1</v>
      </c>
      <c r="R25" s="114">
        <f t="shared" ref="R25:V25" si="13">R24</f>
        <v>1</v>
      </c>
      <c r="S25" s="114">
        <f t="shared" si="13"/>
        <v>0</v>
      </c>
      <c r="T25" s="114">
        <f t="shared" si="13"/>
        <v>0</v>
      </c>
      <c r="U25" s="114">
        <f t="shared" si="13"/>
        <v>0</v>
      </c>
      <c r="V25" s="114">
        <f t="shared" si="13"/>
        <v>0</v>
      </c>
      <c r="W25" s="19" t="s">
        <v>201</v>
      </c>
    </row>
    <row r="26" spans="1:23" ht="13.5" thickBot="1">
      <c r="A26" s="156" t="s">
        <v>75</v>
      </c>
      <c r="B26" s="114">
        <f>'Booking-QTY-WRK-P'!$I10+B24</f>
        <v>0</v>
      </c>
      <c r="C26" s="114">
        <f>'Booking-QTY-WRK-P'!$I12+C24</f>
        <v>0</v>
      </c>
      <c r="D26" s="114">
        <f>'Booking-QTY-WRK-P'!$I13+D24</f>
        <v>0</v>
      </c>
      <c r="E26" s="114">
        <f>'Booking-QTY-WRK-P'!$I14+E24</f>
        <v>0</v>
      </c>
      <c r="F26" s="114">
        <f>'Booking-QTY-WRK-P'!$I15+F24</f>
        <v>0</v>
      </c>
      <c r="G26" s="114">
        <f>'Booking-QTY-WRK-P'!$I16+G24</f>
        <v>0</v>
      </c>
      <c r="H26" s="114">
        <f>'Booking-QTY-WRK-P'!$I17+H24</f>
        <v>0</v>
      </c>
      <c r="I26" s="114">
        <f>'Booking-QTY-WRK-P'!$I18+I24</f>
        <v>0</v>
      </c>
      <c r="J26" s="114">
        <f>'Booking-QTY-WRK-P'!$I19+J24</f>
        <v>0</v>
      </c>
      <c r="K26" s="114">
        <f>'Booking-QTY-WRK-P'!$I20+K24</f>
        <v>0</v>
      </c>
      <c r="O26" s="156" t="s">
        <v>75</v>
      </c>
      <c r="P26" s="114">
        <f>'Booking-QTY-WRK-P'!$I23+P24</f>
        <v>2</v>
      </c>
      <c r="Q26" s="114">
        <f>'Booking-QTY-WRK-P'!$I24+Q24</f>
        <v>3</v>
      </c>
      <c r="R26" s="114">
        <f>'Booking-QTY-WRK-P'!$I25+R24</f>
        <v>1</v>
      </c>
      <c r="S26" s="114">
        <f>'Booking-QTY-WRK-P'!$I26+S24</f>
        <v>0</v>
      </c>
      <c r="T26" s="114">
        <f>'Booking-QTY-WRK-P'!$I27+T24</f>
        <v>0</v>
      </c>
      <c r="U26" s="114">
        <f>'Booking-QTY-WRK-P'!$I28+U24</f>
        <v>0</v>
      </c>
      <c r="V26" s="114">
        <f>'Booking-QTY-WRK-P'!$I29+V24</f>
        <v>0</v>
      </c>
    </row>
    <row r="27" spans="1:23" ht="13.5" thickBot="1">
      <c r="A27" s="156" t="s">
        <v>12</v>
      </c>
      <c r="B27" s="114">
        <f>'Booking-QTY-WRK-P'!$K10+B26</f>
        <v>0</v>
      </c>
      <c r="C27" s="114">
        <f>'Booking-QTY-WRK-P'!$K12+C26</f>
        <v>0</v>
      </c>
      <c r="D27" s="114">
        <f>'Booking-QTY-WRK-P'!$K13+D26</f>
        <v>0</v>
      </c>
      <c r="E27" s="114">
        <f>'Booking-QTY-WRK-P'!$K14+E26</f>
        <v>0</v>
      </c>
      <c r="F27" s="114">
        <f>'Booking-QTY-WRK-P'!$K15+F26</f>
        <v>0</v>
      </c>
      <c r="G27" s="114">
        <f>'Booking-QTY-WRK-P'!$K16+G26</f>
        <v>0</v>
      </c>
      <c r="H27" s="114">
        <f>'Booking-QTY-WRK-P'!$K17+H26</f>
        <v>0</v>
      </c>
      <c r="I27" s="114">
        <f>'Booking-QTY-WRK-P'!$K18+I26</f>
        <v>0</v>
      </c>
      <c r="J27" s="114">
        <f>'Booking-QTY-WRK-P'!$K19+J26</f>
        <v>0</v>
      </c>
      <c r="K27" s="114">
        <f>'Booking-QTY-WRK-P'!$K20+K26</f>
        <v>0</v>
      </c>
      <c r="O27" s="156" t="s">
        <v>12</v>
      </c>
      <c r="P27" s="114">
        <f>'Booking-QTY-WRK-P'!$K23+P26</f>
        <v>2</v>
      </c>
      <c r="Q27" s="114">
        <f>'Booking-QTY-WRK-P'!$K24+Q26</f>
        <v>3</v>
      </c>
      <c r="R27" s="114">
        <f>'Booking-QTY-WRK-P'!$K25+R26</f>
        <v>1</v>
      </c>
      <c r="S27" s="114">
        <f>'Booking-QTY-WRK-P'!$K26+S26</f>
        <v>0</v>
      </c>
      <c r="T27" s="114">
        <f>'Booking-QTY-WRK-P'!$K27+T26</f>
        <v>0</v>
      </c>
      <c r="U27" s="114">
        <f>'Booking-QTY-WRK-P'!$K28+U26</f>
        <v>7</v>
      </c>
      <c r="V27" s="114">
        <f>'Booking-QTY-WRK-P'!$K29+V26</f>
        <v>0</v>
      </c>
    </row>
    <row r="28" spans="1:23" ht="13.5" thickBot="1">
      <c r="A28" s="156" t="s">
        <v>14</v>
      </c>
      <c r="B28" s="114">
        <f>'Booking-QTY-WRK-P'!$M10+B27</f>
        <v>0</v>
      </c>
      <c r="C28" s="114">
        <f>'Booking-QTY-WRK-P'!$M12+C27</f>
        <v>0</v>
      </c>
      <c r="D28" s="114">
        <f>'Booking-QTY-WRK-P'!$M13+D27</f>
        <v>0</v>
      </c>
      <c r="E28" s="114">
        <f>'Booking-QTY-WRK-P'!$M14+E27</f>
        <v>0</v>
      </c>
      <c r="F28" s="114">
        <f>'Booking-QTY-WRK-P'!$M15+F27</f>
        <v>0</v>
      </c>
      <c r="G28" s="114">
        <f>'Booking-QTY-WRK-P'!$M16+G27</f>
        <v>0</v>
      </c>
      <c r="H28" s="114">
        <f>'Booking-QTY-WRK-P'!$M17+H27</f>
        <v>0</v>
      </c>
      <c r="I28" s="114">
        <f>'Booking-QTY-WRK-P'!$M18+I27</f>
        <v>0</v>
      </c>
      <c r="J28" s="114">
        <f>'Booking-QTY-WRK-P'!$M19+J27</f>
        <v>0</v>
      </c>
      <c r="K28" s="114">
        <f>'Booking-QTY-WRK-P'!$M20+K27</f>
        <v>0</v>
      </c>
      <c r="O28" s="156" t="s">
        <v>14</v>
      </c>
      <c r="P28" s="114">
        <f>'Booking-QTY-WRK-P'!$M23+P27</f>
        <v>2</v>
      </c>
      <c r="Q28" s="114">
        <f>'Booking-QTY-WRK-P'!$M24+Q27</f>
        <v>3</v>
      </c>
      <c r="R28" s="114">
        <f>'Booking-QTY-WRK-P'!$M25+R27</f>
        <v>1</v>
      </c>
      <c r="S28" s="114">
        <f>'Booking-QTY-WRK-P'!$M26+S27</f>
        <v>0</v>
      </c>
      <c r="T28" s="114">
        <f>'Booking-QTY-WRK-P'!$M27+T27</f>
        <v>0</v>
      </c>
      <c r="U28" s="114">
        <f>'Booking-QTY-WRK-P'!$M28+U27</f>
        <v>7</v>
      </c>
      <c r="V28" s="114">
        <f>'Booking-QTY-WRK-P'!$M29+V27</f>
        <v>0</v>
      </c>
    </row>
    <row r="29" spans="1:23" ht="13.5" thickBot="1">
      <c r="A29" s="156" t="s">
        <v>43</v>
      </c>
      <c r="B29" s="114">
        <f>B28</f>
        <v>0</v>
      </c>
      <c r="C29" s="114">
        <f t="shared" ref="C29:K29" si="14">C28</f>
        <v>0</v>
      </c>
      <c r="D29" s="114">
        <f t="shared" si="14"/>
        <v>0</v>
      </c>
      <c r="E29" s="114">
        <f t="shared" si="14"/>
        <v>0</v>
      </c>
      <c r="F29" s="114">
        <f t="shared" si="14"/>
        <v>0</v>
      </c>
      <c r="G29" s="114">
        <f t="shared" si="14"/>
        <v>0</v>
      </c>
      <c r="H29" s="114">
        <f t="shared" si="14"/>
        <v>0</v>
      </c>
      <c r="I29" s="114">
        <f t="shared" si="14"/>
        <v>0</v>
      </c>
      <c r="J29" s="114">
        <f t="shared" si="14"/>
        <v>0</v>
      </c>
      <c r="K29" s="114">
        <f t="shared" si="14"/>
        <v>0</v>
      </c>
      <c r="L29" s="19" t="s">
        <v>201</v>
      </c>
      <c r="O29" s="156" t="s">
        <v>43</v>
      </c>
      <c r="P29" s="114">
        <f>P28</f>
        <v>2</v>
      </c>
      <c r="Q29" s="114">
        <f>Q28</f>
        <v>3</v>
      </c>
      <c r="R29" s="114">
        <f t="shared" ref="R29:V29" si="15">R28</f>
        <v>1</v>
      </c>
      <c r="S29" s="114">
        <f t="shared" si="15"/>
        <v>0</v>
      </c>
      <c r="T29" s="114">
        <f t="shared" si="15"/>
        <v>0</v>
      </c>
      <c r="U29" s="114">
        <f t="shared" si="15"/>
        <v>7</v>
      </c>
      <c r="V29" s="114">
        <f t="shared" si="15"/>
        <v>0</v>
      </c>
      <c r="W29" s="19" t="s">
        <v>201</v>
      </c>
    </row>
    <row r="30" spans="1:23" ht="13.5" thickBot="1">
      <c r="A30" s="156" t="s">
        <v>13</v>
      </c>
      <c r="B30" s="114">
        <f>'Booking-QTY-WRK-P'!$O10+B28</f>
        <v>0</v>
      </c>
      <c r="C30" s="114">
        <f>'Booking-QTY-WRK-P'!$O12+C28</f>
        <v>0</v>
      </c>
      <c r="D30" s="114">
        <f>'Booking-QTY-WRK-P'!$O13+D28</f>
        <v>0</v>
      </c>
      <c r="E30" s="114">
        <f>'Booking-QTY-WRK-P'!$O14+E28</f>
        <v>0</v>
      </c>
      <c r="F30" s="114">
        <f>'Booking-QTY-WRK-P'!$O15+F28</f>
        <v>0</v>
      </c>
      <c r="G30" s="114">
        <f>'Booking-QTY-WRK-P'!$O16+G28</f>
        <v>0</v>
      </c>
      <c r="H30" s="114">
        <f>'Booking-QTY-WRK-P'!$O17+H28</f>
        <v>0</v>
      </c>
      <c r="I30" s="114">
        <f>'Booking-QTY-WRK-P'!$O18+I28</f>
        <v>0</v>
      </c>
      <c r="J30" s="114">
        <f>'Booking-QTY-WRK-P'!$O19+J28</f>
        <v>0</v>
      </c>
      <c r="K30" s="114">
        <f>'Booking-QTY-WRK-P'!$O20+K28</f>
        <v>0</v>
      </c>
      <c r="O30" s="156" t="s">
        <v>13</v>
      </c>
      <c r="P30" s="114">
        <f>'Booking-QTY-WRK-P'!$O23+P28</f>
        <v>2</v>
      </c>
      <c r="Q30" s="114">
        <f>'Booking-QTY-WRK-P'!$O24+Q28</f>
        <v>3</v>
      </c>
      <c r="R30" s="114">
        <f>'Booking-QTY-WRK-P'!$O25+R28</f>
        <v>1</v>
      </c>
      <c r="S30" s="114">
        <f>'Booking-QTY-WRK-P'!$O26+S28</f>
        <v>0</v>
      </c>
      <c r="T30" s="114">
        <f>'Booking-QTY-WRK-P'!$O27+T28</f>
        <v>0</v>
      </c>
      <c r="U30" s="114">
        <f>'Booking-QTY-WRK-P'!$O28+U28</f>
        <v>7</v>
      </c>
      <c r="V30" s="114">
        <f>'Booking-QTY-WRK-P'!$O29+V28</f>
        <v>0</v>
      </c>
    </row>
    <row r="31" spans="1:23" ht="13.5" thickBot="1">
      <c r="A31" s="156" t="s">
        <v>57</v>
      </c>
      <c r="B31" s="114">
        <f>'Booking-QTY-WRK-P'!$Q10+B30</f>
        <v>0</v>
      </c>
      <c r="C31" s="114">
        <f>'Booking-QTY-WRK-P'!$Q12+C30</f>
        <v>0</v>
      </c>
      <c r="D31" s="114">
        <f>'Booking-QTY-WRK-P'!$Q13+D30</f>
        <v>0</v>
      </c>
      <c r="E31" s="114">
        <f>'Booking-QTY-WRK-P'!$Q14+E30</f>
        <v>0</v>
      </c>
      <c r="F31" s="114">
        <f>'Booking-QTY-WRK-P'!$Q15+F30</f>
        <v>0</v>
      </c>
      <c r="G31" s="114">
        <f>'Booking-QTY-WRK-P'!$Q16+G30</f>
        <v>0</v>
      </c>
      <c r="H31" s="114">
        <f>'Booking-QTY-WRK-P'!$Q17+H30</f>
        <v>0</v>
      </c>
      <c r="I31" s="114">
        <f>'Booking-QTY-WRK-P'!$Q18+I30</f>
        <v>0</v>
      </c>
      <c r="J31" s="114">
        <f>'Booking-QTY-WRK-P'!$Q19+J30</f>
        <v>0</v>
      </c>
      <c r="K31" s="114">
        <f>'Booking-QTY-WRK-P'!$Q20+K30</f>
        <v>0</v>
      </c>
      <c r="O31" s="156" t="s">
        <v>57</v>
      </c>
      <c r="P31" s="114">
        <f>'Booking-QTY-WRK-P'!$Q23+P30</f>
        <v>2</v>
      </c>
      <c r="Q31" s="114">
        <f>'Booking-QTY-WRK-P'!$Q24+Q30</f>
        <v>3</v>
      </c>
      <c r="R31" s="114">
        <f>'Booking-QTY-WRK-P'!$Q25+R30</f>
        <v>1</v>
      </c>
      <c r="S31" s="114">
        <f>'Booking-QTY-WRK-P'!$Q26+S30</f>
        <v>0</v>
      </c>
      <c r="T31" s="114">
        <f>'Booking-QTY-WRK-P'!$Q27+T30</f>
        <v>0</v>
      </c>
      <c r="U31" s="114">
        <f>'Booking-QTY-WRK-P'!$Q28+U30</f>
        <v>7</v>
      </c>
      <c r="V31" s="114">
        <f>'Booking-QTY-WRK-P'!$Q29+V30</f>
        <v>0</v>
      </c>
    </row>
    <row r="32" spans="1:23" ht="13.5" thickBot="1">
      <c r="A32" s="156" t="s">
        <v>15</v>
      </c>
      <c r="B32" s="114">
        <f>'Booking-QTY-WRK-P'!$S10+B31</f>
        <v>0</v>
      </c>
      <c r="C32" s="114">
        <f>'Booking-QTY-WRK-P'!$S12+C31</f>
        <v>0</v>
      </c>
      <c r="D32" s="114">
        <f>'Booking-QTY-WRK-P'!$S13+D31</f>
        <v>0</v>
      </c>
      <c r="E32" s="114">
        <f>'Booking-QTY-WRK-P'!$S14+E31</f>
        <v>0</v>
      </c>
      <c r="F32" s="114">
        <f>'Booking-QTY-WRK-P'!$S15+F31</f>
        <v>0</v>
      </c>
      <c r="G32" s="114">
        <f>'Booking-QTY-WRK-P'!$S16+G31</f>
        <v>0</v>
      </c>
      <c r="H32" s="114">
        <f>'Booking-QTY-WRK-P'!$S17+H31</f>
        <v>0</v>
      </c>
      <c r="I32" s="114">
        <f>'Booking-QTY-WRK-P'!$S18+I31</f>
        <v>0</v>
      </c>
      <c r="J32" s="114">
        <f>'Booking-QTY-WRK-P'!$S19+J31</f>
        <v>0</v>
      </c>
      <c r="K32" s="114">
        <f>'Booking-QTY-WRK-P'!$S20+K31</f>
        <v>0</v>
      </c>
      <c r="O32" s="156" t="s">
        <v>15</v>
      </c>
      <c r="P32" s="114">
        <f>'Booking-QTY-WRK-P'!$S23+P31</f>
        <v>2</v>
      </c>
      <c r="Q32" s="114">
        <f>'Booking-QTY-WRK-P'!$S24+Q31</f>
        <v>3</v>
      </c>
      <c r="R32" s="114">
        <f>'Booking-QTY-WRK-P'!$S25+R31</f>
        <v>1</v>
      </c>
      <c r="S32" s="114">
        <f>'Booking-QTY-WRK-P'!$S26+S31</f>
        <v>0</v>
      </c>
      <c r="T32" s="114">
        <f>'Booking-QTY-WRK-P'!$S27+T31</f>
        <v>0</v>
      </c>
      <c r="U32" s="114">
        <f>'Booking-QTY-WRK-P'!$S28+U31</f>
        <v>7</v>
      </c>
      <c r="V32" s="114">
        <f>'Booking-QTY-WRK-P'!$S29+V31</f>
        <v>0</v>
      </c>
    </row>
    <row r="33" spans="1:23" ht="13.5" thickBot="1">
      <c r="A33" s="156" t="s">
        <v>44</v>
      </c>
      <c r="B33" s="114">
        <f>B32</f>
        <v>0</v>
      </c>
      <c r="C33" s="114">
        <f t="shared" ref="C33:K33" si="16">C32</f>
        <v>0</v>
      </c>
      <c r="D33" s="114">
        <f t="shared" si="16"/>
        <v>0</v>
      </c>
      <c r="E33" s="114">
        <f t="shared" si="16"/>
        <v>0</v>
      </c>
      <c r="F33" s="114">
        <f t="shared" si="16"/>
        <v>0</v>
      </c>
      <c r="G33" s="114">
        <f t="shared" si="16"/>
        <v>0</v>
      </c>
      <c r="H33" s="114">
        <f t="shared" si="16"/>
        <v>0</v>
      </c>
      <c r="I33" s="114">
        <f t="shared" si="16"/>
        <v>0</v>
      </c>
      <c r="J33" s="114">
        <f t="shared" si="16"/>
        <v>0</v>
      </c>
      <c r="K33" s="114">
        <f t="shared" si="16"/>
        <v>0</v>
      </c>
      <c r="L33" s="19" t="s">
        <v>201</v>
      </c>
      <c r="O33" s="156" t="s">
        <v>44</v>
      </c>
      <c r="P33" s="114">
        <f>P32</f>
        <v>2</v>
      </c>
      <c r="Q33" s="114">
        <f>Q32</f>
        <v>3</v>
      </c>
      <c r="R33" s="114">
        <f t="shared" ref="R33:V33" si="17">R32</f>
        <v>1</v>
      </c>
      <c r="S33" s="114">
        <f t="shared" si="17"/>
        <v>0</v>
      </c>
      <c r="T33" s="114">
        <f t="shared" si="17"/>
        <v>0</v>
      </c>
      <c r="U33" s="114">
        <f t="shared" si="17"/>
        <v>7</v>
      </c>
      <c r="V33" s="114">
        <f t="shared" si="17"/>
        <v>0</v>
      </c>
      <c r="W33" s="19" t="s">
        <v>201</v>
      </c>
    </row>
    <row r="34" spans="1:23" ht="13.5" thickBot="1">
      <c r="A34" s="156" t="s">
        <v>17</v>
      </c>
      <c r="B34" s="114">
        <f>'Booking-QTY-WRK-P'!$U10+B32</f>
        <v>0</v>
      </c>
      <c r="C34" s="114">
        <f>'Booking-QTY-WRK-P'!$U12+C32</f>
        <v>0</v>
      </c>
      <c r="D34" s="114">
        <f>'Booking-QTY-WRK-P'!$U13+D32</f>
        <v>0</v>
      </c>
      <c r="E34" s="114">
        <f>'Booking-QTY-WRK-P'!$U14+E32</f>
        <v>0</v>
      </c>
      <c r="F34" s="114">
        <f>'Booking-QTY-WRK-P'!$U15+F32</f>
        <v>0</v>
      </c>
      <c r="G34" s="114">
        <f>'Booking-QTY-WRK-P'!$U16+G32</f>
        <v>0</v>
      </c>
      <c r="H34" s="114">
        <f>'Booking-QTY-WRK-P'!$U17+H32</f>
        <v>0</v>
      </c>
      <c r="I34" s="114">
        <f>'Booking-QTY-WRK-P'!$U18+I32</f>
        <v>0</v>
      </c>
      <c r="J34" s="114">
        <f>'Booking-QTY-WRK-P'!$U19+J32</f>
        <v>0</v>
      </c>
      <c r="K34" s="114">
        <f>'Booking-QTY-WRK-P'!$U20+K32</f>
        <v>0</v>
      </c>
      <c r="O34" s="156" t="s">
        <v>17</v>
      </c>
      <c r="P34" s="114">
        <f>'Booking-QTY-WRK-P'!$U23+P32</f>
        <v>2</v>
      </c>
      <c r="Q34" s="114">
        <f>'Booking-QTY-WRK-P'!$U24+Q32</f>
        <v>3</v>
      </c>
      <c r="R34" s="114">
        <f>'Booking-QTY-WRK-P'!$U25+R32</f>
        <v>1</v>
      </c>
      <c r="S34" s="114">
        <f>'Booking-QTY-WRK-P'!$U26+S32</f>
        <v>0</v>
      </c>
      <c r="T34" s="114">
        <f>'Booking-QTY-WRK-P'!$U27+T32</f>
        <v>0</v>
      </c>
      <c r="U34" s="114">
        <f>'Booking-QTY-WRK-P'!$U28+U32</f>
        <v>7</v>
      </c>
      <c r="V34" s="114">
        <f>'Booking-QTY-WRK-P'!$U29+V32</f>
        <v>0</v>
      </c>
    </row>
    <row r="35" spans="1:23" ht="13.5" thickBot="1">
      <c r="A35" s="156" t="s">
        <v>59</v>
      </c>
      <c r="B35" s="114">
        <f>'Booking-QTY-WRK-P'!$W10+B34</f>
        <v>0</v>
      </c>
      <c r="C35" s="114">
        <f>'Booking-QTY-WRK-P'!$W12+C34</f>
        <v>0</v>
      </c>
      <c r="D35" s="114">
        <f>'Booking-QTY-WRK-P'!$W13+D34</f>
        <v>0</v>
      </c>
      <c r="E35" s="114">
        <f>'Booking-QTY-WRK-P'!$W14+E34</f>
        <v>0</v>
      </c>
      <c r="F35" s="114">
        <f>'Booking-QTY-WRK-P'!$W15+F34</f>
        <v>0</v>
      </c>
      <c r="G35" s="114">
        <f>'Booking-QTY-WRK-P'!$W16+G34</f>
        <v>0</v>
      </c>
      <c r="H35" s="114">
        <f>'Booking-QTY-WRK-P'!$W17+H34</f>
        <v>0</v>
      </c>
      <c r="I35" s="114">
        <f>'Booking-QTY-WRK-P'!$W18+I34</f>
        <v>0</v>
      </c>
      <c r="J35" s="114">
        <f>'Booking-QTY-WRK-P'!$W19+J34</f>
        <v>0</v>
      </c>
      <c r="K35" s="114">
        <f>'Booking-QTY-WRK-P'!$W20+K34</f>
        <v>0</v>
      </c>
      <c r="O35" s="156" t="s">
        <v>59</v>
      </c>
      <c r="P35" s="114">
        <f>'Booking-QTY-WRK-P'!$W23+P34</f>
        <v>2</v>
      </c>
      <c r="Q35" s="114">
        <f>'Booking-QTY-WRK-P'!$W24+Q34</f>
        <v>3</v>
      </c>
      <c r="R35" s="114">
        <f>'Booking-QTY-WRK-P'!$W25+R34</f>
        <v>1</v>
      </c>
      <c r="S35" s="114">
        <f>'Booking-QTY-WRK-P'!$W26+S34</f>
        <v>0</v>
      </c>
      <c r="T35" s="114">
        <f>'Booking-QTY-WRK-P'!$W27+T34</f>
        <v>0</v>
      </c>
      <c r="U35" s="114">
        <f>'Booking-QTY-WRK-P'!$W28+U34</f>
        <v>7</v>
      </c>
      <c r="V35" s="114">
        <f>'Booking-QTY-WRK-P'!$W29+V34</f>
        <v>0</v>
      </c>
    </row>
    <row r="36" spans="1:23" ht="13.5" thickBot="1">
      <c r="A36" s="156" t="s">
        <v>60</v>
      </c>
      <c r="B36" s="114">
        <f>'Booking-QTY-WRK-P'!$Y10+B35</f>
        <v>0</v>
      </c>
      <c r="C36" s="114">
        <f>'Booking-QTY-WRK-P'!$Y12+C35</f>
        <v>0</v>
      </c>
      <c r="D36" s="114">
        <f>'Booking-QTY-WRK-P'!$Y13+D35</f>
        <v>0</v>
      </c>
      <c r="E36" s="114">
        <f>'Booking-QTY-WRK-P'!$Y14+E35</f>
        <v>0</v>
      </c>
      <c r="F36" s="114">
        <f>'Booking-QTY-WRK-P'!$Y15+F35</f>
        <v>0</v>
      </c>
      <c r="G36" s="114">
        <f>'Booking-QTY-WRK-P'!$Y16+G35</f>
        <v>0</v>
      </c>
      <c r="H36" s="114">
        <f>'Booking-QTY-WRK-P'!$Y17+H35</f>
        <v>0</v>
      </c>
      <c r="I36" s="114">
        <f>'Booking-QTY-WRK-P'!$Y18+I35</f>
        <v>0</v>
      </c>
      <c r="J36" s="114">
        <f>'Booking-QTY-WRK-P'!$Y19+J35</f>
        <v>0</v>
      </c>
      <c r="K36" s="114">
        <f>'Booking-QTY-WRK-P'!$Y20+K35</f>
        <v>0</v>
      </c>
      <c r="O36" s="156" t="s">
        <v>60</v>
      </c>
      <c r="P36" s="114">
        <f>'Booking-QTY-WRK-P'!$Y23+P35</f>
        <v>2</v>
      </c>
      <c r="Q36" s="114">
        <f>'Booking-QTY-WRK-P'!$Y24+Q35</f>
        <v>3</v>
      </c>
      <c r="R36" s="114">
        <f>'Booking-QTY-WRK-P'!$Y25+R35</f>
        <v>1</v>
      </c>
      <c r="S36" s="114">
        <f>'Booking-QTY-WRK-P'!$Y26+S35</f>
        <v>0</v>
      </c>
      <c r="T36" s="114">
        <f>'Booking-QTY-WRK-P'!$Y27+T35</f>
        <v>0</v>
      </c>
      <c r="U36" s="114">
        <f>'Booking-QTY-WRK-P'!$Y28+U35</f>
        <v>7</v>
      </c>
      <c r="V36" s="114">
        <f>'Booking-QTY-WRK-P'!$Y29+V35</f>
        <v>0</v>
      </c>
    </row>
    <row r="37" spans="1:23" ht="13.5" thickBot="1">
      <c r="A37" s="156" t="s">
        <v>45</v>
      </c>
      <c r="B37" s="114">
        <f>B36</f>
        <v>0</v>
      </c>
      <c r="C37" s="114">
        <f t="shared" ref="C37:K37" si="18">C36</f>
        <v>0</v>
      </c>
      <c r="D37" s="114">
        <f t="shared" si="18"/>
        <v>0</v>
      </c>
      <c r="E37" s="114">
        <f t="shared" si="18"/>
        <v>0</v>
      </c>
      <c r="F37" s="114">
        <f t="shared" si="18"/>
        <v>0</v>
      </c>
      <c r="G37" s="114">
        <f t="shared" si="18"/>
        <v>0</v>
      </c>
      <c r="H37" s="114">
        <f t="shared" si="18"/>
        <v>0</v>
      </c>
      <c r="I37" s="114">
        <f t="shared" si="18"/>
        <v>0</v>
      </c>
      <c r="J37" s="114">
        <f t="shared" si="18"/>
        <v>0</v>
      </c>
      <c r="K37" s="114">
        <f t="shared" si="18"/>
        <v>0</v>
      </c>
      <c r="L37" s="19" t="s">
        <v>201</v>
      </c>
      <c r="O37" s="156" t="s">
        <v>45</v>
      </c>
      <c r="P37" s="114">
        <f>P36</f>
        <v>2</v>
      </c>
      <c r="Q37" s="114">
        <f>Q36</f>
        <v>3</v>
      </c>
      <c r="R37" s="114">
        <f t="shared" ref="R37:V37" si="19">R36</f>
        <v>1</v>
      </c>
      <c r="S37" s="114">
        <f t="shared" si="19"/>
        <v>0</v>
      </c>
      <c r="T37" s="114">
        <f t="shared" si="19"/>
        <v>0</v>
      </c>
      <c r="U37" s="114">
        <f t="shared" si="19"/>
        <v>7</v>
      </c>
      <c r="V37" s="114">
        <f t="shared" si="19"/>
        <v>0</v>
      </c>
      <c r="W37" s="19" t="s">
        <v>201</v>
      </c>
    </row>
    <row r="40" spans="1:23" ht="13.5" thickBot="1"/>
    <row r="41" spans="1:23" ht="13.5" thickBot="1">
      <c r="A41" s="156" t="s">
        <v>194</v>
      </c>
      <c r="B41" s="156" t="s">
        <v>8</v>
      </c>
      <c r="C41" s="156" t="s">
        <v>42</v>
      </c>
      <c r="O41" s="156" t="s">
        <v>194</v>
      </c>
      <c r="P41" s="156" t="s">
        <v>8</v>
      </c>
      <c r="Q41" s="156" t="s">
        <v>42</v>
      </c>
    </row>
    <row r="42" spans="1:23" ht="13.5" thickBot="1">
      <c r="A42" s="156" t="s">
        <v>8</v>
      </c>
      <c r="B42" s="156" t="s">
        <v>74</v>
      </c>
      <c r="C42" s="156" t="s">
        <v>42</v>
      </c>
      <c r="O42" s="156" t="s">
        <v>8</v>
      </c>
      <c r="P42" s="156" t="s">
        <v>74</v>
      </c>
      <c r="Q42" s="156" t="s">
        <v>42</v>
      </c>
    </row>
    <row r="43" spans="1:23" ht="13.5" thickBot="1">
      <c r="A43" s="156" t="s">
        <v>42</v>
      </c>
      <c r="B43" s="156" t="s">
        <v>75</v>
      </c>
      <c r="C43" s="156" t="s">
        <v>43</v>
      </c>
      <c r="O43" s="156" t="s">
        <v>42</v>
      </c>
      <c r="P43" s="156" t="s">
        <v>75</v>
      </c>
      <c r="Q43" s="156" t="s">
        <v>43</v>
      </c>
    </row>
    <row r="44" spans="1:23" ht="13.5" thickBot="1">
      <c r="A44" s="156" t="s">
        <v>75</v>
      </c>
      <c r="B44" s="156" t="s">
        <v>12</v>
      </c>
      <c r="C44" s="156" t="s">
        <v>43</v>
      </c>
      <c r="O44" s="156" t="s">
        <v>75</v>
      </c>
      <c r="P44" s="156" t="s">
        <v>12</v>
      </c>
      <c r="Q44" s="156" t="s">
        <v>43</v>
      </c>
    </row>
    <row r="45" spans="1:23" ht="13.5" thickBot="1">
      <c r="A45" s="156" t="s">
        <v>12</v>
      </c>
      <c r="B45" s="156" t="s">
        <v>14</v>
      </c>
      <c r="C45" s="156" t="s">
        <v>43</v>
      </c>
      <c r="O45" s="156" t="s">
        <v>12</v>
      </c>
      <c r="P45" s="156" t="s">
        <v>14</v>
      </c>
      <c r="Q45" s="156" t="s">
        <v>43</v>
      </c>
    </row>
    <row r="46" spans="1:23" ht="13.5" thickBot="1">
      <c r="A46" s="156" t="s">
        <v>43</v>
      </c>
      <c r="B46" s="156" t="s">
        <v>13</v>
      </c>
      <c r="C46" s="156" t="s">
        <v>44</v>
      </c>
      <c r="O46" s="156" t="s">
        <v>14</v>
      </c>
      <c r="P46" s="156" t="s">
        <v>13</v>
      </c>
      <c r="Q46" s="156" t="s">
        <v>44</v>
      </c>
    </row>
    <row r="47" spans="1:23" ht="13.5" thickBot="1">
      <c r="A47" s="156" t="s">
        <v>13</v>
      </c>
      <c r="B47" s="156" t="s">
        <v>57</v>
      </c>
      <c r="C47" s="156" t="s">
        <v>44</v>
      </c>
      <c r="O47" s="156" t="s">
        <v>13</v>
      </c>
      <c r="P47" s="156" t="s">
        <v>57</v>
      </c>
      <c r="Q47" s="156" t="s">
        <v>44</v>
      </c>
    </row>
    <row r="48" spans="1:23" ht="13.5" thickBot="1">
      <c r="A48" s="156" t="s">
        <v>57</v>
      </c>
      <c r="B48" s="156" t="s">
        <v>15</v>
      </c>
      <c r="C48" s="156" t="s">
        <v>44</v>
      </c>
      <c r="O48" s="156" t="s">
        <v>57</v>
      </c>
      <c r="P48" s="156" t="s">
        <v>15</v>
      </c>
      <c r="Q48" s="156" t="s">
        <v>44</v>
      </c>
    </row>
    <row r="49" spans="1:17" ht="13.5" thickBot="1">
      <c r="A49" s="156" t="s">
        <v>44</v>
      </c>
      <c r="B49" s="156" t="s">
        <v>17</v>
      </c>
      <c r="C49" s="156" t="s">
        <v>45</v>
      </c>
      <c r="O49" s="156" t="s">
        <v>15</v>
      </c>
      <c r="P49" s="156" t="s">
        <v>17</v>
      </c>
      <c r="Q49" s="156" t="s">
        <v>45</v>
      </c>
    </row>
    <row r="50" spans="1:17" ht="13.5" thickBot="1">
      <c r="A50" s="156" t="s">
        <v>17</v>
      </c>
      <c r="B50" s="156" t="s">
        <v>59</v>
      </c>
      <c r="C50" s="156" t="s">
        <v>45</v>
      </c>
      <c r="O50" s="156" t="s">
        <v>17</v>
      </c>
      <c r="P50" s="156" t="s">
        <v>59</v>
      </c>
      <c r="Q50" s="156" t="s">
        <v>45</v>
      </c>
    </row>
    <row r="51" spans="1:17" ht="13.5" thickBot="1">
      <c r="A51" s="156" t="s">
        <v>59</v>
      </c>
      <c r="B51" s="156" t="s">
        <v>60</v>
      </c>
      <c r="C51" s="156" t="s">
        <v>45</v>
      </c>
      <c r="O51" s="156" t="s">
        <v>59</v>
      </c>
      <c r="P51" s="156" t="s">
        <v>60</v>
      </c>
      <c r="Q51" s="156" t="s">
        <v>45</v>
      </c>
    </row>
    <row r="52" spans="1:17" ht="13.5" thickBot="1">
      <c r="A52" s="156" t="s">
        <v>45</v>
      </c>
      <c r="B52" s="156">
        <v>0</v>
      </c>
      <c r="C52" s="156">
        <v>0</v>
      </c>
      <c r="O52" s="156" t="s">
        <v>60</v>
      </c>
      <c r="P52" s="156">
        <v>0</v>
      </c>
      <c r="Q52" s="156">
        <v>0</v>
      </c>
    </row>
    <row r="54" spans="1:17">
      <c r="A54" s="404" t="s">
        <v>203</v>
      </c>
      <c r="B54" s="404"/>
      <c r="C54" s="404"/>
      <c r="O54" s="404" t="s">
        <v>203</v>
      </c>
      <c r="P54" s="404"/>
      <c r="Q54" s="404"/>
    </row>
    <row r="55" spans="1:17" ht="13.5" thickBot="1">
      <c r="A55" s="158" t="s">
        <v>84</v>
      </c>
      <c r="B55" s="158" t="s">
        <v>61</v>
      </c>
      <c r="C55" s="158" t="s">
        <v>202</v>
      </c>
      <c r="O55" s="158" t="s">
        <v>84</v>
      </c>
      <c r="P55" s="158" t="s">
        <v>61</v>
      </c>
      <c r="Q55" s="158" t="s">
        <v>202</v>
      </c>
    </row>
    <row r="56" spans="1:17" ht="13.5" thickBot="1">
      <c r="A56" s="156" t="s">
        <v>194</v>
      </c>
      <c r="B56" s="157">
        <f>'Booking-Val-WRK P'!$B21</f>
        <v>0</v>
      </c>
      <c r="C56" s="157">
        <f>'Booking-Val-WRK P'!$C$21</f>
        <v>0</v>
      </c>
      <c r="O56" s="156" t="s">
        <v>194</v>
      </c>
      <c r="P56" s="157">
        <f>'Booking-Val-WRK P'!$B30</f>
        <v>560</v>
      </c>
      <c r="Q56" s="157">
        <f>'Booking-Val-WRK P'!$C$30</f>
        <v>0</v>
      </c>
    </row>
    <row r="57" spans="1:17" ht="13.5" thickBot="1">
      <c r="A57" s="156" t="s">
        <v>8</v>
      </c>
      <c r="B57" s="157">
        <f>B56+'Booking-Val-WRK P'!$D$21</f>
        <v>0</v>
      </c>
      <c r="C57" s="157">
        <f>C56+'Booking-Val-WRK P'!$E21</f>
        <v>0</v>
      </c>
      <c r="O57" s="156" t="s">
        <v>8</v>
      </c>
      <c r="P57" s="157">
        <f>P56+'Booking-Val-WRK P'!$D$30</f>
        <v>870</v>
      </c>
      <c r="Q57" s="157">
        <f>Q56+'Booking-Val-WRK P'!$E30</f>
        <v>0</v>
      </c>
    </row>
    <row r="58" spans="1:17" ht="13.5" thickBot="1">
      <c r="A58" s="156" t="s">
        <v>74</v>
      </c>
      <c r="B58" s="157">
        <f>B57+'Booking-Val-WRK P'!$F$21</f>
        <v>0</v>
      </c>
      <c r="C58" s="157">
        <f>C57+'Booking-Val-WRK P'!$G21</f>
        <v>0</v>
      </c>
      <c r="O58" s="156" t="s">
        <v>74</v>
      </c>
      <c r="P58" s="157">
        <f>P57+'Booking-Val-WRK P'!$F$30</f>
        <v>1104</v>
      </c>
      <c r="Q58" s="157">
        <f>Q57+'Booking-Val-WRK P'!$G30</f>
        <v>370.81849999999997</v>
      </c>
    </row>
    <row r="59" spans="1:17" ht="13.5" thickBot="1">
      <c r="A59" s="156" t="s">
        <v>42</v>
      </c>
      <c r="B59" s="157">
        <f>B58</f>
        <v>0</v>
      </c>
      <c r="C59" s="157">
        <f>C58</f>
        <v>0</v>
      </c>
      <c r="O59" s="156" t="s">
        <v>42</v>
      </c>
      <c r="P59" s="157">
        <f>P58</f>
        <v>1104</v>
      </c>
      <c r="Q59" s="157">
        <f>Q58</f>
        <v>370.81849999999997</v>
      </c>
    </row>
    <row r="60" spans="1:17" ht="13.5" thickBot="1">
      <c r="A60" s="156" t="s">
        <v>75</v>
      </c>
      <c r="B60" s="157">
        <f>B58+'Booking-Val-WRK P'!$H$21</f>
        <v>0</v>
      </c>
      <c r="C60" s="157">
        <f>C58+'Booking-Val-WRK P'!$I21</f>
        <v>0</v>
      </c>
      <c r="O60" s="156" t="s">
        <v>75</v>
      </c>
      <c r="P60" s="157">
        <f>P58+'Booking-Val-WRK P'!$H$30</f>
        <v>3894</v>
      </c>
      <c r="Q60" s="157">
        <f>Q58+'Booking-Val-WRK P'!$I30</f>
        <v>478.87536601895732</v>
      </c>
    </row>
    <row r="61" spans="1:17" ht="13.5" thickBot="1">
      <c r="A61" s="156" t="s">
        <v>12</v>
      </c>
      <c r="B61" s="157">
        <f>B60+'Booking-Val-WRK P'!$J$21</f>
        <v>0</v>
      </c>
      <c r="C61" s="157">
        <f>C60+'Booking-Val-WRK P'!$K21</f>
        <v>0</v>
      </c>
      <c r="O61" s="156" t="s">
        <v>12</v>
      </c>
      <c r="P61" s="157">
        <f>P60+'Booking-Val-WRK P'!$J$30</f>
        <v>3972</v>
      </c>
      <c r="Q61" s="157">
        <f>Q60+'Booking-Val-WRK P'!$K30</f>
        <v>1519.7297260189573</v>
      </c>
    </row>
    <row r="62" spans="1:17" ht="13.5" thickBot="1">
      <c r="A62" s="156" t="s">
        <v>14</v>
      </c>
      <c r="B62" s="157">
        <f>B61+'Booking-Val-WRK P'!$L21</f>
        <v>0</v>
      </c>
      <c r="C62" s="157">
        <f>C61+'Booking-Val-WRK P'!$M21</f>
        <v>0</v>
      </c>
      <c r="O62" s="156" t="s">
        <v>14</v>
      </c>
      <c r="P62" s="157">
        <f>P61+'Booking-Val-WRK P'!$L30</f>
        <v>4024</v>
      </c>
      <c r="Q62" s="157">
        <f>Q61+'Booking-Val-WRK P'!$M30</f>
        <v>1519.7297260189573</v>
      </c>
    </row>
    <row r="63" spans="1:17" ht="13.5" thickBot="1">
      <c r="A63" s="156" t="s">
        <v>43</v>
      </c>
      <c r="B63" s="157">
        <f>B62</f>
        <v>0</v>
      </c>
      <c r="C63" s="157">
        <f>C62</f>
        <v>0</v>
      </c>
      <c r="O63" s="156" t="s">
        <v>43</v>
      </c>
      <c r="P63" s="157">
        <f>P62</f>
        <v>4024</v>
      </c>
      <c r="Q63" s="157">
        <f>Q62</f>
        <v>1519.7297260189573</v>
      </c>
    </row>
    <row r="64" spans="1:17" ht="13.5" thickBot="1">
      <c r="A64" s="156" t="s">
        <v>13</v>
      </c>
      <c r="B64" s="157">
        <f>B62+'Booking-Val-WRK P'!$N21</f>
        <v>0</v>
      </c>
      <c r="C64" s="157">
        <f>C62+'Booking-Val-WRK P'!$O21</f>
        <v>0</v>
      </c>
      <c r="O64" s="156" t="s">
        <v>13</v>
      </c>
      <c r="P64" s="157">
        <f>P62+'Booking-Val-WRK P'!$N30</f>
        <v>4336</v>
      </c>
      <c r="Q64" s="157">
        <f>Q62+'Booking-Val-WRK P'!$O30</f>
        <v>1519.7297260189573</v>
      </c>
    </row>
    <row r="65" spans="1:17" ht="13.5" thickBot="1">
      <c r="A65" s="156" t="s">
        <v>57</v>
      </c>
      <c r="B65" s="157">
        <f>B64+'Booking-Val-WRK P'!$P21</f>
        <v>0</v>
      </c>
      <c r="C65" s="157">
        <f>C64+'Booking-Val-WRK P'!$Q21</f>
        <v>0</v>
      </c>
      <c r="O65" s="156" t="s">
        <v>57</v>
      </c>
      <c r="P65" s="157">
        <f>P64+'Booking-Val-WRK P'!$P30</f>
        <v>4582</v>
      </c>
      <c r="Q65" s="157">
        <f>Q64+'Booking-Val-WRK P'!$Q30</f>
        <v>1519.7297260189573</v>
      </c>
    </row>
    <row r="66" spans="1:17" ht="13.5" thickBot="1">
      <c r="A66" s="156" t="s">
        <v>15</v>
      </c>
      <c r="B66" s="157">
        <f>B65+'Booking-Val-WRK P'!$R21</f>
        <v>0</v>
      </c>
      <c r="C66" s="157">
        <f>C65+'Booking-Val-WRK P'!$S21</f>
        <v>0</v>
      </c>
      <c r="O66" s="156" t="s">
        <v>15</v>
      </c>
      <c r="P66" s="157">
        <f>P65+'Booking-Val-WRK P'!$R30</f>
        <v>4666</v>
      </c>
      <c r="Q66" s="157">
        <f>Q65+'Booking-Val-WRK P'!$S30</f>
        <v>1519.7297260189573</v>
      </c>
    </row>
    <row r="67" spans="1:17" ht="13.5" thickBot="1">
      <c r="A67" s="156" t="s">
        <v>44</v>
      </c>
      <c r="B67" s="157">
        <f>B66</f>
        <v>0</v>
      </c>
      <c r="C67" s="157">
        <f>C66</f>
        <v>0</v>
      </c>
      <c r="O67" s="156" t="s">
        <v>44</v>
      </c>
      <c r="P67" s="157">
        <f>P66</f>
        <v>4666</v>
      </c>
      <c r="Q67" s="157">
        <f>Q66</f>
        <v>1519.7297260189573</v>
      </c>
    </row>
    <row r="68" spans="1:17" ht="13.5" thickBot="1">
      <c r="A68" s="156" t="s">
        <v>17</v>
      </c>
      <c r="B68" s="157">
        <f>B66+'Booking-Val-WRK P'!$T21</f>
        <v>0</v>
      </c>
      <c r="C68" s="157">
        <f>C66+'Booking-Val-WRK P'!$U21</f>
        <v>0</v>
      </c>
      <c r="O68" s="156" t="s">
        <v>17</v>
      </c>
      <c r="P68" s="157">
        <f>P66+'Booking-Val-WRK P'!$T30</f>
        <v>5270</v>
      </c>
      <c r="Q68" s="157">
        <f>Q66+'Booking-Val-WRK P'!$U30</f>
        <v>1519.7297260189573</v>
      </c>
    </row>
    <row r="69" spans="1:17" ht="13.5" thickBot="1">
      <c r="A69" s="156" t="s">
        <v>59</v>
      </c>
      <c r="B69" s="157">
        <f>B68+'Booking-Val-WRK P'!$V21</f>
        <v>0</v>
      </c>
      <c r="C69" s="157">
        <f>C68+'Booking-Val-WRK P'!$W21</f>
        <v>0</v>
      </c>
      <c r="O69" s="156" t="s">
        <v>59</v>
      </c>
      <c r="P69" s="157">
        <f>P68+'Booking-Val-WRK P'!$V30</f>
        <v>5374</v>
      </c>
      <c r="Q69" s="157">
        <f>Q68+'Booking-Val-WRK P'!$W30</f>
        <v>1519.7297260189573</v>
      </c>
    </row>
    <row r="70" spans="1:17" ht="13.5" thickBot="1">
      <c r="A70" s="156" t="s">
        <v>60</v>
      </c>
      <c r="B70" s="157">
        <f>B69+'Booking-Val-WRK P'!$X21</f>
        <v>0</v>
      </c>
      <c r="C70" s="157">
        <f>C69+'Booking-Val-WRK P'!$Y21</f>
        <v>0</v>
      </c>
      <c r="O70" s="156" t="s">
        <v>60</v>
      </c>
      <c r="P70" s="157">
        <f>P69+'Booking-Val-WRK P'!$X30</f>
        <v>5500</v>
      </c>
      <c r="Q70" s="157">
        <f>Q69+'Booking-Val-WRK P'!$Y30</f>
        <v>1519.7297260189573</v>
      </c>
    </row>
    <row r="71" spans="1:17" ht="13.5" thickBot="1">
      <c r="A71" s="156" t="s">
        <v>45</v>
      </c>
      <c r="B71" s="157">
        <f>B70</f>
        <v>0</v>
      </c>
      <c r="C71" s="157">
        <f>C70</f>
        <v>0</v>
      </c>
      <c r="O71" s="156" t="s">
        <v>45</v>
      </c>
      <c r="P71" s="157">
        <f>P70</f>
        <v>5500</v>
      </c>
      <c r="Q71" s="157">
        <f>Q70</f>
        <v>1519.7297260189573</v>
      </c>
    </row>
    <row r="73" spans="1:17">
      <c r="A73" s="403" t="s">
        <v>204</v>
      </c>
      <c r="B73" s="403"/>
      <c r="C73" s="403"/>
    </row>
    <row r="74" spans="1:17" ht="13.5" thickBot="1">
      <c r="A74" s="158" t="s">
        <v>84</v>
      </c>
      <c r="B74" s="158" t="s">
        <v>61</v>
      </c>
      <c r="C74" s="158" t="s">
        <v>202</v>
      </c>
    </row>
    <row r="75" spans="1:17" ht="13.5" thickBot="1">
      <c r="A75" s="156" t="s">
        <v>194</v>
      </c>
      <c r="B75" s="157">
        <f>'Booking-VAL-WRK-R'!B40</f>
        <v>0</v>
      </c>
      <c r="C75" s="157">
        <f>'Booking-VAL-WRK-R'!C40</f>
        <v>0</v>
      </c>
    </row>
    <row r="76" spans="1:17" ht="13.5" thickBot="1">
      <c r="A76" s="156" t="s">
        <v>8</v>
      </c>
      <c r="B76" s="157">
        <f>B75+'Booking-VAL-WRK-R'!D$40</f>
        <v>0</v>
      </c>
      <c r="C76" s="157">
        <f>C75+'Booking-VAL-WRK-R'!E$40</f>
        <v>0</v>
      </c>
    </row>
    <row r="77" spans="1:17" ht="13.5" thickBot="1">
      <c r="A77" s="156" t="s">
        <v>74</v>
      </c>
      <c r="B77" s="157">
        <f>B76+'Booking-VAL-WRK-R'!F$40</f>
        <v>0</v>
      </c>
      <c r="C77" s="157">
        <f>C76+'Booking-VAL-WRK-R'!G$40</f>
        <v>0</v>
      </c>
    </row>
    <row r="78" spans="1:17" ht="13.5" thickBot="1">
      <c r="A78" s="156" t="s">
        <v>42</v>
      </c>
      <c r="B78" s="157">
        <f>B77</f>
        <v>0</v>
      </c>
      <c r="C78" s="157">
        <f>C77</f>
        <v>0</v>
      </c>
    </row>
    <row r="79" spans="1:17" ht="13.5" thickBot="1">
      <c r="A79" s="156" t="s">
        <v>75</v>
      </c>
      <c r="B79" s="157">
        <f>B78+'Booking-VAL-WRK-R'!H$40</f>
        <v>0</v>
      </c>
      <c r="C79" s="157">
        <f>C78+'Booking-VAL-WRK-R'!I$40</f>
        <v>358.75053000000003</v>
      </c>
    </row>
    <row r="80" spans="1:17" ht="13.5" thickBot="1">
      <c r="A80" s="156" t="s">
        <v>12</v>
      </c>
      <c r="B80" s="157">
        <f>B79+'Booking-VAL-WRK-R'!J$40</f>
        <v>0</v>
      </c>
      <c r="C80" s="157">
        <f>C79+'Booking-VAL-WRK-R'!K$40</f>
        <v>439.25053000000003</v>
      </c>
    </row>
    <row r="81" spans="1:3" ht="13.5" thickBot="1">
      <c r="A81" s="156" t="s">
        <v>14</v>
      </c>
      <c r="B81" s="157">
        <f>B80+'Booking-VAL-WRK-R'!L$40</f>
        <v>0</v>
      </c>
      <c r="C81" s="157">
        <f>C80+'Booking-VAL-WRK-R'!M$40</f>
        <v>439.25053000000003</v>
      </c>
    </row>
    <row r="82" spans="1:3" ht="13.5" thickBot="1">
      <c r="A82" s="156" t="s">
        <v>43</v>
      </c>
      <c r="B82" s="157">
        <f>B81</f>
        <v>0</v>
      </c>
      <c r="C82" s="157">
        <f>C81</f>
        <v>439.25053000000003</v>
      </c>
    </row>
    <row r="83" spans="1:3" ht="13.5" thickBot="1">
      <c r="A83" s="156" t="s">
        <v>13</v>
      </c>
      <c r="B83" s="157">
        <f>B82+'Booking-VAL-WRK-R'!N$40</f>
        <v>0</v>
      </c>
      <c r="C83" s="157">
        <f>C82+'Booking-VAL-WRK-R'!O$40</f>
        <v>439.25053000000003</v>
      </c>
    </row>
    <row r="84" spans="1:3" ht="13.5" thickBot="1">
      <c r="A84" s="156" t="s">
        <v>57</v>
      </c>
      <c r="B84" s="157">
        <f>B83+'Booking-VAL-WRK-R'!P$40</f>
        <v>0</v>
      </c>
      <c r="C84" s="157">
        <f>C83+'Booking-VAL-WRK-R'!Q$40</f>
        <v>439.25053000000003</v>
      </c>
    </row>
    <row r="85" spans="1:3" ht="13.5" thickBot="1">
      <c r="A85" s="156" t="s">
        <v>15</v>
      </c>
      <c r="B85" s="157">
        <f>B84+'Booking-VAL-WRK-R'!R$40</f>
        <v>0</v>
      </c>
      <c r="C85" s="157">
        <f>C84+'Booking-VAL-WRK-R'!S$40</f>
        <v>439.25053000000003</v>
      </c>
    </row>
    <row r="86" spans="1:3" ht="13.5" thickBot="1">
      <c r="A86" s="156" t="s">
        <v>44</v>
      </c>
      <c r="B86" s="157">
        <f>B85</f>
        <v>0</v>
      </c>
      <c r="C86" s="157">
        <f>C85</f>
        <v>439.25053000000003</v>
      </c>
    </row>
    <row r="87" spans="1:3" ht="13.5" thickBot="1">
      <c r="A87" s="156" t="s">
        <v>17</v>
      </c>
      <c r="B87" s="157">
        <f>B86+'Booking-VAL-WRK-R'!T$40</f>
        <v>0</v>
      </c>
      <c r="C87" s="157">
        <f>C86+'Booking-VAL-WRK-R'!U$40</f>
        <v>439.25053000000003</v>
      </c>
    </row>
    <row r="88" spans="1:3" ht="13.5" thickBot="1">
      <c r="A88" s="156" t="s">
        <v>59</v>
      </c>
      <c r="B88" s="157">
        <f>B87+'Booking-VAL-WRK-R'!V$40</f>
        <v>0</v>
      </c>
      <c r="C88" s="157">
        <f>C87+'Booking-VAL-WRK-R'!W$40</f>
        <v>439.25053000000003</v>
      </c>
    </row>
    <row r="89" spans="1:3" ht="13.5" thickBot="1">
      <c r="A89" s="156" t="s">
        <v>60</v>
      </c>
      <c r="B89" s="157">
        <f>B88+'Booking-VAL-WRK-R'!X$40</f>
        <v>0</v>
      </c>
      <c r="C89" s="157">
        <f>C88+'Booking-VAL-WRK-R'!Y$40</f>
        <v>439.25053000000003</v>
      </c>
    </row>
    <row r="90" spans="1:3" ht="13.5" thickBot="1">
      <c r="A90" s="156" t="s">
        <v>45</v>
      </c>
      <c r="B90" s="157">
        <f>B89</f>
        <v>0</v>
      </c>
      <c r="C90" s="157">
        <f>C89</f>
        <v>439.25053000000003</v>
      </c>
    </row>
  </sheetData>
  <mergeCells count="9">
    <mergeCell ref="O1:V1"/>
    <mergeCell ref="O2:V2"/>
    <mergeCell ref="O20:V20"/>
    <mergeCell ref="O54:Q54"/>
    <mergeCell ref="A73:C73"/>
    <mergeCell ref="A2:K2"/>
    <mergeCell ref="A20:K20"/>
    <mergeCell ref="A54:C54"/>
    <mergeCell ref="A1:K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16" filterMode="1"/>
  <dimension ref="A1:V351"/>
  <sheetViews>
    <sheetView view="pageBreakPreview" zoomScale="85" zoomScaleSheetLayoutView="85" workbookViewId="0">
      <pane xSplit="2" ySplit="1" topLeftCell="C2" activePane="bottomRight" state="frozen"/>
      <selection sqref="A1:AA1"/>
      <selection pane="topRight" sqref="A1:AA1"/>
      <selection pane="bottomLeft" sqref="A1:AA1"/>
      <selection pane="bottomRight" activeCell="B44" sqref="B44"/>
    </sheetView>
  </sheetViews>
  <sheetFormatPr defaultRowHeight="12.75"/>
  <cols>
    <col min="1" max="1" width="12.28515625" style="106" customWidth="1" collapsed="1"/>
    <col min="2" max="2" width="43.5703125" style="97" customWidth="1" collapsed="1"/>
    <col min="3" max="3" width="15.140625" style="98" bestFit="1" customWidth="1" collapsed="1"/>
    <col min="4" max="4" width="26.7109375" style="94" customWidth="1" collapsed="1"/>
    <col min="5" max="5" width="16.85546875" style="78" customWidth="1" collapsed="1"/>
    <col min="6" max="6" width="11" style="78" customWidth="1" collapsed="1"/>
    <col min="7" max="7" width="9" style="78" customWidth="1" collapsed="1"/>
    <col min="8" max="8" width="14" style="78" customWidth="1" collapsed="1"/>
    <col min="9" max="10" width="16.140625" style="98" customWidth="1" collapsed="1"/>
    <col min="11" max="11" width="13.28515625" style="19" bestFit="1" customWidth="1" collapsed="1"/>
    <col min="12" max="12" width="18.85546875" style="100" customWidth="1" collapsed="1"/>
    <col min="13" max="13" width="28.7109375" style="19" customWidth="1" collapsed="1"/>
    <col min="14" max="14" width="18.7109375" style="19" bestFit="1" customWidth="1" collapsed="1"/>
    <col min="15" max="15" width="13" style="19" customWidth="1" collapsed="1"/>
    <col min="16" max="16" width="14.5703125" style="19" customWidth="1" collapsed="1"/>
    <col min="17" max="17" width="14.28515625" style="19" customWidth="1" collapsed="1"/>
    <col min="18" max="18" width="12.28515625" style="19" customWidth="1" collapsed="1"/>
    <col min="19" max="19" width="15.42578125" style="19" customWidth="1" collapsed="1"/>
    <col min="20" max="20" width="18.42578125" style="19" customWidth="1" collapsed="1"/>
    <col min="21" max="21" width="22.85546875" style="19" customWidth="1" collapsed="1"/>
    <col min="22" max="22" width="12.28515625" style="19" customWidth="1" collapsed="1"/>
    <col min="23" max="16384" width="9.140625" style="19" collapsed="1"/>
  </cols>
  <sheetData>
    <row r="1" spans="1:22" s="126" customFormat="1" ht="38.25">
      <c r="A1" s="155" t="s">
        <v>92</v>
      </c>
      <c r="B1" s="155" t="s">
        <v>82</v>
      </c>
      <c r="C1" s="155" t="s">
        <v>176</v>
      </c>
      <c r="D1" s="155" t="s">
        <v>70</v>
      </c>
      <c r="E1" s="155" t="s">
        <v>22</v>
      </c>
      <c r="F1" s="155" t="s">
        <v>21</v>
      </c>
      <c r="G1" s="155" t="s">
        <v>10</v>
      </c>
      <c r="H1" s="155" t="s">
        <v>81</v>
      </c>
      <c r="I1" s="155" t="s">
        <v>154</v>
      </c>
      <c r="J1" s="155" t="s">
        <v>155</v>
      </c>
      <c r="K1" s="155" t="s">
        <v>148</v>
      </c>
      <c r="L1" s="155" t="s">
        <v>20</v>
      </c>
      <c r="M1" s="155" t="s">
        <v>76</v>
      </c>
      <c r="N1" s="155" t="s">
        <v>9</v>
      </c>
      <c r="O1" s="155" t="s">
        <v>71</v>
      </c>
      <c r="P1" s="155" t="s">
        <v>77</v>
      </c>
      <c r="Q1" s="155" t="s">
        <v>72</v>
      </c>
      <c r="R1" s="155" t="s">
        <v>78</v>
      </c>
      <c r="S1" s="155" t="s">
        <v>77</v>
      </c>
      <c r="T1" s="155" t="s">
        <v>79</v>
      </c>
      <c r="U1" s="155" t="s">
        <v>80</v>
      </c>
      <c r="V1" s="155" t="s">
        <v>77</v>
      </c>
    </row>
    <row r="2" spans="1:22" s="5" customFormat="1" hidden="1">
      <c r="A2" s="14">
        <v>1</v>
      </c>
      <c r="B2" s="23" t="s">
        <v>93</v>
      </c>
      <c r="C2" s="16"/>
      <c r="D2" s="35"/>
      <c r="E2" s="10" t="s">
        <v>4</v>
      </c>
      <c r="F2" s="16">
        <v>250</v>
      </c>
      <c r="G2" s="16">
        <v>4</v>
      </c>
      <c r="H2" s="30">
        <f>(19.8*0.8*G2)</f>
        <v>63.360000000000007</v>
      </c>
      <c r="I2" s="16" t="s">
        <v>86</v>
      </c>
      <c r="J2" s="32" t="s">
        <v>86</v>
      </c>
      <c r="K2" s="27" t="s">
        <v>149</v>
      </c>
      <c r="L2" s="33"/>
      <c r="M2" s="35"/>
      <c r="N2" s="16" t="s">
        <v>135</v>
      </c>
      <c r="O2" s="35"/>
      <c r="P2" s="35"/>
      <c r="Q2" s="35"/>
      <c r="R2" s="35"/>
      <c r="S2" s="35"/>
      <c r="T2" s="35"/>
      <c r="U2" s="35"/>
      <c r="V2" s="35"/>
    </row>
    <row r="3" spans="1:22" s="5" customFormat="1" hidden="1">
      <c r="A3" s="14">
        <v>2</v>
      </c>
      <c r="B3" s="23" t="s">
        <v>94</v>
      </c>
      <c r="C3" s="16"/>
      <c r="D3" s="35"/>
      <c r="E3" s="10" t="s">
        <v>4</v>
      </c>
      <c r="F3" s="16">
        <v>250</v>
      </c>
      <c r="G3" s="16">
        <v>2</v>
      </c>
      <c r="H3" s="30">
        <f>(19.8*0.8*G3)</f>
        <v>31.680000000000003</v>
      </c>
      <c r="I3" s="16" t="s">
        <v>86</v>
      </c>
      <c r="J3" s="32" t="s">
        <v>86</v>
      </c>
      <c r="K3" s="31" t="s">
        <v>149</v>
      </c>
      <c r="L3" s="36"/>
      <c r="M3" s="35"/>
      <c r="N3" s="16" t="s">
        <v>135</v>
      </c>
      <c r="O3" s="35"/>
      <c r="P3" s="35"/>
      <c r="Q3" s="35"/>
      <c r="R3" s="35"/>
      <c r="S3" s="35"/>
      <c r="T3" s="35"/>
      <c r="U3" s="35"/>
      <c r="V3" s="35"/>
    </row>
    <row r="4" spans="1:22" s="94" customFormat="1">
      <c r="A4" s="88">
        <f>+A3+1</f>
        <v>3</v>
      </c>
      <c r="B4" s="89" t="s">
        <v>95</v>
      </c>
      <c r="C4" s="90" t="s">
        <v>161</v>
      </c>
      <c r="D4" s="84"/>
      <c r="E4" s="90" t="s">
        <v>5</v>
      </c>
      <c r="F4" s="93">
        <v>1500</v>
      </c>
      <c r="G4" s="93">
        <v>2</v>
      </c>
      <c r="H4" s="91">
        <f>94*0.9*G4</f>
        <v>169.20000000000002</v>
      </c>
      <c r="I4" s="90" t="s">
        <v>85</v>
      </c>
      <c r="J4" s="92" t="s">
        <v>88</v>
      </c>
      <c r="K4" s="93" t="s">
        <v>150</v>
      </c>
      <c r="L4" s="95"/>
      <c r="M4" s="84"/>
      <c r="N4" s="90" t="s">
        <v>136</v>
      </c>
      <c r="O4" s="84"/>
      <c r="P4" s="84"/>
      <c r="Q4" s="84"/>
      <c r="R4" s="84"/>
      <c r="S4" s="84"/>
      <c r="T4" s="84"/>
      <c r="U4" s="84"/>
      <c r="V4" s="84"/>
    </row>
    <row r="5" spans="1:22" s="94" customFormat="1">
      <c r="A5" s="88">
        <f t="shared" ref="A5:A68" si="0">+A4+1</f>
        <v>4</v>
      </c>
      <c r="B5" s="89" t="s">
        <v>95</v>
      </c>
      <c r="C5" s="90" t="s">
        <v>161</v>
      </c>
      <c r="D5" s="84"/>
      <c r="E5" s="90" t="s">
        <v>5</v>
      </c>
      <c r="F5" s="93">
        <v>1010</v>
      </c>
      <c r="G5" s="93">
        <v>1</v>
      </c>
      <c r="H5" s="93">
        <f>(57*0.9*G5)</f>
        <v>51.300000000000004</v>
      </c>
      <c r="I5" s="90" t="s">
        <v>85</v>
      </c>
      <c r="J5" s="92" t="s">
        <v>88</v>
      </c>
      <c r="K5" s="93" t="s">
        <v>150</v>
      </c>
      <c r="L5" s="95"/>
      <c r="M5" s="84"/>
      <c r="N5" s="90" t="s">
        <v>136</v>
      </c>
      <c r="O5" s="84"/>
      <c r="P5" s="84"/>
      <c r="Q5" s="84"/>
      <c r="R5" s="84"/>
      <c r="S5" s="84"/>
      <c r="T5" s="84"/>
      <c r="U5" s="84"/>
      <c r="V5" s="84"/>
    </row>
    <row r="6" spans="1:22" s="94" customFormat="1">
      <c r="A6" s="88">
        <f t="shared" si="0"/>
        <v>5</v>
      </c>
      <c r="B6" s="89" t="s">
        <v>95</v>
      </c>
      <c r="C6" s="90" t="s">
        <v>161</v>
      </c>
      <c r="D6" s="84"/>
      <c r="E6" s="90" t="s">
        <v>5</v>
      </c>
      <c r="F6" s="93">
        <v>750</v>
      </c>
      <c r="G6" s="93">
        <v>2</v>
      </c>
      <c r="H6" s="93">
        <f>(45.3*0.9*G6)</f>
        <v>81.539999999999992</v>
      </c>
      <c r="I6" s="90" t="s">
        <v>85</v>
      </c>
      <c r="J6" s="92" t="s">
        <v>88</v>
      </c>
      <c r="K6" s="93" t="s">
        <v>150</v>
      </c>
      <c r="L6" s="95"/>
      <c r="M6" s="84"/>
      <c r="N6" s="90" t="s">
        <v>136</v>
      </c>
      <c r="O6" s="84"/>
      <c r="P6" s="84"/>
      <c r="Q6" s="84"/>
      <c r="R6" s="84"/>
      <c r="S6" s="84"/>
      <c r="T6" s="84"/>
      <c r="U6" s="84"/>
      <c r="V6" s="84"/>
    </row>
    <row r="7" spans="1:22" s="5" customFormat="1" hidden="1">
      <c r="A7" s="14">
        <f t="shared" si="0"/>
        <v>6</v>
      </c>
      <c r="B7" s="23" t="s">
        <v>96</v>
      </c>
      <c r="C7" s="16" t="s">
        <v>161</v>
      </c>
      <c r="D7" s="67"/>
      <c r="E7" s="16" t="s">
        <v>5</v>
      </c>
      <c r="F7" s="27">
        <v>1500</v>
      </c>
      <c r="G7" s="27">
        <v>2</v>
      </c>
      <c r="H7" s="27">
        <f>(80*0.9*G7)</f>
        <v>144</v>
      </c>
      <c r="I7" s="16" t="s">
        <v>85</v>
      </c>
      <c r="J7" s="32" t="s">
        <v>86</v>
      </c>
      <c r="K7" s="27" t="s">
        <v>150</v>
      </c>
      <c r="L7" s="68"/>
      <c r="M7" s="35"/>
      <c r="N7" s="16" t="s">
        <v>324</v>
      </c>
      <c r="O7" s="35"/>
      <c r="P7" s="35"/>
      <c r="Q7" s="35"/>
      <c r="R7" s="35"/>
      <c r="S7" s="35"/>
      <c r="T7" s="35"/>
      <c r="U7" s="35"/>
      <c r="V7" s="35"/>
    </row>
    <row r="8" spans="1:22" s="5" customFormat="1" hidden="1">
      <c r="A8" s="14">
        <f t="shared" si="0"/>
        <v>7</v>
      </c>
      <c r="B8" s="23" t="s">
        <v>97</v>
      </c>
      <c r="C8" s="16" t="s">
        <v>239</v>
      </c>
      <c r="D8" s="67"/>
      <c r="E8" s="16" t="s">
        <v>5</v>
      </c>
      <c r="F8" s="27">
        <v>1500</v>
      </c>
      <c r="G8" s="27">
        <v>3</v>
      </c>
      <c r="H8" s="27">
        <f>(80*0.9*G8)</f>
        <v>216</v>
      </c>
      <c r="I8" s="16" t="s">
        <v>85</v>
      </c>
      <c r="J8" s="32" t="s">
        <v>86</v>
      </c>
      <c r="K8" s="27" t="s">
        <v>150</v>
      </c>
      <c r="L8" s="68"/>
      <c r="M8" s="35"/>
      <c r="N8" s="16" t="s">
        <v>138</v>
      </c>
      <c r="O8" s="35"/>
      <c r="P8" s="35"/>
      <c r="Q8" s="35"/>
      <c r="R8" s="35"/>
      <c r="S8" s="35"/>
      <c r="T8" s="35"/>
      <c r="U8" s="35"/>
      <c r="V8" s="35"/>
    </row>
    <row r="9" spans="1:22" s="5" customFormat="1" hidden="1">
      <c r="A9" s="14">
        <f t="shared" si="0"/>
        <v>8</v>
      </c>
      <c r="B9" s="23" t="s">
        <v>98</v>
      </c>
      <c r="C9" s="16"/>
      <c r="D9" s="67"/>
      <c r="E9" s="16" t="s">
        <v>5</v>
      </c>
      <c r="F9" s="27">
        <v>600</v>
      </c>
      <c r="G9" s="27">
        <v>1</v>
      </c>
      <c r="H9" s="27">
        <f>(37*0.8*G9)</f>
        <v>29.6</v>
      </c>
      <c r="I9" s="16" t="s">
        <v>86</v>
      </c>
      <c r="J9" s="32" t="s">
        <v>86</v>
      </c>
      <c r="K9" s="27" t="s">
        <v>152</v>
      </c>
      <c r="L9" s="68"/>
      <c r="M9" s="35"/>
      <c r="N9" s="16" t="s">
        <v>139</v>
      </c>
      <c r="O9" s="35"/>
      <c r="P9" s="35"/>
      <c r="Q9" s="35"/>
      <c r="R9" s="35"/>
      <c r="S9" s="35"/>
      <c r="T9" s="35"/>
      <c r="U9" s="35"/>
      <c r="V9" s="35"/>
    </row>
    <row r="10" spans="1:22" s="5" customFormat="1" hidden="1">
      <c r="A10" s="14">
        <f t="shared" si="0"/>
        <v>9</v>
      </c>
      <c r="B10" s="23" t="s">
        <v>99</v>
      </c>
      <c r="C10" s="16" t="s">
        <v>161</v>
      </c>
      <c r="D10" s="67"/>
      <c r="E10" s="16" t="s">
        <v>5</v>
      </c>
      <c r="F10" s="27">
        <v>1250</v>
      </c>
      <c r="G10" s="27">
        <v>2</v>
      </c>
      <c r="H10" s="27">
        <f>(80*0.9*G10)</f>
        <v>144</v>
      </c>
      <c r="I10" s="16" t="s">
        <v>85</v>
      </c>
      <c r="J10" s="32" t="s">
        <v>86</v>
      </c>
      <c r="K10" s="27" t="s">
        <v>151</v>
      </c>
      <c r="L10" s="68"/>
      <c r="M10" s="35"/>
      <c r="N10" s="16" t="s">
        <v>140</v>
      </c>
      <c r="O10" s="35"/>
      <c r="P10" s="35"/>
      <c r="Q10" s="35"/>
      <c r="R10" s="35"/>
      <c r="S10" s="35"/>
      <c r="T10" s="35"/>
      <c r="U10" s="35"/>
      <c r="V10" s="35"/>
    </row>
    <row r="11" spans="1:22" s="5" customFormat="1" ht="25.5" hidden="1">
      <c r="A11" s="14">
        <f t="shared" si="0"/>
        <v>10</v>
      </c>
      <c r="B11" s="23" t="s">
        <v>100</v>
      </c>
      <c r="C11" s="16" t="s">
        <v>161</v>
      </c>
      <c r="D11" s="67"/>
      <c r="E11" s="16" t="s">
        <v>5</v>
      </c>
      <c r="F11" s="27">
        <v>2000</v>
      </c>
      <c r="G11" s="27">
        <v>2</v>
      </c>
      <c r="H11" s="27">
        <f>174*0.9*G11</f>
        <v>313.2</v>
      </c>
      <c r="I11" s="16" t="s">
        <v>85</v>
      </c>
      <c r="J11" s="32" t="s">
        <v>86</v>
      </c>
      <c r="K11" s="27" t="s">
        <v>152</v>
      </c>
      <c r="L11" s="68"/>
      <c r="M11" s="35"/>
      <c r="N11" s="16" t="s">
        <v>141</v>
      </c>
      <c r="O11" s="35"/>
      <c r="P11" s="35"/>
      <c r="Q11" s="35"/>
      <c r="R11" s="35"/>
      <c r="S11" s="35"/>
      <c r="T11" s="35"/>
      <c r="U11" s="35"/>
      <c r="V11" s="35"/>
    </row>
    <row r="12" spans="1:22" s="5" customFormat="1" hidden="1">
      <c r="A12" s="14">
        <f t="shared" si="0"/>
        <v>11</v>
      </c>
      <c r="B12" s="23" t="s">
        <v>101</v>
      </c>
      <c r="C12" s="16" t="s">
        <v>161</v>
      </c>
      <c r="D12" s="67"/>
      <c r="E12" s="16" t="s">
        <v>6</v>
      </c>
      <c r="F12" s="27">
        <v>2500</v>
      </c>
      <c r="G12" s="27">
        <v>10</v>
      </c>
      <c r="H12" s="27">
        <f>284*0.9*G12</f>
        <v>2556</v>
      </c>
      <c r="I12" s="16" t="s">
        <v>85</v>
      </c>
      <c r="J12" s="32" t="s">
        <v>86</v>
      </c>
      <c r="K12" s="27" t="s">
        <v>150</v>
      </c>
      <c r="L12" s="68"/>
      <c r="M12" s="35"/>
      <c r="N12" s="16" t="s">
        <v>142</v>
      </c>
      <c r="O12" s="35"/>
      <c r="P12" s="35"/>
      <c r="Q12" s="35"/>
      <c r="R12" s="35"/>
      <c r="S12" s="35"/>
      <c r="T12" s="35"/>
      <c r="U12" s="35"/>
      <c r="V12" s="35"/>
    </row>
    <row r="13" spans="1:22" s="94" customFormat="1">
      <c r="A13" s="88">
        <f t="shared" si="0"/>
        <v>12</v>
      </c>
      <c r="B13" s="89" t="s">
        <v>102</v>
      </c>
      <c r="C13" s="90" t="s">
        <v>161</v>
      </c>
      <c r="D13" s="84"/>
      <c r="E13" s="90" t="s">
        <v>5</v>
      </c>
      <c r="F13" s="93">
        <v>2000</v>
      </c>
      <c r="G13" s="93">
        <v>2</v>
      </c>
      <c r="H13" s="93">
        <f>(142*0.9+25)*G13</f>
        <v>305.60000000000002</v>
      </c>
      <c r="I13" s="90" t="s">
        <v>85</v>
      </c>
      <c r="J13" s="92" t="s">
        <v>88</v>
      </c>
      <c r="K13" s="93" t="s">
        <v>150</v>
      </c>
      <c r="L13" s="95"/>
      <c r="M13" s="84"/>
      <c r="N13" s="90" t="s">
        <v>16</v>
      </c>
      <c r="O13" s="84"/>
      <c r="P13" s="84"/>
      <c r="Q13" s="84"/>
      <c r="R13" s="84"/>
      <c r="S13" s="84"/>
      <c r="T13" s="84"/>
      <c r="U13" s="84"/>
      <c r="V13" s="84"/>
    </row>
    <row r="14" spans="1:22" s="5" customFormat="1" hidden="1">
      <c r="A14" s="14">
        <f t="shared" si="0"/>
        <v>13</v>
      </c>
      <c r="B14" s="23" t="s">
        <v>103</v>
      </c>
      <c r="C14" s="16" t="s">
        <v>161</v>
      </c>
      <c r="D14" s="67"/>
      <c r="E14" s="16" t="s">
        <v>5</v>
      </c>
      <c r="F14" s="27">
        <v>1250</v>
      </c>
      <c r="G14" s="27">
        <v>2</v>
      </c>
      <c r="H14" s="27">
        <f>80*0.9*G14</f>
        <v>144</v>
      </c>
      <c r="I14" s="16" t="s">
        <v>85</v>
      </c>
      <c r="J14" s="32" t="s">
        <v>86</v>
      </c>
      <c r="K14" s="27" t="s">
        <v>150</v>
      </c>
      <c r="L14" s="68"/>
      <c r="M14" s="35"/>
      <c r="N14" s="16" t="s">
        <v>18</v>
      </c>
      <c r="O14" s="35"/>
      <c r="P14" s="35"/>
      <c r="Q14" s="35"/>
      <c r="R14" s="35"/>
      <c r="S14" s="35"/>
      <c r="T14" s="35"/>
      <c r="U14" s="35"/>
      <c r="V14" s="35"/>
    </row>
    <row r="15" spans="1:22" s="94" customFormat="1">
      <c r="A15" s="88">
        <f t="shared" si="0"/>
        <v>14</v>
      </c>
      <c r="B15" s="89" t="s">
        <v>104</v>
      </c>
      <c r="C15" s="90" t="s">
        <v>161</v>
      </c>
      <c r="D15" s="84"/>
      <c r="E15" s="90" t="s">
        <v>5</v>
      </c>
      <c r="F15" s="93">
        <v>2000</v>
      </c>
      <c r="G15" s="93">
        <v>4</v>
      </c>
      <c r="H15" s="93">
        <f>(142*0.9+0)*G15</f>
        <v>511.2</v>
      </c>
      <c r="I15" s="90" t="s">
        <v>85</v>
      </c>
      <c r="J15" s="92" t="s">
        <v>88</v>
      </c>
      <c r="K15" s="93" t="s">
        <v>150</v>
      </c>
      <c r="L15" s="95"/>
      <c r="M15" s="84"/>
      <c r="N15" s="90" t="s">
        <v>143</v>
      </c>
      <c r="O15" s="84"/>
      <c r="P15" s="84"/>
      <c r="Q15" s="84"/>
      <c r="R15" s="84"/>
      <c r="S15" s="84"/>
      <c r="T15" s="84"/>
      <c r="U15" s="84"/>
      <c r="V15" s="84"/>
    </row>
    <row r="16" spans="1:22" s="5" customFormat="1" hidden="1">
      <c r="A16" s="14">
        <f t="shared" si="0"/>
        <v>15</v>
      </c>
      <c r="B16" s="23" t="s">
        <v>104</v>
      </c>
      <c r="C16" s="16" t="s">
        <v>161</v>
      </c>
      <c r="D16" s="67"/>
      <c r="E16" s="16" t="s">
        <v>5</v>
      </c>
      <c r="F16" s="27">
        <v>750</v>
      </c>
      <c r="G16" s="27">
        <v>4</v>
      </c>
      <c r="H16" s="27">
        <f>(45.3*0.9*G16)</f>
        <v>163.07999999999998</v>
      </c>
      <c r="I16" s="16" t="s">
        <v>85</v>
      </c>
      <c r="J16" s="32" t="s">
        <v>86</v>
      </c>
      <c r="K16" s="27" t="s">
        <v>150</v>
      </c>
      <c r="L16" s="68"/>
      <c r="M16" s="35"/>
      <c r="N16" s="16" t="s">
        <v>143</v>
      </c>
      <c r="O16" s="35"/>
      <c r="P16" s="35"/>
      <c r="Q16" s="35"/>
      <c r="R16" s="35"/>
      <c r="S16" s="35"/>
      <c r="T16" s="35"/>
      <c r="U16" s="35"/>
      <c r="V16" s="35"/>
    </row>
    <row r="17" spans="1:22" s="5" customFormat="1" hidden="1">
      <c r="A17" s="14">
        <f t="shared" si="0"/>
        <v>16</v>
      </c>
      <c r="B17" s="23" t="s">
        <v>105</v>
      </c>
      <c r="C17" s="16" t="s">
        <v>161</v>
      </c>
      <c r="D17" s="67"/>
      <c r="E17" s="16" t="s">
        <v>5</v>
      </c>
      <c r="F17" s="27">
        <v>2000</v>
      </c>
      <c r="G17" s="27">
        <v>3</v>
      </c>
      <c r="H17" s="27">
        <f>(142*0.9+0)*G17</f>
        <v>383.4</v>
      </c>
      <c r="I17" s="16" t="s">
        <v>85</v>
      </c>
      <c r="J17" s="32" t="s">
        <v>86</v>
      </c>
      <c r="K17" s="27" t="s">
        <v>150</v>
      </c>
      <c r="L17" s="68"/>
      <c r="M17" s="35"/>
      <c r="N17" s="16" t="s">
        <v>144</v>
      </c>
      <c r="O17" s="35"/>
      <c r="P17" s="35"/>
      <c r="Q17" s="35"/>
      <c r="R17" s="35"/>
      <c r="S17" s="35"/>
      <c r="T17" s="35"/>
      <c r="U17" s="35"/>
      <c r="V17" s="35"/>
    </row>
    <row r="18" spans="1:22" s="5" customFormat="1" hidden="1">
      <c r="A18" s="14">
        <f t="shared" si="0"/>
        <v>17</v>
      </c>
      <c r="B18" s="23" t="s">
        <v>105</v>
      </c>
      <c r="C18" s="16" t="s">
        <v>161</v>
      </c>
      <c r="D18" s="67"/>
      <c r="E18" s="16" t="s">
        <v>5</v>
      </c>
      <c r="F18" s="27">
        <v>1010</v>
      </c>
      <c r="G18" s="27">
        <v>1</v>
      </c>
      <c r="H18" s="27">
        <f>(142*0.9+0)*G18</f>
        <v>127.8</v>
      </c>
      <c r="I18" s="16" t="s">
        <v>85</v>
      </c>
      <c r="J18" s="32" t="s">
        <v>86</v>
      </c>
      <c r="K18" s="27" t="s">
        <v>151</v>
      </c>
      <c r="L18" s="68"/>
      <c r="M18" s="35"/>
      <c r="N18" s="16" t="s">
        <v>144</v>
      </c>
      <c r="O18" s="35"/>
      <c r="P18" s="35"/>
      <c r="Q18" s="35"/>
      <c r="R18" s="35"/>
      <c r="S18" s="35"/>
      <c r="T18" s="35"/>
      <c r="U18" s="35"/>
      <c r="V18" s="35"/>
    </row>
    <row r="19" spans="1:22" s="5" customFormat="1" hidden="1">
      <c r="A19" s="14">
        <f t="shared" si="0"/>
        <v>18</v>
      </c>
      <c r="B19" s="23" t="s">
        <v>106</v>
      </c>
      <c r="C19" s="16" t="s">
        <v>161</v>
      </c>
      <c r="D19" s="67"/>
      <c r="E19" s="16" t="s">
        <v>6</v>
      </c>
      <c r="F19" s="27">
        <v>1010</v>
      </c>
      <c r="G19" s="27">
        <v>2</v>
      </c>
      <c r="H19" s="27">
        <f>57*0.9*G19</f>
        <v>102.60000000000001</v>
      </c>
      <c r="I19" s="16" t="s">
        <v>85</v>
      </c>
      <c r="J19" s="32" t="s">
        <v>86</v>
      </c>
      <c r="K19" s="27" t="s">
        <v>150</v>
      </c>
      <c r="L19" s="68"/>
      <c r="M19" s="35"/>
      <c r="N19" s="16" t="s">
        <v>16</v>
      </c>
      <c r="O19" s="35"/>
      <c r="P19" s="35"/>
      <c r="Q19" s="35"/>
      <c r="R19" s="35"/>
      <c r="S19" s="35"/>
      <c r="T19" s="35"/>
      <c r="U19" s="35"/>
      <c r="V19" s="35"/>
    </row>
    <row r="20" spans="1:22" s="5" customFormat="1" hidden="1">
      <c r="A20" s="14">
        <f t="shared" si="0"/>
        <v>19</v>
      </c>
      <c r="B20" s="23" t="s">
        <v>107</v>
      </c>
      <c r="C20" s="16"/>
      <c r="D20" s="67"/>
      <c r="E20" s="16" t="s">
        <v>5</v>
      </c>
      <c r="F20" s="27">
        <v>500</v>
      </c>
      <c r="G20" s="27">
        <v>1</v>
      </c>
      <c r="H20" s="27">
        <f>(30.4*0.8*G20)</f>
        <v>24.32</v>
      </c>
      <c r="I20" s="16" t="s">
        <v>86</v>
      </c>
      <c r="J20" s="32" t="s">
        <v>86</v>
      </c>
      <c r="K20" s="27" t="s">
        <v>151</v>
      </c>
      <c r="L20" s="68"/>
      <c r="M20" s="35"/>
      <c r="N20" s="16" t="s">
        <v>16</v>
      </c>
      <c r="O20" s="35"/>
      <c r="P20" s="35"/>
      <c r="Q20" s="35"/>
      <c r="R20" s="35"/>
      <c r="S20" s="35"/>
      <c r="T20" s="35"/>
      <c r="U20" s="35"/>
      <c r="V20" s="35"/>
    </row>
    <row r="21" spans="1:22" s="5" customFormat="1" hidden="1">
      <c r="A21" s="14">
        <f t="shared" si="0"/>
        <v>20</v>
      </c>
      <c r="B21" s="23" t="s">
        <v>108</v>
      </c>
      <c r="C21" s="16" t="s">
        <v>161</v>
      </c>
      <c r="D21" s="67"/>
      <c r="E21" s="16" t="s">
        <v>5</v>
      </c>
      <c r="F21" s="27">
        <v>1010</v>
      </c>
      <c r="G21" s="27">
        <v>2</v>
      </c>
      <c r="H21" s="27">
        <f>(57*0.9*G21)</f>
        <v>102.60000000000001</v>
      </c>
      <c r="I21" s="16" t="s">
        <v>85</v>
      </c>
      <c r="J21" s="32" t="s">
        <v>86</v>
      </c>
      <c r="K21" s="27" t="s">
        <v>152</v>
      </c>
      <c r="L21" s="68"/>
      <c r="M21" s="35"/>
      <c r="N21" s="16" t="s">
        <v>16</v>
      </c>
      <c r="O21" s="35"/>
      <c r="P21" s="35"/>
      <c r="Q21" s="35"/>
      <c r="R21" s="35"/>
      <c r="S21" s="35"/>
      <c r="T21" s="35"/>
      <c r="U21" s="35"/>
      <c r="V21" s="35"/>
    </row>
    <row r="22" spans="1:22" s="5" customFormat="1" hidden="1">
      <c r="A22" s="14">
        <f t="shared" si="0"/>
        <v>21</v>
      </c>
      <c r="B22" s="23" t="s">
        <v>109</v>
      </c>
      <c r="C22" s="16" t="s">
        <v>161</v>
      </c>
      <c r="D22" s="67"/>
      <c r="E22" s="16" t="s">
        <v>5</v>
      </c>
      <c r="F22" s="27">
        <v>2000</v>
      </c>
      <c r="G22" s="27">
        <v>1</v>
      </c>
      <c r="H22" s="27">
        <f>(142*0.9+25)*G22</f>
        <v>152.80000000000001</v>
      </c>
      <c r="I22" s="16" t="s">
        <v>85</v>
      </c>
      <c r="J22" s="32" t="s">
        <v>86</v>
      </c>
      <c r="K22" s="27" t="s">
        <v>151</v>
      </c>
      <c r="L22" s="68"/>
      <c r="M22" s="35"/>
      <c r="N22" s="16" t="s">
        <v>16</v>
      </c>
      <c r="O22" s="35"/>
      <c r="P22" s="35"/>
      <c r="Q22" s="35"/>
      <c r="R22" s="35"/>
      <c r="S22" s="35"/>
      <c r="T22" s="35"/>
      <c r="U22" s="35"/>
      <c r="V22" s="35"/>
    </row>
    <row r="23" spans="1:22" s="5" customFormat="1" hidden="1">
      <c r="A23" s="14">
        <f t="shared" si="0"/>
        <v>22</v>
      </c>
      <c r="B23" s="23" t="s">
        <v>110</v>
      </c>
      <c r="C23" s="16" t="s">
        <v>161</v>
      </c>
      <c r="D23" s="67"/>
      <c r="E23" s="16" t="s">
        <v>5</v>
      </c>
      <c r="F23" s="27">
        <v>1500</v>
      </c>
      <c r="G23" s="27">
        <v>1</v>
      </c>
      <c r="H23" s="27">
        <f>94*0.9*G23</f>
        <v>84.600000000000009</v>
      </c>
      <c r="I23" s="16" t="s">
        <v>85</v>
      </c>
      <c r="J23" s="32" t="s">
        <v>86</v>
      </c>
      <c r="K23" s="27" t="s">
        <v>152</v>
      </c>
      <c r="L23" s="68"/>
      <c r="M23" s="35"/>
      <c r="N23" s="16" t="s">
        <v>16</v>
      </c>
      <c r="O23" s="35"/>
      <c r="P23" s="35"/>
      <c r="Q23" s="35"/>
      <c r="R23" s="35"/>
      <c r="S23" s="35"/>
      <c r="T23" s="35"/>
      <c r="U23" s="35"/>
      <c r="V23" s="35"/>
    </row>
    <row r="24" spans="1:22" s="5" customFormat="1" hidden="1">
      <c r="A24" s="14">
        <f t="shared" si="0"/>
        <v>23</v>
      </c>
      <c r="B24" s="24" t="s">
        <v>111</v>
      </c>
      <c r="C24" s="16" t="s">
        <v>161</v>
      </c>
      <c r="D24" s="67"/>
      <c r="E24" s="16" t="s">
        <v>5</v>
      </c>
      <c r="F24" s="27">
        <v>750</v>
      </c>
      <c r="G24" s="27">
        <v>2</v>
      </c>
      <c r="H24" s="27">
        <f>(45.3*0.9*G24)</f>
        <v>81.539999999999992</v>
      </c>
      <c r="I24" s="16" t="s">
        <v>85</v>
      </c>
      <c r="J24" s="32" t="s">
        <v>86</v>
      </c>
      <c r="K24" s="27" t="s">
        <v>151</v>
      </c>
      <c r="L24" s="68"/>
      <c r="M24" s="35"/>
      <c r="N24" s="16" t="s">
        <v>16</v>
      </c>
      <c r="O24" s="35"/>
      <c r="P24" s="35"/>
      <c r="Q24" s="35"/>
      <c r="R24" s="35"/>
      <c r="S24" s="35"/>
      <c r="T24" s="35"/>
      <c r="U24" s="35"/>
      <c r="V24" s="35"/>
    </row>
    <row r="25" spans="1:22" s="5" customFormat="1" hidden="1">
      <c r="A25" s="14">
        <f t="shared" si="0"/>
        <v>24</v>
      </c>
      <c r="B25" s="24" t="s">
        <v>112</v>
      </c>
      <c r="C25" s="16" t="s">
        <v>161</v>
      </c>
      <c r="D25" s="67"/>
      <c r="E25" s="16" t="s">
        <v>5</v>
      </c>
      <c r="F25" s="27">
        <v>750</v>
      </c>
      <c r="G25" s="27">
        <v>1</v>
      </c>
      <c r="H25" s="27">
        <f>(45.3*0.9*G25)</f>
        <v>40.769999999999996</v>
      </c>
      <c r="I25" s="16" t="s">
        <v>85</v>
      </c>
      <c r="J25" s="32" t="s">
        <v>86</v>
      </c>
      <c r="K25" s="27" t="s">
        <v>151</v>
      </c>
      <c r="L25" s="68"/>
      <c r="M25" s="35"/>
      <c r="N25" s="16" t="s">
        <v>145</v>
      </c>
      <c r="O25" s="35"/>
      <c r="P25" s="35"/>
      <c r="Q25" s="35"/>
      <c r="R25" s="35"/>
      <c r="S25" s="35"/>
      <c r="T25" s="35"/>
      <c r="U25" s="35"/>
      <c r="V25" s="35"/>
    </row>
    <row r="26" spans="1:22" s="5" customFormat="1" hidden="1">
      <c r="A26" s="14">
        <f t="shared" si="0"/>
        <v>25</v>
      </c>
      <c r="B26" s="24" t="s">
        <v>113</v>
      </c>
      <c r="C26" s="16" t="s">
        <v>161</v>
      </c>
      <c r="D26" s="67"/>
      <c r="E26" s="16" t="s">
        <v>6</v>
      </c>
      <c r="F26" s="27">
        <v>1010</v>
      </c>
      <c r="G26" s="27">
        <v>2</v>
      </c>
      <c r="H26" s="27">
        <f>(57*0.9*G26)</f>
        <v>102.60000000000001</v>
      </c>
      <c r="I26" s="16" t="s">
        <v>85</v>
      </c>
      <c r="J26" s="32" t="s">
        <v>86</v>
      </c>
      <c r="K26" s="27" t="s">
        <v>151</v>
      </c>
      <c r="L26" s="68"/>
      <c r="M26" s="35"/>
      <c r="N26" s="16" t="s">
        <v>16</v>
      </c>
      <c r="O26" s="35"/>
      <c r="P26" s="35"/>
      <c r="Q26" s="35"/>
      <c r="R26" s="35"/>
      <c r="S26" s="35"/>
      <c r="T26" s="35"/>
      <c r="U26" s="35"/>
      <c r="V26" s="35"/>
    </row>
    <row r="27" spans="1:22" s="5" customFormat="1" hidden="1">
      <c r="A27" s="14">
        <f t="shared" si="0"/>
        <v>26</v>
      </c>
      <c r="B27" s="24" t="s">
        <v>114</v>
      </c>
      <c r="C27" s="16" t="s">
        <v>161</v>
      </c>
      <c r="D27" s="67"/>
      <c r="E27" s="16" t="s">
        <v>5</v>
      </c>
      <c r="F27" s="27">
        <v>1010</v>
      </c>
      <c r="G27" s="27">
        <v>3</v>
      </c>
      <c r="H27" s="27">
        <f>(57*0.9*G27)</f>
        <v>153.9</v>
      </c>
      <c r="I27" s="16" t="s">
        <v>85</v>
      </c>
      <c r="J27" s="32" t="s">
        <v>86</v>
      </c>
      <c r="K27" s="27" t="s">
        <v>151</v>
      </c>
      <c r="L27" s="68"/>
      <c r="M27" s="35"/>
      <c r="N27" s="16" t="s">
        <v>16</v>
      </c>
      <c r="O27" s="35"/>
      <c r="P27" s="35"/>
      <c r="Q27" s="35"/>
      <c r="R27" s="35"/>
      <c r="S27" s="35"/>
      <c r="T27" s="35"/>
      <c r="U27" s="35"/>
      <c r="V27" s="35"/>
    </row>
    <row r="28" spans="1:22" s="5" customFormat="1" hidden="1">
      <c r="A28" s="14">
        <f t="shared" si="0"/>
        <v>27</v>
      </c>
      <c r="B28" s="24" t="s">
        <v>115</v>
      </c>
      <c r="C28" s="27"/>
      <c r="D28" s="67"/>
      <c r="E28" s="16" t="s">
        <v>5</v>
      </c>
      <c r="F28" s="27">
        <v>500</v>
      </c>
      <c r="G28" s="27">
        <v>1</v>
      </c>
      <c r="H28" s="27">
        <f>(30.4*0.8*G28)</f>
        <v>24.32</v>
      </c>
      <c r="I28" s="16" t="s">
        <v>86</v>
      </c>
      <c r="J28" s="32" t="s">
        <v>86</v>
      </c>
      <c r="K28" s="27" t="s">
        <v>151</v>
      </c>
      <c r="L28" s="68"/>
      <c r="M28" s="35"/>
      <c r="N28" s="16" t="s">
        <v>146</v>
      </c>
      <c r="O28" s="35"/>
      <c r="P28" s="35"/>
      <c r="Q28" s="35"/>
      <c r="R28" s="35"/>
      <c r="S28" s="35"/>
      <c r="T28" s="35"/>
      <c r="U28" s="35"/>
      <c r="V28" s="35"/>
    </row>
    <row r="29" spans="1:22" s="5" customFormat="1" hidden="1">
      <c r="A29" s="14">
        <f t="shared" si="0"/>
        <v>28</v>
      </c>
      <c r="B29" s="24" t="s">
        <v>116</v>
      </c>
      <c r="C29" s="27"/>
      <c r="D29" s="67"/>
      <c r="E29" s="16" t="s">
        <v>5</v>
      </c>
      <c r="F29" s="27">
        <v>500</v>
      </c>
      <c r="G29" s="27">
        <v>2</v>
      </c>
      <c r="H29" s="27">
        <f>(57*0.9*G29)</f>
        <v>102.60000000000001</v>
      </c>
      <c r="I29" s="16" t="s">
        <v>85</v>
      </c>
      <c r="J29" s="32" t="s">
        <v>86</v>
      </c>
      <c r="K29" s="27" t="s">
        <v>151</v>
      </c>
      <c r="L29" s="68"/>
      <c r="M29" s="35"/>
      <c r="N29" s="16" t="s">
        <v>16</v>
      </c>
      <c r="O29" s="35"/>
      <c r="P29" s="35"/>
      <c r="Q29" s="35"/>
      <c r="R29" s="35"/>
      <c r="S29" s="35"/>
      <c r="T29" s="35"/>
      <c r="U29" s="35"/>
      <c r="V29" s="35"/>
    </row>
    <row r="30" spans="1:22" s="5" customFormat="1" hidden="1">
      <c r="A30" s="14">
        <f t="shared" si="0"/>
        <v>29</v>
      </c>
      <c r="B30" s="24" t="s">
        <v>117</v>
      </c>
      <c r="C30" s="16" t="s">
        <v>161</v>
      </c>
      <c r="D30" s="67"/>
      <c r="E30" s="16" t="s">
        <v>5</v>
      </c>
      <c r="F30" s="27">
        <v>1500</v>
      </c>
      <c r="G30" s="27">
        <v>2</v>
      </c>
      <c r="H30" s="27">
        <f>94*0.9*G30</f>
        <v>169.20000000000002</v>
      </c>
      <c r="I30" s="16" t="s">
        <v>85</v>
      </c>
      <c r="J30" s="32" t="s">
        <v>86</v>
      </c>
      <c r="K30" s="27" t="s">
        <v>151</v>
      </c>
      <c r="L30" s="68"/>
      <c r="M30" s="35"/>
      <c r="N30" s="16" t="s">
        <v>16</v>
      </c>
      <c r="O30" s="35"/>
      <c r="P30" s="35"/>
      <c r="Q30" s="35"/>
      <c r="R30" s="35"/>
      <c r="S30" s="35"/>
      <c r="T30" s="35"/>
      <c r="U30" s="35"/>
      <c r="V30" s="35"/>
    </row>
    <row r="31" spans="1:22" s="5" customFormat="1" hidden="1">
      <c r="A31" s="14">
        <f t="shared" si="0"/>
        <v>30</v>
      </c>
      <c r="B31" s="24" t="s">
        <v>118</v>
      </c>
      <c r="C31" s="27"/>
      <c r="D31" s="67"/>
      <c r="E31" s="16" t="s">
        <v>5</v>
      </c>
      <c r="F31" s="27">
        <v>600</v>
      </c>
      <c r="G31" s="27">
        <v>2</v>
      </c>
      <c r="H31" s="27">
        <f>(37*0.8*G31)</f>
        <v>59.2</v>
      </c>
      <c r="I31" s="16" t="s">
        <v>85</v>
      </c>
      <c r="J31" s="32" t="s">
        <v>86</v>
      </c>
      <c r="K31" s="27" t="s">
        <v>151</v>
      </c>
      <c r="L31" s="68"/>
      <c r="M31" s="35"/>
      <c r="N31" s="16" t="s">
        <v>147</v>
      </c>
      <c r="O31" s="35"/>
      <c r="P31" s="35"/>
      <c r="Q31" s="35"/>
      <c r="R31" s="35"/>
      <c r="S31" s="35"/>
      <c r="T31" s="35"/>
      <c r="U31" s="35"/>
      <c r="V31" s="35"/>
    </row>
    <row r="32" spans="1:22" s="5" customFormat="1" ht="12.75" hidden="1" customHeight="1">
      <c r="A32" s="14">
        <f t="shared" si="0"/>
        <v>31</v>
      </c>
      <c r="B32" s="24" t="s">
        <v>119</v>
      </c>
      <c r="C32" s="16" t="s">
        <v>161</v>
      </c>
      <c r="D32" s="67"/>
      <c r="E32" s="16" t="s">
        <v>5</v>
      </c>
      <c r="F32" s="27">
        <v>1010</v>
      </c>
      <c r="G32" s="27">
        <v>6</v>
      </c>
      <c r="H32" s="27">
        <f>(57*0.9*G32)</f>
        <v>307.8</v>
      </c>
      <c r="I32" s="16" t="s">
        <v>85</v>
      </c>
      <c r="J32" s="32" t="s">
        <v>86</v>
      </c>
      <c r="K32" s="27" t="s">
        <v>151</v>
      </c>
      <c r="L32" s="68"/>
      <c r="M32" s="35"/>
      <c r="N32" s="16" t="s">
        <v>16</v>
      </c>
      <c r="O32" s="35"/>
      <c r="P32" s="35"/>
      <c r="Q32" s="35"/>
      <c r="R32" s="35"/>
      <c r="S32" s="35"/>
      <c r="T32" s="35"/>
      <c r="U32" s="35"/>
      <c r="V32" s="35"/>
    </row>
    <row r="33" spans="1:22" s="5" customFormat="1" hidden="1">
      <c r="A33" s="14">
        <f t="shared" si="0"/>
        <v>32</v>
      </c>
      <c r="B33" s="24" t="s">
        <v>120</v>
      </c>
      <c r="C33" s="16" t="s">
        <v>161</v>
      </c>
      <c r="D33" s="67"/>
      <c r="E33" s="16" t="s">
        <v>5</v>
      </c>
      <c r="F33" s="27">
        <v>1010</v>
      </c>
      <c r="G33" s="27">
        <v>1</v>
      </c>
      <c r="H33" s="27">
        <f>(57*0.9*G33)</f>
        <v>51.300000000000004</v>
      </c>
      <c r="I33" s="16" t="s">
        <v>85</v>
      </c>
      <c r="J33" s="32" t="s">
        <v>86</v>
      </c>
      <c r="K33" s="27" t="s">
        <v>151</v>
      </c>
      <c r="L33" s="68"/>
      <c r="M33" s="35"/>
      <c r="N33" s="16" t="s">
        <v>16</v>
      </c>
      <c r="O33" s="35"/>
      <c r="P33" s="35"/>
      <c r="Q33" s="35"/>
      <c r="R33" s="35"/>
      <c r="S33" s="35"/>
      <c r="T33" s="35"/>
      <c r="U33" s="35"/>
      <c r="V33" s="35"/>
    </row>
    <row r="34" spans="1:22" s="5" customFormat="1" hidden="1">
      <c r="A34" s="14">
        <f t="shared" si="0"/>
        <v>33</v>
      </c>
      <c r="B34" s="24" t="s">
        <v>121</v>
      </c>
      <c r="C34" s="16" t="s">
        <v>161</v>
      </c>
      <c r="D34" s="67"/>
      <c r="E34" s="16" t="s">
        <v>5</v>
      </c>
      <c r="F34" s="27">
        <v>750</v>
      </c>
      <c r="G34" s="27">
        <v>2</v>
      </c>
      <c r="H34" s="27">
        <f>(45.3*0.9*G34)</f>
        <v>81.539999999999992</v>
      </c>
      <c r="I34" s="16" t="s">
        <v>85</v>
      </c>
      <c r="J34" s="32" t="s">
        <v>86</v>
      </c>
      <c r="K34" s="27" t="s">
        <v>151</v>
      </c>
      <c r="L34" s="68"/>
      <c r="M34" s="35"/>
      <c r="N34" s="16" t="s">
        <v>16</v>
      </c>
      <c r="O34" s="35"/>
      <c r="P34" s="35"/>
      <c r="Q34" s="35"/>
      <c r="R34" s="35"/>
      <c r="S34" s="35"/>
      <c r="T34" s="35"/>
      <c r="U34" s="35"/>
      <c r="V34" s="35"/>
    </row>
    <row r="35" spans="1:22" s="5" customFormat="1" hidden="1">
      <c r="A35" s="14">
        <f t="shared" si="0"/>
        <v>34</v>
      </c>
      <c r="B35" s="25" t="s">
        <v>122</v>
      </c>
      <c r="C35" s="16" t="s">
        <v>161</v>
      </c>
      <c r="D35" s="67"/>
      <c r="E35" s="16" t="s">
        <v>5</v>
      </c>
      <c r="F35" s="27">
        <v>750</v>
      </c>
      <c r="G35" s="27">
        <v>1</v>
      </c>
      <c r="H35" s="27">
        <f>(45.3*0.9*G35)</f>
        <v>40.769999999999996</v>
      </c>
      <c r="I35" s="16" t="s">
        <v>85</v>
      </c>
      <c r="J35" s="32" t="s">
        <v>86</v>
      </c>
      <c r="K35" s="27" t="s">
        <v>152</v>
      </c>
      <c r="L35" s="68"/>
      <c r="M35" s="35"/>
      <c r="N35" s="28" t="s">
        <v>16</v>
      </c>
      <c r="O35" s="35"/>
      <c r="P35" s="35"/>
      <c r="Q35" s="35"/>
      <c r="R35" s="35"/>
      <c r="S35" s="35"/>
      <c r="T35" s="35"/>
      <c r="U35" s="35"/>
      <c r="V35" s="35"/>
    </row>
    <row r="36" spans="1:22" s="5" customFormat="1" hidden="1">
      <c r="A36" s="14">
        <f t="shared" si="0"/>
        <v>35</v>
      </c>
      <c r="B36" s="26" t="s">
        <v>124</v>
      </c>
      <c r="C36" s="16" t="s">
        <v>161</v>
      </c>
      <c r="D36" s="67"/>
      <c r="E36" s="16" t="s">
        <v>5</v>
      </c>
      <c r="F36" s="27">
        <v>1500</v>
      </c>
      <c r="G36" s="27">
        <v>1</v>
      </c>
      <c r="H36" s="27">
        <f>94*0.9*G36</f>
        <v>84.600000000000009</v>
      </c>
      <c r="I36" s="16" t="s">
        <v>85</v>
      </c>
      <c r="J36" s="32" t="s">
        <v>86</v>
      </c>
      <c r="K36" s="27" t="s">
        <v>152</v>
      </c>
      <c r="L36" s="68"/>
      <c r="M36" s="35"/>
      <c r="N36" s="28" t="s">
        <v>16</v>
      </c>
      <c r="O36" s="35"/>
      <c r="P36" s="35"/>
      <c r="Q36" s="35"/>
      <c r="R36" s="35"/>
      <c r="S36" s="35"/>
      <c r="T36" s="35"/>
      <c r="U36" s="35"/>
      <c r="V36" s="35"/>
    </row>
    <row r="37" spans="1:22" s="5" customFormat="1" hidden="1">
      <c r="A37" s="14">
        <f t="shared" si="0"/>
        <v>36</v>
      </c>
      <c r="B37" s="26" t="s">
        <v>125</v>
      </c>
      <c r="C37" s="16" t="s">
        <v>161</v>
      </c>
      <c r="D37" s="67"/>
      <c r="E37" s="16" t="s">
        <v>5</v>
      </c>
      <c r="F37" s="27">
        <v>1010</v>
      </c>
      <c r="G37" s="27">
        <v>1</v>
      </c>
      <c r="H37" s="27">
        <f>(57*0.9*G37)</f>
        <v>51.300000000000004</v>
      </c>
      <c r="I37" s="16" t="s">
        <v>85</v>
      </c>
      <c r="J37" s="32" t="s">
        <v>86</v>
      </c>
      <c r="K37" s="27" t="s">
        <v>152</v>
      </c>
      <c r="L37" s="68"/>
      <c r="M37" s="35"/>
      <c r="N37" s="28" t="s">
        <v>16</v>
      </c>
      <c r="O37" s="35"/>
      <c r="P37" s="35"/>
      <c r="Q37" s="35"/>
      <c r="R37" s="35"/>
      <c r="S37" s="35"/>
      <c r="T37" s="35"/>
      <c r="U37" s="35"/>
      <c r="V37" s="35"/>
    </row>
    <row r="38" spans="1:22" s="5" customFormat="1" hidden="1">
      <c r="A38" s="14">
        <f t="shared" si="0"/>
        <v>37</v>
      </c>
      <c r="B38" s="26" t="s">
        <v>126</v>
      </c>
      <c r="C38" s="16" t="s">
        <v>161</v>
      </c>
      <c r="D38" s="67"/>
      <c r="E38" s="16" t="s">
        <v>5</v>
      </c>
      <c r="F38" s="27">
        <v>1010</v>
      </c>
      <c r="G38" s="27">
        <v>1</v>
      </c>
      <c r="H38" s="27">
        <f>(57*0.9*G38)</f>
        <v>51.300000000000004</v>
      </c>
      <c r="I38" s="16" t="s">
        <v>85</v>
      </c>
      <c r="J38" s="32" t="s">
        <v>86</v>
      </c>
      <c r="K38" s="27" t="s">
        <v>152</v>
      </c>
      <c r="L38" s="68"/>
      <c r="M38" s="35"/>
      <c r="N38" s="28" t="s">
        <v>16</v>
      </c>
      <c r="O38" s="35"/>
      <c r="P38" s="35"/>
      <c r="Q38" s="35"/>
      <c r="R38" s="35"/>
      <c r="S38" s="35"/>
      <c r="T38" s="35"/>
      <c r="U38" s="35"/>
      <c r="V38" s="35"/>
    </row>
    <row r="39" spans="1:22" s="5" customFormat="1" hidden="1">
      <c r="A39" s="14">
        <f t="shared" si="0"/>
        <v>38</v>
      </c>
      <c r="B39" s="26" t="s">
        <v>128</v>
      </c>
      <c r="C39" s="16" t="s">
        <v>161</v>
      </c>
      <c r="D39" s="67"/>
      <c r="E39" s="16" t="s">
        <v>5</v>
      </c>
      <c r="F39" s="27">
        <v>1010</v>
      </c>
      <c r="G39" s="27">
        <v>2</v>
      </c>
      <c r="H39" s="27">
        <f>(57*0.9*G39)</f>
        <v>102.60000000000001</v>
      </c>
      <c r="I39" s="16" t="s">
        <v>85</v>
      </c>
      <c r="J39" s="32" t="s">
        <v>86</v>
      </c>
      <c r="K39" s="27" t="s">
        <v>152</v>
      </c>
      <c r="L39" s="68"/>
      <c r="M39" s="35"/>
      <c r="N39" s="28" t="s">
        <v>16</v>
      </c>
      <c r="O39" s="35"/>
      <c r="P39" s="35"/>
      <c r="Q39" s="35"/>
      <c r="R39" s="35"/>
      <c r="S39" s="35"/>
      <c r="T39" s="35"/>
      <c r="U39" s="35"/>
      <c r="V39" s="35"/>
    </row>
    <row r="40" spans="1:22" s="5" customFormat="1" hidden="1">
      <c r="A40" s="14">
        <f t="shared" si="0"/>
        <v>39</v>
      </c>
      <c r="B40" s="26" t="s">
        <v>129</v>
      </c>
      <c r="C40" s="16" t="s">
        <v>161</v>
      </c>
      <c r="D40" s="67"/>
      <c r="E40" s="16" t="s">
        <v>5</v>
      </c>
      <c r="F40" s="27">
        <v>1010</v>
      </c>
      <c r="G40" s="27">
        <v>3</v>
      </c>
      <c r="H40" s="27">
        <f>(57*0.9*G40)</f>
        <v>153.9</v>
      </c>
      <c r="I40" s="16" t="s">
        <v>85</v>
      </c>
      <c r="J40" s="32" t="s">
        <v>86</v>
      </c>
      <c r="K40" s="27" t="s">
        <v>152</v>
      </c>
      <c r="L40" s="68"/>
      <c r="M40" s="35"/>
      <c r="N40" s="29" t="s">
        <v>16</v>
      </c>
      <c r="O40" s="35"/>
      <c r="P40" s="35"/>
      <c r="Q40" s="35"/>
      <c r="R40" s="35"/>
      <c r="S40" s="35"/>
      <c r="T40" s="35"/>
      <c r="U40" s="35"/>
      <c r="V40" s="35"/>
    </row>
    <row r="41" spans="1:22" s="5" customFormat="1" hidden="1">
      <c r="A41" s="14">
        <f t="shared" si="0"/>
        <v>40</v>
      </c>
      <c r="B41" s="26" t="s">
        <v>131</v>
      </c>
      <c r="C41" s="16" t="s">
        <v>161</v>
      </c>
      <c r="D41" s="67"/>
      <c r="E41" s="16" t="s">
        <v>5</v>
      </c>
      <c r="F41" s="27">
        <v>1010</v>
      </c>
      <c r="G41" s="27">
        <v>5</v>
      </c>
      <c r="H41" s="27">
        <f>(57*0.9*G41)</f>
        <v>256.5</v>
      </c>
      <c r="I41" s="16" t="s">
        <v>85</v>
      </c>
      <c r="J41" s="32" t="s">
        <v>86</v>
      </c>
      <c r="K41" s="27" t="s">
        <v>152</v>
      </c>
      <c r="L41" s="68"/>
      <c r="M41" s="35"/>
      <c r="N41" s="29" t="s">
        <v>16</v>
      </c>
      <c r="O41" s="35"/>
      <c r="P41" s="35"/>
      <c r="Q41" s="35"/>
      <c r="R41" s="35"/>
      <c r="S41" s="35"/>
      <c r="T41" s="35"/>
      <c r="U41" s="35"/>
      <c r="V41" s="35"/>
    </row>
    <row r="42" spans="1:22" s="5" customFormat="1" hidden="1">
      <c r="A42" s="14">
        <f t="shared" si="0"/>
        <v>41</v>
      </c>
      <c r="B42" s="26" t="s">
        <v>131</v>
      </c>
      <c r="C42" s="16" t="s">
        <v>161</v>
      </c>
      <c r="D42" s="67"/>
      <c r="E42" s="16" t="s">
        <v>5</v>
      </c>
      <c r="F42" s="27">
        <v>1250</v>
      </c>
      <c r="G42" s="27">
        <v>7</v>
      </c>
      <c r="H42" s="27">
        <f>80*0.9*G42</f>
        <v>504</v>
      </c>
      <c r="I42" s="16" t="s">
        <v>85</v>
      </c>
      <c r="J42" s="32" t="s">
        <v>86</v>
      </c>
      <c r="K42" s="27" t="s">
        <v>152</v>
      </c>
      <c r="L42" s="68"/>
      <c r="M42" s="35"/>
      <c r="N42" s="29" t="s">
        <v>16</v>
      </c>
      <c r="O42" s="35"/>
      <c r="P42" s="35"/>
      <c r="Q42" s="35"/>
      <c r="R42" s="35"/>
      <c r="S42" s="35"/>
      <c r="T42" s="35"/>
      <c r="U42" s="35"/>
      <c r="V42" s="35"/>
    </row>
    <row r="43" spans="1:22" s="5" customFormat="1" hidden="1">
      <c r="A43" s="14">
        <f t="shared" si="0"/>
        <v>42</v>
      </c>
      <c r="B43" s="26" t="s">
        <v>131</v>
      </c>
      <c r="C43" s="16" t="s">
        <v>161</v>
      </c>
      <c r="D43" s="67"/>
      <c r="E43" s="16" t="s">
        <v>6</v>
      </c>
      <c r="F43" s="27">
        <v>2500</v>
      </c>
      <c r="G43" s="27">
        <v>4</v>
      </c>
      <c r="H43" s="27">
        <f>284*0.9*G43</f>
        <v>1022.4</v>
      </c>
      <c r="I43" s="16" t="s">
        <v>85</v>
      </c>
      <c r="J43" s="32" t="s">
        <v>86</v>
      </c>
      <c r="K43" s="27" t="s">
        <v>152</v>
      </c>
      <c r="L43" s="68"/>
      <c r="M43" s="35"/>
      <c r="N43" s="28" t="s">
        <v>16</v>
      </c>
      <c r="O43" s="35"/>
      <c r="P43" s="35"/>
      <c r="Q43" s="35"/>
      <c r="R43" s="35"/>
      <c r="S43" s="35"/>
      <c r="T43" s="35"/>
      <c r="U43" s="35"/>
      <c r="V43" s="35"/>
    </row>
    <row r="44" spans="1:22" s="94" customFormat="1">
      <c r="A44" s="88">
        <f t="shared" si="0"/>
        <v>43</v>
      </c>
      <c r="B44" s="127" t="s">
        <v>133</v>
      </c>
      <c r="C44" s="90" t="s">
        <v>161</v>
      </c>
      <c r="D44" s="84"/>
      <c r="E44" s="90" t="s">
        <v>6</v>
      </c>
      <c r="F44" s="93">
        <v>3000</v>
      </c>
      <c r="G44" s="93">
        <v>3</v>
      </c>
      <c r="H44" s="93">
        <f>290*G44</f>
        <v>870</v>
      </c>
      <c r="I44" s="90" t="s">
        <v>85</v>
      </c>
      <c r="J44" s="92" t="s">
        <v>88</v>
      </c>
      <c r="K44" s="93" t="s">
        <v>153</v>
      </c>
      <c r="L44" s="95"/>
      <c r="M44" s="84"/>
      <c r="N44" s="85" t="s">
        <v>16</v>
      </c>
      <c r="O44" s="84"/>
      <c r="P44" s="84"/>
      <c r="Q44" s="84"/>
      <c r="R44" s="84"/>
      <c r="S44" s="84"/>
      <c r="T44" s="84"/>
      <c r="U44" s="84"/>
      <c r="V44" s="84"/>
    </row>
    <row r="45" spans="1:22" s="94" customFormat="1">
      <c r="A45" s="88">
        <f t="shared" si="0"/>
        <v>44</v>
      </c>
      <c r="B45" s="127" t="s">
        <v>134</v>
      </c>
      <c r="C45" s="90" t="s">
        <v>161</v>
      </c>
      <c r="D45" s="84"/>
      <c r="E45" s="90" t="s">
        <v>5</v>
      </c>
      <c r="F45" s="93">
        <v>1500</v>
      </c>
      <c r="G45" s="93">
        <v>5</v>
      </c>
      <c r="H45" s="93">
        <f>90*G45</f>
        <v>450</v>
      </c>
      <c r="I45" s="90" t="s">
        <v>85</v>
      </c>
      <c r="J45" s="92" t="s">
        <v>88</v>
      </c>
      <c r="K45" s="93" t="s">
        <v>153</v>
      </c>
      <c r="L45" s="95"/>
      <c r="M45" s="84"/>
      <c r="N45" s="85" t="s">
        <v>16</v>
      </c>
      <c r="O45" s="84"/>
      <c r="P45" s="84"/>
      <c r="Q45" s="84"/>
      <c r="R45" s="84"/>
      <c r="S45" s="84"/>
      <c r="T45" s="84"/>
      <c r="U45" s="84"/>
      <c r="V45" s="84"/>
    </row>
    <row r="46" spans="1:22" customFormat="1" hidden="1">
      <c r="A46" s="14">
        <f t="shared" si="0"/>
        <v>45</v>
      </c>
      <c r="B46" s="26" t="s">
        <v>123</v>
      </c>
      <c r="C46" s="16" t="s">
        <v>161</v>
      </c>
      <c r="D46" s="67"/>
      <c r="E46" s="16" t="s">
        <v>5</v>
      </c>
      <c r="F46" s="27">
        <v>600</v>
      </c>
      <c r="G46" s="27">
        <v>1</v>
      </c>
      <c r="H46" s="27">
        <f>(37*0.8*G46)</f>
        <v>29.6</v>
      </c>
      <c r="I46" s="16" t="s">
        <v>86</v>
      </c>
      <c r="J46" s="32" t="s">
        <v>86</v>
      </c>
      <c r="K46" s="27" t="s">
        <v>152</v>
      </c>
      <c r="L46" s="68"/>
      <c r="M46" s="69" t="s">
        <v>209</v>
      </c>
      <c r="N46" s="69"/>
      <c r="O46" s="69"/>
      <c r="P46" s="69"/>
      <c r="Q46" s="69"/>
      <c r="R46" s="69"/>
      <c r="S46" s="69"/>
      <c r="T46" s="69"/>
      <c r="U46" s="69"/>
      <c r="V46" s="69"/>
    </row>
    <row r="47" spans="1:22" customFormat="1" hidden="1">
      <c r="A47" s="14">
        <f t="shared" si="0"/>
        <v>46</v>
      </c>
      <c r="B47" s="26" t="s">
        <v>124</v>
      </c>
      <c r="C47" s="16" t="s">
        <v>161</v>
      </c>
      <c r="D47" s="67"/>
      <c r="E47" s="16" t="s">
        <v>5</v>
      </c>
      <c r="F47" s="27">
        <v>1500</v>
      </c>
      <c r="G47" s="27">
        <v>1</v>
      </c>
      <c r="H47" s="27">
        <f>94*0.9*G47</f>
        <v>84.600000000000009</v>
      </c>
      <c r="I47" s="16" t="s">
        <v>85</v>
      </c>
      <c r="J47" s="32" t="s">
        <v>86</v>
      </c>
      <c r="K47" s="27" t="s">
        <v>152</v>
      </c>
      <c r="L47" s="68"/>
      <c r="M47" s="69" t="s">
        <v>209</v>
      </c>
      <c r="N47" s="69"/>
      <c r="O47" s="69"/>
      <c r="P47" s="69"/>
      <c r="Q47" s="69"/>
      <c r="R47" s="69"/>
      <c r="S47" s="69"/>
      <c r="T47" s="69"/>
      <c r="U47" s="69"/>
      <c r="V47" s="69"/>
    </row>
    <row r="48" spans="1:22" customFormat="1" hidden="1">
      <c r="A48" s="14">
        <f t="shared" si="0"/>
        <v>47</v>
      </c>
      <c r="B48" s="26" t="s">
        <v>125</v>
      </c>
      <c r="C48" s="16" t="s">
        <v>161</v>
      </c>
      <c r="D48" s="67"/>
      <c r="E48" s="16" t="s">
        <v>5</v>
      </c>
      <c r="F48" s="27">
        <v>1010</v>
      </c>
      <c r="G48" s="27">
        <v>1</v>
      </c>
      <c r="H48" s="27">
        <f>(57*0.9*G48)</f>
        <v>51.300000000000004</v>
      </c>
      <c r="I48" s="16" t="s">
        <v>85</v>
      </c>
      <c r="J48" s="32" t="s">
        <v>86</v>
      </c>
      <c r="K48" s="27" t="s">
        <v>152</v>
      </c>
      <c r="L48" s="68"/>
      <c r="M48" s="69" t="s">
        <v>240</v>
      </c>
      <c r="N48" s="69"/>
      <c r="O48" s="69"/>
      <c r="P48" s="69"/>
      <c r="Q48" s="69"/>
      <c r="R48" s="69"/>
      <c r="S48" s="69"/>
      <c r="T48" s="69"/>
      <c r="U48" s="69"/>
      <c r="V48" s="69"/>
    </row>
    <row r="49" spans="1:22" customFormat="1" hidden="1">
      <c r="A49" s="14">
        <f t="shared" si="0"/>
        <v>48</v>
      </c>
      <c r="B49" s="26" t="s">
        <v>126</v>
      </c>
      <c r="C49" s="16" t="s">
        <v>161</v>
      </c>
      <c r="D49" s="67"/>
      <c r="E49" s="16" t="s">
        <v>5</v>
      </c>
      <c r="F49" s="27">
        <v>1010</v>
      </c>
      <c r="G49" s="27">
        <v>1</v>
      </c>
      <c r="H49" s="27">
        <f>(57*0.9*G49)</f>
        <v>51.300000000000004</v>
      </c>
      <c r="I49" s="16" t="s">
        <v>85</v>
      </c>
      <c r="J49" s="32" t="s">
        <v>86</v>
      </c>
      <c r="K49" s="27" t="s">
        <v>152</v>
      </c>
      <c r="L49" s="68"/>
      <c r="M49" s="69" t="s">
        <v>209</v>
      </c>
      <c r="N49" s="69"/>
      <c r="O49" s="69"/>
      <c r="P49" s="69"/>
      <c r="Q49" s="69"/>
      <c r="R49" s="69"/>
      <c r="S49" s="69"/>
      <c r="T49" s="69"/>
      <c r="U49" s="69"/>
      <c r="V49" s="69"/>
    </row>
    <row r="50" spans="1:22" customFormat="1" hidden="1">
      <c r="A50" s="14">
        <f t="shared" si="0"/>
        <v>49</v>
      </c>
      <c r="B50" s="26" t="s">
        <v>127</v>
      </c>
      <c r="C50" s="16" t="s">
        <v>161</v>
      </c>
      <c r="D50" s="67"/>
      <c r="E50" s="16" t="s">
        <v>5</v>
      </c>
      <c r="F50" s="27">
        <v>750</v>
      </c>
      <c r="G50" s="27">
        <v>1</v>
      </c>
      <c r="H50" s="27">
        <f>(45.3*0.9*G50)</f>
        <v>40.769999999999996</v>
      </c>
      <c r="I50" s="16" t="s">
        <v>85</v>
      </c>
      <c r="J50" s="32" t="s">
        <v>86</v>
      </c>
      <c r="K50" s="27" t="s">
        <v>152</v>
      </c>
      <c r="L50" s="68"/>
      <c r="M50" s="69" t="s">
        <v>209</v>
      </c>
      <c r="N50" s="69"/>
      <c r="O50" s="69"/>
      <c r="P50" s="69"/>
      <c r="Q50" s="69"/>
      <c r="R50" s="69"/>
      <c r="S50" s="69"/>
      <c r="T50" s="69"/>
      <c r="U50" s="69"/>
      <c r="V50" s="69"/>
    </row>
    <row r="51" spans="1:22" customFormat="1" hidden="1">
      <c r="A51" s="14">
        <f t="shared" si="0"/>
        <v>50</v>
      </c>
      <c r="B51" s="26" t="s">
        <v>128</v>
      </c>
      <c r="C51" s="16" t="s">
        <v>161</v>
      </c>
      <c r="D51" s="67"/>
      <c r="E51" s="16" t="s">
        <v>5</v>
      </c>
      <c r="F51" s="27">
        <v>1010</v>
      </c>
      <c r="G51" s="27">
        <v>2</v>
      </c>
      <c r="H51" s="27">
        <f>(57*0.9*G51)</f>
        <v>102.60000000000001</v>
      </c>
      <c r="I51" s="16" t="s">
        <v>85</v>
      </c>
      <c r="J51" s="32" t="s">
        <v>86</v>
      </c>
      <c r="K51" s="27" t="s">
        <v>152</v>
      </c>
      <c r="L51" s="68"/>
      <c r="M51" s="69" t="s">
        <v>241</v>
      </c>
      <c r="N51" s="69" t="s">
        <v>144</v>
      </c>
      <c r="O51" s="69"/>
      <c r="P51" s="69"/>
      <c r="Q51" s="69"/>
      <c r="R51" s="69"/>
      <c r="S51" s="69"/>
      <c r="T51" s="69"/>
      <c r="U51" s="69"/>
      <c r="V51" s="69"/>
    </row>
    <row r="52" spans="1:22" customFormat="1" hidden="1">
      <c r="A52" s="14">
        <f t="shared" si="0"/>
        <v>51</v>
      </c>
      <c r="B52" s="26" t="s">
        <v>129</v>
      </c>
      <c r="C52" s="16" t="s">
        <v>161</v>
      </c>
      <c r="D52" s="67"/>
      <c r="E52" s="16" t="s">
        <v>5</v>
      </c>
      <c r="F52" s="27">
        <v>750</v>
      </c>
      <c r="G52" s="27">
        <v>3</v>
      </c>
      <c r="H52" s="27">
        <f>(45.3*0.9*G52)</f>
        <v>122.30999999999999</v>
      </c>
      <c r="I52" s="16" t="s">
        <v>85</v>
      </c>
      <c r="J52" s="32" t="s">
        <v>86</v>
      </c>
      <c r="K52" s="27" t="s">
        <v>152</v>
      </c>
      <c r="L52" s="68"/>
      <c r="M52" s="69" t="s">
        <v>240</v>
      </c>
      <c r="N52" s="69"/>
      <c r="O52" s="69"/>
      <c r="P52" s="69"/>
      <c r="Q52" s="69"/>
      <c r="R52" s="69"/>
      <c r="S52" s="69"/>
      <c r="T52" s="69"/>
      <c r="U52" s="69"/>
      <c r="V52" s="69"/>
    </row>
    <row r="53" spans="1:22" customFormat="1" hidden="1">
      <c r="A53" s="14">
        <f t="shared" si="0"/>
        <v>52</v>
      </c>
      <c r="B53" s="26" t="s">
        <v>129</v>
      </c>
      <c r="C53" s="16" t="s">
        <v>161</v>
      </c>
      <c r="D53" s="67"/>
      <c r="E53" s="16" t="s">
        <v>5</v>
      </c>
      <c r="F53" s="27">
        <v>1010</v>
      </c>
      <c r="G53" s="27">
        <v>3</v>
      </c>
      <c r="H53" s="27">
        <f>(57*0.9*G53)</f>
        <v>153.9</v>
      </c>
      <c r="I53" s="16" t="s">
        <v>85</v>
      </c>
      <c r="J53" s="32" t="s">
        <v>86</v>
      </c>
      <c r="K53" s="27" t="s">
        <v>152</v>
      </c>
      <c r="L53" s="68"/>
      <c r="M53" s="69" t="s">
        <v>240</v>
      </c>
      <c r="N53" s="69"/>
      <c r="O53" s="69"/>
      <c r="P53" s="69"/>
      <c r="Q53" s="69"/>
      <c r="R53" s="69"/>
      <c r="S53" s="69"/>
      <c r="T53" s="69"/>
      <c r="U53" s="69"/>
      <c r="V53" s="69"/>
    </row>
    <row r="54" spans="1:22" customFormat="1" hidden="1">
      <c r="A54" s="14">
        <f t="shared" si="0"/>
        <v>53</v>
      </c>
      <c r="B54" s="26" t="s">
        <v>130</v>
      </c>
      <c r="C54" s="16" t="s">
        <v>161</v>
      </c>
      <c r="D54" s="67"/>
      <c r="E54" s="16" t="s">
        <v>5</v>
      </c>
      <c r="F54" s="27">
        <v>1010</v>
      </c>
      <c r="G54" s="27">
        <v>2</v>
      </c>
      <c r="H54" s="27">
        <f>(57*0.9*G54)</f>
        <v>102.60000000000001</v>
      </c>
      <c r="I54" s="16" t="s">
        <v>85</v>
      </c>
      <c r="J54" s="32" t="s">
        <v>86</v>
      </c>
      <c r="K54" s="27" t="s">
        <v>152</v>
      </c>
      <c r="L54" s="68"/>
      <c r="M54" s="69" t="s">
        <v>212</v>
      </c>
      <c r="N54" s="69"/>
      <c r="O54" s="69"/>
      <c r="P54" s="69"/>
      <c r="Q54" s="69"/>
      <c r="R54" s="69"/>
      <c r="S54" s="69"/>
      <c r="T54" s="69"/>
      <c r="U54" s="69"/>
      <c r="V54" s="69"/>
    </row>
    <row r="55" spans="1:22" customFormat="1" hidden="1">
      <c r="A55" s="14">
        <f t="shared" si="0"/>
        <v>54</v>
      </c>
      <c r="B55" s="26" t="s">
        <v>131</v>
      </c>
      <c r="C55" s="16" t="s">
        <v>162</v>
      </c>
      <c r="D55" s="67"/>
      <c r="E55" s="16" t="s">
        <v>5</v>
      </c>
      <c r="F55" s="27">
        <v>630</v>
      </c>
      <c r="G55" s="27">
        <v>3</v>
      </c>
      <c r="H55" s="27">
        <f>(45*0.8*G55)</f>
        <v>108</v>
      </c>
      <c r="I55" s="16" t="s">
        <v>85</v>
      </c>
      <c r="J55" s="32" t="s">
        <v>86</v>
      </c>
      <c r="K55" s="27" t="s">
        <v>152</v>
      </c>
      <c r="L55" s="68"/>
      <c r="M55" s="69" t="s">
        <v>242</v>
      </c>
      <c r="N55" s="69"/>
      <c r="O55" s="69"/>
      <c r="P55" s="69"/>
      <c r="Q55" s="69"/>
      <c r="R55" s="69"/>
      <c r="S55" s="69"/>
      <c r="T55" s="69"/>
      <c r="U55" s="69"/>
      <c r="V55" s="69"/>
    </row>
    <row r="56" spans="1:22">
      <c r="A56" s="88">
        <f t="shared" si="0"/>
        <v>55</v>
      </c>
      <c r="B56" s="127" t="s">
        <v>131</v>
      </c>
      <c r="C56" s="90" t="s">
        <v>161</v>
      </c>
      <c r="D56" s="84"/>
      <c r="E56" s="90" t="s">
        <v>5</v>
      </c>
      <c r="F56" s="93">
        <v>1500</v>
      </c>
      <c r="G56" s="93">
        <v>3</v>
      </c>
      <c r="H56" s="93">
        <f>85*3</f>
        <v>255</v>
      </c>
      <c r="I56" s="90" t="s">
        <v>85</v>
      </c>
      <c r="J56" s="92" t="s">
        <v>88</v>
      </c>
      <c r="K56" s="93" t="s">
        <v>152</v>
      </c>
      <c r="L56" s="95"/>
      <c r="M56" s="70" t="s">
        <v>240</v>
      </c>
      <c r="N56" s="70"/>
      <c r="O56" s="70"/>
      <c r="P56" s="70"/>
      <c r="Q56" s="70"/>
      <c r="R56" s="70"/>
      <c r="S56" s="70"/>
      <c r="T56" s="70"/>
      <c r="U56" s="70"/>
      <c r="V56" s="70"/>
    </row>
    <row r="57" spans="1:22" customFormat="1" hidden="1">
      <c r="A57" s="14">
        <f t="shared" si="0"/>
        <v>56</v>
      </c>
      <c r="B57" s="26" t="s">
        <v>132</v>
      </c>
      <c r="C57" s="16" t="s">
        <v>161</v>
      </c>
      <c r="D57" s="67"/>
      <c r="E57" s="16" t="s">
        <v>5</v>
      </c>
      <c r="F57" s="27">
        <v>750</v>
      </c>
      <c r="G57" s="27">
        <v>2</v>
      </c>
      <c r="H57" s="27">
        <f>(45.3*0.9*G57)</f>
        <v>81.539999999999992</v>
      </c>
      <c r="I57" s="16" t="s">
        <v>85</v>
      </c>
      <c r="J57" s="32" t="s">
        <v>86</v>
      </c>
      <c r="K57" s="27" t="s">
        <v>152</v>
      </c>
      <c r="L57" s="68"/>
      <c r="M57" s="69" t="s">
        <v>209</v>
      </c>
      <c r="N57" s="69"/>
      <c r="O57" s="69"/>
      <c r="P57" s="69"/>
      <c r="Q57" s="69"/>
      <c r="R57" s="69"/>
      <c r="S57" s="69"/>
      <c r="T57" s="69"/>
      <c r="U57" s="69"/>
      <c r="V57" s="69"/>
    </row>
    <row r="58" spans="1:22">
      <c r="A58" s="88">
        <f t="shared" si="0"/>
        <v>57</v>
      </c>
      <c r="B58" s="127" t="s">
        <v>243</v>
      </c>
      <c r="C58" s="90" t="s">
        <v>161</v>
      </c>
      <c r="D58" s="84"/>
      <c r="E58" s="90" t="s">
        <v>5</v>
      </c>
      <c r="F58" s="93">
        <v>2000</v>
      </c>
      <c r="G58" s="93">
        <v>3</v>
      </c>
      <c r="H58" s="93">
        <f>145*3</f>
        <v>435</v>
      </c>
      <c r="I58" s="90" t="s">
        <v>85</v>
      </c>
      <c r="J58" s="92" t="s">
        <v>88</v>
      </c>
      <c r="K58" s="93" t="s">
        <v>152</v>
      </c>
      <c r="L58" s="95"/>
      <c r="M58" s="70" t="s">
        <v>241</v>
      </c>
      <c r="N58" s="70" t="s">
        <v>244</v>
      </c>
      <c r="O58" s="70"/>
      <c r="P58" s="70"/>
      <c r="Q58" s="70"/>
      <c r="R58" s="70"/>
      <c r="S58" s="70"/>
      <c r="T58" s="70"/>
      <c r="U58" s="70"/>
      <c r="V58" s="70"/>
    </row>
    <row r="59" spans="1:22">
      <c r="A59" s="88">
        <f t="shared" si="0"/>
        <v>58</v>
      </c>
      <c r="B59" s="127" t="s">
        <v>243</v>
      </c>
      <c r="C59" s="90" t="s">
        <v>161</v>
      </c>
      <c r="D59" s="84"/>
      <c r="E59" s="90" t="s">
        <v>5</v>
      </c>
      <c r="F59" s="93">
        <v>1500</v>
      </c>
      <c r="G59" s="93">
        <v>2</v>
      </c>
      <c r="H59" s="93">
        <f>85*2</f>
        <v>170</v>
      </c>
      <c r="I59" s="90" t="s">
        <v>85</v>
      </c>
      <c r="J59" s="92" t="s">
        <v>88</v>
      </c>
      <c r="K59" s="93" t="s">
        <v>152</v>
      </c>
      <c r="L59" s="95"/>
      <c r="M59" s="70" t="s">
        <v>240</v>
      </c>
      <c r="N59" s="70"/>
      <c r="O59" s="70"/>
      <c r="P59" s="70"/>
      <c r="Q59" s="70"/>
      <c r="R59" s="70"/>
      <c r="S59" s="70"/>
      <c r="T59" s="70"/>
      <c r="U59" s="70"/>
      <c r="V59" s="70"/>
    </row>
    <row r="60" spans="1:22">
      <c r="A60" s="88">
        <f t="shared" si="0"/>
        <v>59</v>
      </c>
      <c r="B60" s="127" t="s">
        <v>245</v>
      </c>
      <c r="C60" s="90" t="s">
        <v>161</v>
      </c>
      <c r="D60" s="84"/>
      <c r="E60" s="90" t="s">
        <v>5</v>
      </c>
      <c r="F60" s="93">
        <v>1500</v>
      </c>
      <c r="G60" s="93">
        <v>11</v>
      </c>
      <c r="H60" s="93">
        <f>85*11</f>
        <v>935</v>
      </c>
      <c r="I60" s="90" t="s">
        <v>85</v>
      </c>
      <c r="J60" s="92" t="s">
        <v>88</v>
      </c>
      <c r="K60" s="93" t="s">
        <v>152</v>
      </c>
      <c r="L60" s="95"/>
      <c r="M60" s="70" t="s">
        <v>241</v>
      </c>
      <c r="N60" s="70" t="s">
        <v>246</v>
      </c>
      <c r="O60" s="70"/>
      <c r="P60" s="70"/>
      <c r="Q60" s="70"/>
      <c r="R60" s="70"/>
      <c r="S60" s="70"/>
      <c r="T60" s="70"/>
      <c r="U60" s="70"/>
      <c r="V60" s="70"/>
    </row>
    <row r="61" spans="1:22">
      <c r="A61" s="88">
        <f t="shared" si="0"/>
        <v>60</v>
      </c>
      <c r="B61" s="127" t="s">
        <v>98</v>
      </c>
      <c r="C61" s="90" t="s">
        <v>161</v>
      </c>
      <c r="D61" s="84"/>
      <c r="E61" s="90" t="s">
        <v>5</v>
      </c>
      <c r="F61" s="93">
        <v>750</v>
      </c>
      <c r="G61" s="93">
        <v>1</v>
      </c>
      <c r="H61" s="93">
        <v>40</v>
      </c>
      <c r="I61" s="90" t="s">
        <v>85</v>
      </c>
      <c r="J61" s="92" t="s">
        <v>88</v>
      </c>
      <c r="K61" s="93" t="s">
        <v>152</v>
      </c>
      <c r="L61" s="95"/>
      <c r="M61" s="70" t="s">
        <v>209</v>
      </c>
      <c r="N61" s="70"/>
      <c r="O61" s="70"/>
      <c r="P61" s="70"/>
      <c r="Q61" s="70"/>
      <c r="R61" s="70"/>
      <c r="S61" s="70"/>
      <c r="T61" s="70"/>
      <c r="U61" s="70"/>
      <c r="V61" s="70"/>
    </row>
    <row r="62" spans="1:22" customFormat="1" hidden="1">
      <c r="A62" s="14">
        <f t="shared" si="0"/>
        <v>61</v>
      </c>
      <c r="B62" s="26" t="s">
        <v>247</v>
      </c>
      <c r="C62" s="16" t="s">
        <v>161</v>
      </c>
      <c r="D62" s="67"/>
      <c r="E62" s="16" t="s">
        <v>5</v>
      </c>
      <c r="F62" s="27">
        <v>750</v>
      </c>
      <c r="G62" s="27">
        <v>1</v>
      </c>
      <c r="H62" s="27">
        <v>40</v>
      </c>
      <c r="I62" s="16" t="s">
        <v>85</v>
      </c>
      <c r="J62" s="32" t="s">
        <v>86</v>
      </c>
      <c r="K62" s="27" t="s">
        <v>152</v>
      </c>
      <c r="L62" s="68"/>
      <c r="M62" s="69" t="s">
        <v>248</v>
      </c>
      <c r="N62" s="69" t="s">
        <v>249</v>
      </c>
      <c r="O62" s="69"/>
      <c r="P62" s="69"/>
      <c r="Q62" s="69"/>
      <c r="R62" s="69"/>
      <c r="S62" s="69"/>
      <c r="T62" s="69"/>
      <c r="U62" s="69"/>
      <c r="V62" s="69"/>
    </row>
    <row r="63" spans="1:22" customFormat="1" hidden="1">
      <c r="A63" s="14">
        <f t="shared" si="0"/>
        <v>62</v>
      </c>
      <c r="B63" s="26" t="s">
        <v>250</v>
      </c>
      <c r="C63" s="16" t="s">
        <v>161</v>
      </c>
      <c r="D63" s="67"/>
      <c r="E63" s="16" t="s">
        <v>5</v>
      </c>
      <c r="F63" s="27">
        <v>1010</v>
      </c>
      <c r="G63" s="27">
        <v>2</v>
      </c>
      <c r="H63" s="27">
        <f>57*0.9*2</f>
        <v>102.60000000000001</v>
      </c>
      <c r="I63" s="16" t="s">
        <v>85</v>
      </c>
      <c r="J63" s="32" t="s">
        <v>86</v>
      </c>
      <c r="K63" s="27" t="s">
        <v>152</v>
      </c>
      <c r="L63" s="68"/>
      <c r="M63" s="69" t="s">
        <v>212</v>
      </c>
      <c r="N63" s="69" t="s">
        <v>251</v>
      </c>
      <c r="O63" s="69"/>
      <c r="P63" s="69"/>
      <c r="Q63" s="69"/>
      <c r="R63" s="69"/>
      <c r="S63" s="69"/>
      <c r="T63" s="69"/>
      <c r="U63" s="69"/>
      <c r="V63" s="69"/>
    </row>
    <row r="64" spans="1:22">
      <c r="A64" s="88">
        <f t="shared" si="0"/>
        <v>63</v>
      </c>
      <c r="B64" s="127" t="s">
        <v>245</v>
      </c>
      <c r="C64" s="90" t="s">
        <v>161</v>
      </c>
      <c r="D64" s="84"/>
      <c r="E64" s="90" t="s">
        <v>5</v>
      </c>
      <c r="F64" s="93">
        <v>500</v>
      </c>
      <c r="G64" s="93">
        <v>2</v>
      </c>
      <c r="H64" s="93">
        <f>26*2</f>
        <v>52</v>
      </c>
      <c r="I64" s="90" t="s">
        <v>86</v>
      </c>
      <c r="J64" s="92" t="s">
        <v>88</v>
      </c>
      <c r="K64" s="93" t="s">
        <v>152</v>
      </c>
      <c r="L64" s="95"/>
      <c r="M64" s="70" t="s">
        <v>242</v>
      </c>
      <c r="N64" s="70" t="s">
        <v>137</v>
      </c>
      <c r="O64" s="70"/>
      <c r="P64" s="70"/>
      <c r="Q64" s="70"/>
      <c r="R64" s="70"/>
      <c r="S64" s="70"/>
      <c r="T64" s="70"/>
      <c r="U64" s="70"/>
      <c r="V64" s="70"/>
    </row>
    <row r="65" spans="1:22">
      <c r="A65" s="88">
        <f t="shared" si="0"/>
        <v>64</v>
      </c>
      <c r="B65" s="127" t="s">
        <v>252</v>
      </c>
      <c r="C65" s="90" t="s">
        <v>161</v>
      </c>
      <c r="D65" s="84"/>
      <c r="E65" s="90" t="s">
        <v>5</v>
      </c>
      <c r="F65" s="93">
        <v>1010</v>
      </c>
      <c r="G65" s="93">
        <v>3</v>
      </c>
      <c r="H65" s="93">
        <f>57*0.9*G65</f>
        <v>153.9</v>
      </c>
      <c r="I65" s="90" t="s">
        <v>86</v>
      </c>
      <c r="J65" s="92" t="s">
        <v>88</v>
      </c>
      <c r="K65" s="93" t="s">
        <v>152</v>
      </c>
      <c r="L65" s="95"/>
      <c r="M65" s="70" t="s">
        <v>209</v>
      </c>
      <c r="N65" s="70" t="s">
        <v>253</v>
      </c>
      <c r="O65" s="70"/>
      <c r="P65" s="70"/>
      <c r="Q65" s="70"/>
      <c r="R65" s="70"/>
      <c r="S65" s="70"/>
      <c r="T65" s="70"/>
      <c r="U65" s="70"/>
      <c r="V65" s="70"/>
    </row>
    <row r="66" spans="1:22">
      <c r="A66" s="88">
        <f t="shared" si="0"/>
        <v>65</v>
      </c>
      <c r="B66" s="127" t="s">
        <v>178</v>
      </c>
      <c r="C66" s="90" t="s">
        <v>161</v>
      </c>
      <c r="D66" s="84" t="s">
        <v>254</v>
      </c>
      <c r="E66" s="90" t="s">
        <v>6</v>
      </c>
      <c r="F66" s="93">
        <v>2500</v>
      </c>
      <c r="G66" s="93">
        <v>3</v>
      </c>
      <c r="H66" s="93">
        <v>1560</v>
      </c>
      <c r="I66" s="90" t="s">
        <v>85</v>
      </c>
      <c r="J66" s="92" t="s">
        <v>88</v>
      </c>
      <c r="K66" s="93" t="s">
        <v>151</v>
      </c>
      <c r="L66" s="95"/>
      <c r="M66" s="127" t="s">
        <v>209</v>
      </c>
      <c r="N66" s="127" t="s">
        <v>255</v>
      </c>
      <c r="O66" s="127" t="s">
        <v>256</v>
      </c>
      <c r="P66" s="127">
        <v>2266472111</v>
      </c>
      <c r="Q66" s="127"/>
      <c r="R66" s="127"/>
      <c r="S66" s="127"/>
      <c r="T66" s="127" t="s">
        <v>178</v>
      </c>
      <c r="U66" s="127"/>
      <c r="V66" s="70"/>
    </row>
    <row r="67" spans="1:22">
      <c r="A67" s="88">
        <f t="shared" si="0"/>
        <v>66</v>
      </c>
      <c r="B67" s="127" t="s">
        <v>257</v>
      </c>
      <c r="C67" s="90" t="s">
        <v>161</v>
      </c>
      <c r="D67" s="84" t="s">
        <v>258</v>
      </c>
      <c r="E67" s="90" t="s">
        <v>5</v>
      </c>
      <c r="F67" s="93">
        <v>2000</v>
      </c>
      <c r="G67" s="93">
        <v>1</v>
      </c>
      <c r="H67" s="93">
        <v>352</v>
      </c>
      <c r="I67" s="90" t="s">
        <v>259</v>
      </c>
      <c r="J67" s="92" t="s">
        <v>260</v>
      </c>
      <c r="K67" s="93" t="s">
        <v>151</v>
      </c>
      <c r="L67" s="95"/>
      <c r="M67" s="127" t="s">
        <v>209</v>
      </c>
      <c r="N67" s="127"/>
      <c r="O67" s="127"/>
      <c r="P67" s="127"/>
      <c r="Q67" s="127"/>
      <c r="R67" s="127"/>
      <c r="S67" s="127"/>
      <c r="T67" s="127" t="s">
        <v>257</v>
      </c>
      <c r="U67" s="127" t="s">
        <v>261</v>
      </c>
      <c r="V67" s="70">
        <v>9591259951</v>
      </c>
    </row>
    <row r="68" spans="1:22">
      <c r="A68" s="88">
        <f t="shared" si="0"/>
        <v>67</v>
      </c>
      <c r="B68" s="127" t="s">
        <v>262</v>
      </c>
      <c r="C68" s="90" t="s">
        <v>161</v>
      </c>
      <c r="D68" s="84"/>
      <c r="E68" s="90" t="s">
        <v>5</v>
      </c>
      <c r="F68" s="93">
        <v>600</v>
      </c>
      <c r="G68" s="93">
        <v>5</v>
      </c>
      <c r="H68" s="93">
        <f>(37*0.8*G68)</f>
        <v>148</v>
      </c>
      <c r="I68" s="90" t="s">
        <v>86</v>
      </c>
      <c r="J68" s="92" t="s">
        <v>88</v>
      </c>
      <c r="K68" s="93" t="s">
        <v>151</v>
      </c>
      <c r="L68" s="95"/>
      <c r="M68" s="127" t="s">
        <v>240</v>
      </c>
      <c r="N68" s="127"/>
      <c r="O68" s="127"/>
      <c r="P68" s="127"/>
      <c r="Q68" s="127"/>
      <c r="R68" s="127"/>
      <c r="S68" s="127"/>
      <c r="T68" s="127" t="s">
        <v>263</v>
      </c>
      <c r="U68" s="127" t="s">
        <v>264</v>
      </c>
      <c r="V68" s="70">
        <v>9845040025</v>
      </c>
    </row>
    <row r="69" spans="1:22" customFormat="1" hidden="1">
      <c r="A69" s="14">
        <f t="shared" ref="A69:A132" si="1">+A68+1</f>
        <v>68</v>
      </c>
      <c r="B69" s="26" t="s">
        <v>265</v>
      </c>
      <c r="C69" s="16" t="s">
        <v>161</v>
      </c>
      <c r="D69" s="67" t="s">
        <v>266</v>
      </c>
      <c r="E69" s="16" t="s">
        <v>5</v>
      </c>
      <c r="F69" s="27">
        <v>750</v>
      </c>
      <c r="G69" s="27">
        <v>3</v>
      </c>
      <c r="H69" s="27">
        <f>(45.3*0.9*G69)</f>
        <v>122.30999999999999</v>
      </c>
      <c r="I69" s="16" t="s">
        <v>85</v>
      </c>
      <c r="J69" s="32" t="s">
        <v>86</v>
      </c>
      <c r="K69" s="27" t="s">
        <v>151</v>
      </c>
      <c r="L69" s="68"/>
      <c r="M69" s="26" t="s">
        <v>242</v>
      </c>
      <c r="N69" s="26"/>
      <c r="O69" s="26"/>
      <c r="P69" s="26"/>
      <c r="Q69" s="26"/>
      <c r="R69" s="26"/>
      <c r="S69" s="26"/>
      <c r="T69" s="26" t="s">
        <v>265</v>
      </c>
      <c r="U69" s="26" t="s">
        <v>267</v>
      </c>
      <c r="V69" s="69">
        <v>9620215216</v>
      </c>
    </row>
    <row r="70" spans="1:22" customFormat="1" hidden="1">
      <c r="A70" s="14">
        <f t="shared" si="1"/>
        <v>69</v>
      </c>
      <c r="B70" s="26" t="s">
        <v>268</v>
      </c>
      <c r="C70" s="16" t="s">
        <v>161</v>
      </c>
      <c r="D70" s="67" t="s">
        <v>269</v>
      </c>
      <c r="E70" s="16" t="s">
        <v>5</v>
      </c>
      <c r="F70" s="27">
        <v>750</v>
      </c>
      <c r="G70" s="27">
        <v>1</v>
      </c>
      <c r="H70" s="27">
        <f>(45.3*0.9*G70)</f>
        <v>40.769999999999996</v>
      </c>
      <c r="I70" s="16" t="s">
        <v>85</v>
      </c>
      <c r="J70" s="32" t="s">
        <v>86</v>
      </c>
      <c r="K70" s="27" t="s">
        <v>151</v>
      </c>
      <c r="L70" s="68"/>
      <c r="M70" s="26" t="s">
        <v>209</v>
      </c>
      <c r="N70" s="26"/>
      <c r="O70" s="26"/>
      <c r="P70" s="26"/>
      <c r="Q70" s="26"/>
      <c r="R70" s="26"/>
      <c r="S70" s="26"/>
      <c r="T70" s="26" t="s">
        <v>269</v>
      </c>
      <c r="U70" s="26" t="s">
        <v>270</v>
      </c>
      <c r="V70" s="69">
        <v>8025037203</v>
      </c>
    </row>
    <row r="71" spans="1:22" ht="25.5">
      <c r="A71" s="88">
        <f t="shared" si="1"/>
        <v>70</v>
      </c>
      <c r="B71" s="127" t="s">
        <v>271</v>
      </c>
      <c r="C71" s="90" t="s">
        <v>161</v>
      </c>
      <c r="D71" s="84" t="s">
        <v>272</v>
      </c>
      <c r="E71" s="90" t="s">
        <v>5</v>
      </c>
      <c r="F71" s="93">
        <v>1250</v>
      </c>
      <c r="G71" s="93">
        <v>2</v>
      </c>
      <c r="H71" s="93">
        <f>78*G71</f>
        <v>156</v>
      </c>
      <c r="I71" s="90" t="s">
        <v>85</v>
      </c>
      <c r="J71" s="92" t="s">
        <v>88</v>
      </c>
      <c r="K71" s="93" t="s">
        <v>151</v>
      </c>
      <c r="L71" s="95"/>
      <c r="M71" s="127" t="s">
        <v>242</v>
      </c>
      <c r="N71" s="127" t="s">
        <v>144</v>
      </c>
      <c r="O71" s="127"/>
      <c r="P71" s="127"/>
      <c r="Q71" s="127" t="s">
        <v>273</v>
      </c>
      <c r="R71" s="127" t="s">
        <v>274</v>
      </c>
      <c r="S71" s="127"/>
      <c r="T71" s="127"/>
      <c r="U71" s="127"/>
      <c r="V71" s="70"/>
    </row>
    <row r="72" spans="1:22" ht="25.5">
      <c r="A72" s="88">
        <f t="shared" si="1"/>
        <v>71</v>
      </c>
      <c r="B72" s="127" t="s">
        <v>271</v>
      </c>
      <c r="C72" s="90" t="s">
        <v>161</v>
      </c>
      <c r="D72" s="84" t="s">
        <v>272</v>
      </c>
      <c r="E72" s="90" t="s">
        <v>5</v>
      </c>
      <c r="F72" s="93">
        <v>1010</v>
      </c>
      <c r="G72" s="93">
        <v>1</v>
      </c>
      <c r="H72" s="93">
        <f>57*0.9*G72</f>
        <v>51.300000000000004</v>
      </c>
      <c r="I72" s="90" t="s">
        <v>85</v>
      </c>
      <c r="J72" s="92" t="s">
        <v>88</v>
      </c>
      <c r="K72" s="93" t="s">
        <v>151</v>
      </c>
      <c r="L72" s="95"/>
      <c r="M72" s="127" t="s">
        <v>242</v>
      </c>
      <c r="N72" s="127" t="s">
        <v>144</v>
      </c>
      <c r="O72" s="127"/>
      <c r="P72" s="127"/>
      <c r="Q72" s="127" t="s">
        <v>273</v>
      </c>
      <c r="R72" s="127"/>
      <c r="S72" s="127"/>
      <c r="T72" s="127"/>
      <c r="U72" s="127"/>
      <c r="V72" s="70"/>
    </row>
    <row r="73" spans="1:22" customFormat="1" hidden="1">
      <c r="A73" s="14">
        <f t="shared" si="1"/>
        <v>72</v>
      </c>
      <c r="B73" s="26" t="s">
        <v>275</v>
      </c>
      <c r="C73" s="16" t="s">
        <v>213</v>
      </c>
      <c r="D73" s="67"/>
      <c r="E73" s="16" t="s">
        <v>5</v>
      </c>
      <c r="F73" s="27">
        <v>600</v>
      </c>
      <c r="G73" s="27">
        <v>2</v>
      </c>
      <c r="H73" s="27">
        <f>(37*0.8*G73)</f>
        <v>59.2</v>
      </c>
      <c r="I73" s="16" t="s">
        <v>86</v>
      </c>
      <c r="J73" s="32" t="s">
        <v>87</v>
      </c>
      <c r="K73" s="27" t="s">
        <v>151</v>
      </c>
      <c r="L73" s="68"/>
      <c r="M73" s="26" t="s">
        <v>209</v>
      </c>
      <c r="N73" s="26"/>
      <c r="O73" s="26"/>
      <c r="P73" s="26"/>
      <c r="Q73" s="26"/>
      <c r="R73" s="26"/>
      <c r="S73" s="26"/>
      <c r="T73" s="26" t="s">
        <v>275</v>
      </c>
      <c r="U73" s="26" t="s">
        <v>276</v>
      </c>
      <c r="V73" s="69"/>
    </row>
    <row r="74" spans="1:22">
      <c r="A74" s="88">
        <f t="shared" si="1"/>
        <v>73</v>
      </c>
      <c r="B74" s="127" t="s">
        <v>277</v>
      </c>
      <c r="C74" s="90" t="s">
        <v>161</v>
      </c>
      <c r="D74" s="84" t="s">
        <v>278</v>
      </c>
      <c r="E74" s="90" t="s">
        <v>5</v>
      </c>
      <c r="F74" s="93">
        <v>750</v>
      </c>
      <c r="G74" s="93">
        <v>3</v>
      </c>
      <c r="H74" s="93">
        <f>(45.3*0.9*G74)</f>
        <v>122.30999999999999</v>
      </c>
      <c r="I74" s="90" t="s">
        <v>85</v>
      </c>
      <c r="J74" s="92" t="s">
        <v>88</v>
      </c>
      <c r="K74" s="93" t="s">
        <v>151</v>
      </c>
      <c r="L74" s="95"/>
      <c r="M74" s="127" t="s">
        <v>279</v>
      </c>
      <c r="N74" s="127" t="s">
        <v>144</v>
      </c>
      <c r="O74" s="127"/>
      <c r="P74" s="127"/>
      <c r="Q74" s="127"/>
      <c r="R74" s="127"/>
      <c r="S74" s="127"/>
      <c r="T74" s="127"/>
      <c r="U74" s="127" t="s">
        <v>280</v>
      </c>
      <c r="V74" s="70">
        <v>9731888377</v>
      </c>
    </row>
    <row r="75" spans="1:22" ht="25.5">
      <c r="A75" s="88">
        <f t="shared" si="1"/>
        <v>74</v>
      </c>
      <c r="B75" s="127" t="s">
        <v>281</v>
      </c>
      <c r="C75" s="90" t="s">
        <v>161</v>
      </c>
      <c r="D75" s="84" t="s">
        <v>282</v>
      </c>
      <c r="E75" s="90" t="s">
        <v>5</v>
      </c>
      <c r="F75" s="93">
        <v>750</v>
      </c>
      <c r="G75" s="93">
        <v>1</v>
      </c>
      <c r="H75" s="93">
        <f>(45.3*0.9*G75)</f>
        <v>40.769999999999996</v>
      </c>
      <c r="I75" s="90" t="s">
        <v>85</v>
      </c>
      <c r="J75" s="92" t="s">
        <v>88</v>
      </c>
      <c r="K75" s="93" t="s">
        <v>151</v>
      </c>
      <c r="L75" s="95"/>
      <c r="M75" s="127" t="s">
        <v>209</v>
      </c>
      <c r="N75" s="127"/>
      <c r="O75" s="127"/>
      <c r="P75" s="127"/>
      <c r="Q75" s="127"/>
      <c r="R75" s="127"/>
      <c r="S75" s="127"/>
      <c r="T75" s="127" t="s">
        <v>281</v>
      </c>
      <c r="U75" s="127" t="s">
        <v>283</v>
      </c>
      <c r="V75" s="70">
        <v>9845336517</v>
      </c>
    </row>
    <row r="76" spans="1:22">
      <c r="A76" s="88">
        <f t="shared" si="1"/>
        <v>75</v>
      </c>
      <c r="B76" s="127" t="s">
        <v>284</v>
      </c>
      <c r="C76" s="90" t="s">
        <v>161</v>
      </c>
      <c r="D76" s="84" t="s">
        <v>282</v>
      </c>
      <c r="E76" s="90" t="s">
        <v>5</v>
      </c>
      <c r="F76" s="93">
        <v>750</v>
      </c>
      <c r="G76" s="93">
        <v>2</v>
      </c>
      <c r="H76" s="93">
        <f>(45.3*0.9*G76)</f>
        <v>81.539999999999992</v>
      </c>
      <c r="I76" s="90" t="s">
        <v>85</v>
      </c>
      <c r="J76" s="92" t="s">
        <v>88</v>
      </c>
      <c r="K76" s="93" t="s">
        <v>151</v>
      </c>
      <c r="L76" s="95"/>
      <c r="M76" s="127" t="s">
        <v>209</v>
      </c>
      <c r="N76" s="127"/>
      <c r="O76" s="127"/>
      <c r="P76" s="127"/>
      <c r="Q76" s="127"/>
      <c r="R76" s="127"/>
      <c r="S76" s="127"/>
      <c r="T76" s="127" t="s">
        <v>284</v>
      </c>
      <c r="U76" s="127" t="s">
        <v>285</v>
      </c>
      <c r="V76" s="70">
        <v>9686691793</v>
      </c>
    </row>
    <row r="77" spans="1:22" ht="25.5">
      <c r="A77" s="88">
        <f t="shared" si="1"/>
        <v>76</v>
      </c>
      <c r="B77" s="127" t="s">
        <v>286</v>
      </c>
      <c r="C77" s="90" t="s">
        <v>161</v>
      </c>
      <c r="D77" s="84" t="s">
        <v>287</v>
      </c>
      <c r="E77" s="90" t="s">
        <v>5</v>
      </c>
      <c r="F77" s="93">
        <v>1010</v>
      </c>
      <c r="G77" s="93">
        <v>3</v>
      </c>
      <c r="H77" s="93">
        <f>57*0.9*G77</f>
        <v>153.9</v>
      </c>
      <c r="I77" s="90" t="s">
        <v>85</v>
      </c>
      <c r="J77" s="92" t="s">
        <v>88</v>
      </c>
      <c r="K77" s="93" t="s">
        <v>151</v>
      </c>
      <c r="L77" s="95"/>
      <c r="M77" s="127" t="s">
        <v>288</v>
      </c>
      <c r="N77" s="127" t="s">
        <v>289</v>
      </c>
      <c r="O77" s="127" t="s">
        <v>290</v>
      </c>
      <c r="P77" s="127">
        <v>9845215784</v>
      </c>
      <c r="Q77" s="127" t="s">
        <v>291</v>
      </c>
      <c r="R77" s="127" t="s">
        <v>292</v>
      </c>
      <c r="S77" s="127">
        <v>9739712999</v>
      </c>
      <c r="T77" s="70"/>
      <c r="U77" s="70"/>
      <c r="V77" s="70"/>
    </row>
    <row r="78" spans="1:22" customFormat="1" hidden="1">
      <c r="A78" s="14">
        <f t="shared" si="1"/>
        <v>77</v>
      </c>
      <c r="B78" s="26" t="s">
        <v>293</v>
      </c>
      <c r="C78" s="16" t="s">
        <v>161</v>
      </c>
      <c r="D78" s="67" t="s">
        <v>294</v>
      </c>
      <c r="E78" s="16" t="s">
        <v>5</v>
      </c>
      <c r="F78" s="27">
        <v>500</v>
      </c>
      <c r="G78" s="27">
        <v>2</v>
      </c>
      <c r="H78" s="27">
        <f>26*G78</f>
        <v>52</v>
      </c>
      <c r="I78" s="16" t="s">
        <v>86</v>
      </c>
      <c r="J78" s="32" t="s">
        <v>87</v>
      </c>
      <c r="K78" s="27" t="s">
        <v>151</v>
      </c>
      <c r="L78" s="68"/>
      <c r="M78" s="26" t="s">
        <v>242</v>
      </c>
      <c r="N78" s="26" t="s">
        <v>295</v>
      </c>
      <c r="O78" s="26"/>
      <c r="P78" s="26"/>
      <c r="Q78" s="26"/>
      <c r="R78" s="26"/>
      <c r="S78" s="26"/>
      <c r="T78" s="26" t="s">
        <v>293</v>
      </c>
      <c r="U78" s="26" t="s">
        <v>296</v>
      </c>
      <c r="V78" s="69">
        <v>9379378201</v>
      </c>
    </row>
    <row r="79" spans="1:22" customFormat="1" hidden="1">
      <c r="A79" s="14">
        <f t="shared" si="1"/>
        <v>78</v>
      </c>
      <c r="B79" s="26" t="s">
        <v>293</v>
      </c>
      <c r="C79" s="16" t="s">
        <v>161</v>
      </c>
      <c r="D79" s="67" t="s">
        <v>297</v>
      </c>
      <c r="E79" s="16" t="s">
        <v>5</v>
      </c>
      <c r="F79" s="27">
        <v>500</v>
      </c>
      <c r="G79" s="27">
        <v>3</v>
      </c>
      <c r="H79" s="27">
        <f>26*G79</f>
        <v>78</v>
      </c>
      <c r="I79" s="16" t="s">
        <v>86</v>
      </c>
      <c r="J79" s="32" t="s">
        <v>87</v>
      </c>
      <c r="K79" s="27" t="s">
        <v>151</v>
      </c>
      <c r="L79" s="68"/>
      <c r="M79" s="26" t="s">
        <v>242</v>
      </c>
      <c r="N79" s="26"/>
      <c r="O79" s="26"/>
      <c r="P79" s="26"/>
      <c r="Q79" s="26"/>
      <c r="R79" s="26"/>
      <c r="S79" s="26"/>
      <c r="T79" s="26" t="s">
        <v>293</v>
      </c>
      <c r="U79" s="26" t="s">
        <v>296</v>
      </c>
      <c r="V79" s="69">
        <v>9379378201</v>
      </c>
    </row>
    <row r="80" spans="1:22">
      <c r="A80" s="88">
        <f t="shared" si="1"/>
        <v>79</v>
      </c>
      <c r="B80" s="128" t="s">
        <v>298</v>
      </c>
      <c r="C80" s="90" t="s">
        <v>161</v>
      </c>
      <c r="D80" s="84" t="s">
        <v>299</v>
      </c>
      <c r="E80" s="90" t="s">
        <v>5</v>
      </c>
      <c r="F80" s="93">
        <v>1010</v>
      </c>
      <c r="G80" s="93">
        <v>6</v>
      </c>
      <c r="H80" s="93">
        <f>57*0.9*G80</f>
        <v>307.8</v>
      </c>
      <c r="I80" s="90" t="s">
        <v>85</v>
      </c>
      <c r="J80" s="92" t="s">
        <v>88</v>
      </c>
      <c r="K80" s="93" t="s">
        <v>151</v>
      </c>
      <c r="L80" s="95"/>
      <c r="M80" s="128" t="s">
        <v>240</v>
      </c>
      <c r="N80" s="70"/>
      <c r="O80" s="70"/>
      <c r="P80" s="70"/>
      <c r="Q80" s="70"/>
      <c r="R80" s="70"/>
      <c r="S80" s="70"/>
      <c r="T80" s="128" t="s">
        <v>300</v>
      </c>
      <c r="U80" s="128" t="s">
        <v>301</v>
      </c>
      <c r="V80" s="129">
        <v>9449826782</v>
      </c>
    </row>
    <row r="81" spans="1:22" ht="25.5">
      <c r="A81" s="88">
        <f t="shared" si="1"/>
        <v>80</v>
      </c>
      <c r="B81" s="128" t="s">
        <v>302</v>
      </c>
      <c r="C81" s="90" t="s">
        <v>211</v>
      </c>
      <c r="D81" s="84" t="s">
        <v>303</v>
      </c>
      <c r="E81" s="90" t="s">
        <v>5</v>
      </c>
      <c r="F81" s="93">
        <v>1010</v>
      </c>
      <c r="G81" s="93">
        <v>2</v>
      </c>
      <c r="H81" s="93">
        <f>57*0.9*G81</f>
        <v>102.60000000000001</v>
      </c>
      <c r="I81" s="90" t="s">
        <v>85</v>
      </c>
      <c r="J81" s="92" t="s">
        <v>88</v>
      </c>
      <c r="K81" s="93" t="s">
        <v>151</v>
      </c>
      <c r="L81" s="95"/>
      <c r="M81" s="127" t="s">
        <v>209</v>
      </c>
      <c r="N81" s="128" t="s">
        <v>304</v>
      </c>
      <c r="O81" s="128" t="s">
        <v>305</v>
      </c>
      <c r="P81" s="70">
        <v>9481484622</v>
      </c>
      <c r="Q81" s="70"/>
      <c r="R81" s="70"/>
      <c r="S81" s="70"/>
      <c r="T81" s="70"/>
      <c r="U81" s="70"/>
      <c r="V81" s="70"/>
    </row>
    <row r="82" spans="1:22" ht="25.5">
      <c r="A82" s="88">
        <f t="shared" si="1"/>
        <v>81</v>
      </c>
      <c r="B82" s="128" t="s">
        <v>306</v>
      </c>
      <c r="C82" s="90" t="s">
        <v>213</v>
      </c>
      <c r="D82" s="84" t="s">
        <v>307</v>
      </c>
      <c r="E82" s="90" t="s">
        <v>5</v>
      </c>
      <c r="F82" s="93">
        <v>500</v>
      </c>
      <c r="G82" s="93">
        <v>4</v>
      </c>
      <c r="H82" s="93">
        <f>26*G82</f>
        <v>104</v>
      </c>
      <c r="I82" s="90" t="s">
        <v>86</v>
      </c>
      <c r="J82" s="92" t="s">
        <v>88</v>
      </c>
      <c r="K82" s="93" t="s">
        <v>151</v>
      </c>
      <c r="L82" s="95"/>
      <c r="M82" s="128" t="s">
        <v>242</v>
      </c>
      <c r="N82" s="70"/>
      <c r="O82" s="70"/>
      <c r="P82" s="70"/>
      <c r="Q82" s="70"/>
      <c r="R82" s="70"/>
      <c r="S82" s="70"/>
      <c r="T82" s="128" t="s">
        <v>306</v>
      </c>
      <c r="U82" s="128" t="s">
        <v>308</v>
      </c>
      <c r="V82" s="70"/>
    </row>
    <row r="83" spans="1:22">
      <c r="A83" s="88">
        <f t="shared" si="1"/>
        <v>82</v>
      </c>
      <c r="B83" s="128" t="s">
        <v>309</v>
      </c>
      <c r="C83" s="90" t="s">
        <v>161</v>
      </c>
      <c r="D83" s="84" t="s">
        <v>307</v>
      </c>
      <c r="E83" s="90" t="s">
        <v>5</v>
      </c>
      <c r="F83" s="93">
        <v>200</v>
      </c>
      <c r="G83" s="93">
        <v>6</v>
      </c>
      <c r="H83" s="93">
        <f>10*G83</f>
        <v>60</v>
      </c>
      <c r="I83" s="90" t="s">
        <v>86</v>
      </c>
      <c r="J83" s="92" t="s">
        <v>88</v>
      </c>
      <c r="K83" s="93" t="s">
        <v>151</v>
      </c>
      <c r="L83" s="95"/>
      <c r="M83" s="128" t="s">
        <v>242</v>
      </c>
      <c r="N83" s="70"/>
      <c r="O83" s="70"/>
      <c r="P83" s="70"/>
      <c r="Q83" s="70"/>
      <c r="R83" s="70"/>
      <c r="S83" s="70"/>
      <c r="T83" s="128" t="s">
        <v>310</v>
      </c>
      <c r="U83" s="128" t="s">
        <v>311</v>
      </c>
      <c r="V83" s="70">
        <v>9845477348</v>
      </c>
    </row>
    <row r="84" spans="1:22" s="94" customFormat="1">
      <c r="A84" s="88">
        <f t="shared" si="1"/>
        <v>83</v>
      </c>
      <c r="B84" s="96" t="s">
        <v>312</v>
      </c>
      <c r="C84" s="90" t="s">
        <v>161</v>
      </c>
      <c r="D84" s="84"/>
      <c r="E84" s="90" t="s">
        <v>5</v>
      </c>
      <c r="F84" s="93">
        <v>2000</v>
      </c>
      <c r="G84" s="93">
        <v>5</v>
      </c>
      <c r="H84" s="93">
        <f>150*G84</f>
        <v>750</v>
      </c>
      <c r="I84" s="90" t="s">
        <v>85</v>
      </c>
      <c r="J84" s="92" t="s">
        <v>88</v>
      </c>
      <c r="K84" s="93" t="s">
        <v>150</v>
      </c>
      <c r="L84" s="95"/>
      <c r="M84" s="84" t="s">
        <v>279</v>
      </c>
      <c r="N84" s="84" t="s">
        <v>138</v>
      </c>
      <c r="O84" s="84"/>
      <c r="P84" s="84"/>
      <c r="Q84" s="84"/>
      <c r="R84" s="84"/>
      <c r="S84" s="84"/>
      <c r="T84" s="84"/>
      <c r="U84" s="84"/>
      <c r="V84" s="84"/>
    </row>
    <row r="85" spans="1:22" s="5" customFormat="1" hidden="1">
      <c r="A85" s="14">
        <f t="shared" si="1"/>
        <v>84</v>
      </c>
      <c r="B85" s="15" t="s">
        <v>313</v>
      </c>
      <c r="C85" s="16" t="s">
        <v>237</v>
      </c>
      <c r="D85" s="67"/>
      <c r="E85" s="16" t="s">
        <v>5</v>
      </c>
      <c r="F85" s="27">
        <v>1010</v>
      </c>
      <c r="G85" s="27">
        <v>3</v>
      </c>
      <c r="H85" s="27">
        <f>65*G85</f>
        <v>195</v>
      </c>
      <c r="I85" s="16" t="s">
        <v>85</v>
      </c>
      <c r="J85" s="32"/>
      <c r="K85" s="27" t="s">
        <v>150</v>
      </c>
      <c r="L85" s="68"/>
      <c r="M85" s="35" t="s">
        <v>240</v>
      </c>
      <c r="N85" s="35" t="s">
        <v>138</v>
      </c>
      <c r="O85" s="35"/>
      <c r="P85" s="35"/>
      <c r="Q85" s="35"/>
      <c r="R85" s="35"/>
      <c r="S85" s="35"/>
      <c r="T85" s="35"/>
      <c r="U85" s="35"/>
      <c r="V85" s="35"/>
    </row>
    <row r="86" spans="1:22" s="94" customFormat="1">
      <c r="A86" s="88">
        <f t="shared" si="1"/>
        <v>85</v>
      </c>
      <c r="B86" s="96" t="s">
        <v>314</v>
      </c>
      <c r="C86" s="90" t="s">
        <v>161</v>
      </c>
      <c r="D86" s="84"/>
      <c r="E86" s="90" t="s">
        <v>5</v>
      </c>
      <c r="F86" s="93">
        <v>2250</v>
      </c>
      <c r="G86" s="93">
        <v>17</v>
      </c>
      <c r="H86" s="93">
        <f>165*G86</f>
        <v>2805</v>
      </c>
      <c r="I86" s="90" t="s">
        <v>85</v>
      </c>
      <c r="J86" s="92" t="s">
        <v>88</v>
      </c>
      <c r="K86" s="93" t="s">
        <v>150</v>
      </c>
      <c r="L86" s="95"/>
      <c r="M86" s="84" t="s">
        <v>279</v>
      </c>
      <c r="N86" s="84" t="s">
        <v>315</v>
      </c>
      <c r="O86" s="84"/>
      <c r="P86" s="84"/>
      <c r="Q86" s="84"/>
      <c r="R86" s="84"/>
      <c r="S86" s="84"/>
      <c r="T86" s="84"/>
      <c r="U86" s="84"/>
      <c r="V86" s="84"/>
    </row>
    <row r="87" spans="1:22" s="94" customFormat="1">
      <c r="A87" s="88">
        <f t="shared" si="1"/>
        <v>86</v>
      </c>
      <c r="B87" s="130" t="s">
        <v>316</v>
      </c>
      <c r="C87" s="90" t="s">
        <v>161</v>
      </c>
      <c r="D87" s="84"/>
      <c r="E87" s="90"/>
      <c r="F87" s="93"/>
      <c r="G87" s="93"/>
      <c r="H87" s="93"/>
      <c r="I87" s="90" t="s">
        <v>85</v>
      </c>
      <c r="J87" s="92" t="s">
        <v>88</v>
      </c>
      <c r="K87" s="93"/>
      <c r="L87" s="95"/>
      <c r="M87" s="84" t="s">
        <v>318</v>
      </c>
      <c r="N87" s="84"/>
      <c r="O87" s="84"/>
      <c r="P87" s="84"/>
      <c r="Q87" s="84"/>
      <c r="R87" s="84"/>
      <c r="S87" s="84"/>
      <c r="T87" s="84"/>
      <c r="U87" s="84"/>
      <c r="V87" s="84"/>
    </row>
    <row r="88" spans="1:22" s="94" customFormat="1">
      <c r="A88" s="88">
        <f t="shared" si="1"/>
        <v>87</v>
      </c>
      <c r="B88" s="96" t="s">
        <v>317</v>
      </c>
      <c r="C88" s="90" t="s">
        <v>161</v>
      </c>
      <c r="D88" s="84"/>
      <c r="E88" s="90" t="s">
        <v>5</v>
      </c>
      <c r="F88" s="93">
        <v>2000</v>
      </c>
      <c r="G88" s="93">
        <v>4</v>
      </c>
      <c r="H88" s="93">
        <f>150*G88</f>
        <v>600</v>
      </c>
      <c r="I88" s="90" t="s">
        <v>85</v>
      </c>
      <c r="J88" s="92" t="s">
        <v>88</v>
      </c>
      <c r="K88" s="93" t="s">
        <v>150</v>
      </c>
      <c r="L88" s="95"/>
      <c r="M88" s="84" t="s">
        <v>318</v>
      </c>
      <c r="N88" s="84" t="s">
        <v>319</v>
      </c>
      <c r="O88" s="84"/>
      <c r="P88" s="84"/>
      <c r="Q88" s="84"/>
      <c r="R88" s="84"/>
      <c r="S88" s="84"/>
      <c r="T88" s="84"/>
      <c r="U88" s="84"/>
      <c r="V88" s="84"/>
    </row>
    <row r="89" spans="1:22" s="94" customFormat="1">
      <c r="A89" s="88">
        <f t="shared" si="1"/>
        <v>88</v>
      </c>
      <c r="B89" s="130" t="s">
        <v>320</v>
      </c>
      <c r="C89" s="90" t="s">
        <v>161</v>
      </c>
      <c r="D89" s="84"/>
      <c r="E89" s="90" t="s">
        <v>6</v>
      </c>
      <c r="F89" s="93">
        <v>3000</v>
      </c>
      <c r="G89" s="93">
        <v>4</v>
      </c>
      <c r="H89" s="93"/>
      <c r="I89" s="90" t="s">
        <v>85</v>
      </c>
      <c r="J89" s="92" t="s">
        <v>88</v>
      </c>
      <c r="K89" s="93"/>
      <c r="L89" s="95"/>
      <c r="M89" s="84" t="s">
        <v>321</v>
      </c>
      <c r="N89" s="84" t="s">
        <v>322</v>
      </c>
      <c r="O89" s="84"/>
      <c r="P89" s="84"/>
      <c r="Q89" s="84"/>
      <c r="R89" s="84"/>
      <c r="S89" s="84"/>
      <c r="T89" s="84"/>
      <c r="U89" s="84"/>
      <c r="V89" s="84"/>
    </row>
    <row r="90" spans="1:22" s="5" customFormat="1" hidden="1">
      <c r="A90" s="14">
        <f t="shared" si="1"/>
        <v>89</v>
      </c>
      <c r="B90" s="15" t="s">
        <v>323</v>
      </c>
      <c r="C90" s="16" t="s">
        <v>161</v>
      </c>
      <c r="D90" s="67"/>
      <c r="E90" s="16" t="s">
        <v>4</v>
      </c>
      <c r="F90" s="27">
        <v>650</v>
      </c>
      <c r="G90" s="27">
        <v>10</v>
      </c>
      <c r="H90" s="27">
        <f>42*G90</f>
        <v>420</v>
      </c>
      <c r="I90" s="16" t="s">
        <v>86</v>
      </c>
      <c r="J90" s="32" t="s">
        <v>86</v>
      </c>
      <c r="K90" s="27"/>
      <c r="L90" s="68"/>
      <c r="M90" s="35" t="s">
        <v>326</v>
      </c>
      <c r="N90" s="35" t="s">
        <v>325</v>
      </c>
      <c r="O90" s="35"/>
      <c r="P90" s="35"/>
      <c r="Q90" s="35"/>
      <c r="R90" s="35"/>
      <c r="S90" s="35"/>
      <c r="T90" s="35"/>
      <c r="U90" s="35"/>
      <c r="V90" s="35"/>
    </row>
    <row r="91" spans="1:22" s="94" customFormat="1">
      <c r="A91" s="88">
        <f t="shared" si="1"/>
        <v>90</v>
      </c>
      <c r="B91" s="96" t="s">
        <v>328</v>
      </c>
      <c r="C91" s="90" t="s">
        <v>161</v>
      </c>
      <c r="D91" s="84"/>
      <c r="E91" s="90" t="s">
        <v>5</v>
      </c>
      <c r="F91" s="93">
        <v>1010</v>
      </c>
      <c r="G91" s="93">
        <v>1</v>
      </c>
      <c r="H91" s="93">
        <v>75</v>
      </c>
      <c r="I91" s="90" t="s">
        <v>85</v>
      </c>
      <c r="J91" s="92" t="s">
        <v>88</v>
      </c>
      <c r="K91" s="93" t="s">
        <v>152</v>
      </c>
      <c r="L91" s="95"/>
      <c r="M91" s="84" t="s">
        <v>327</v>
      </c>
      <c r="N91" s="84" t="s">
        <v>236</v>
      </c>
      <c r="O91" s="84"/>
      <c r="P91" s="84"/>
      <c r="Q91" s="84"/>
      <c r="R91" s="84"/>
      <c r="S91" s="84"/>
      <c r="T91" s="84"/>
      <c r="U91" s="84"/>
      <c r="V91" s="84"/>
    </row>
    <row r="92" spans="1:22" s="5" customFormat="1" hidden="1">
      <c r="A92" s="14">
        <f t="shared" si="1"/>
        <v>91</v>
      </c>
      <c r="B92" s="15"/>
      <c r="C92" s="16"/>
      <c r="D92" s="67"/>
      <c r="E92" s="16"/>
      <c r="F92" s="27"/>
      <c r="G92" s="27"/>
      <c r="H92" s="27"/>
      <c r="I92" s="16"/>
      <c r="J92" s="32"/>
      <c r="K92" s="27"/>
      <c r="L92" s="68"/>
      <c r="M92" s="35"/>
      <c r="N92" s="35"/>
      <c r="O92" s="35"/>
      <c r="P92" s="35"/>
      <c r="Q92" s="35"/>
      <c r="R92" s="35"/>
      <c r="S92" s="35"/>
      <c r="T92" s="35"/>
      <c r="U92" s="35"/>
      <c r="V92" s="35"/>
    </row>
    <row r="93" spans="1:22" s="5" customFormat="1" hidden="1">
      <c r="A93" s="14">
        <f t="shared" si="1"/>
        <v>92</v>
      </c>
      <c r="B93" s="15"/>
      <c r="C93" s="16"/>
      <c r="D93" s="67"/>
      <c r="E93" s="16"/>
      <c r="F93" s="27"/>
      <c r="G93" s="27"/>
      <c r="H93" s="27"/>
      <c r="I93" s="16"/>
      <c r="J93" s="32"/>
      <c r="K93" s="27"/>
      <c r="L93" s="68"/>
      <c r="M93" s="35"/>
      <c r="N93" s="35"/>
      <c r="O93" s="35"/>
      <c r="P93" s="35"/>
      <c r="Q93" s="35"/>
      <c r="R93" s="35"/>
      <c r="S93" s="35"/>
      <c r="T93" s="35"/>
      <c r="U93" s="35"/>
      <c r="V93" s="35"/>
    </row>
    <row r="94" spans="1:22" s="5" customFormat="1" hidden="1">
      <c r="A94" s="14">
        <f t="shared" si="1"/>
        <v>93</v>
      </c>
      <c r="B94" s="15"/>
      <c r="C94" s="16"/>
      <c r="D94" s="67"/>
      <c r="E94" s="16"/>
      <c r="F94" s="27"/>
      <c r="G94" s="27"/>
      <c r="H94" s="27"/>
      <c r="I94" s="16"/>
      <c r="J94" s="32"/>
      <c r="K94" s="27"/>
      <c r="L94" s="68"/>
      <c r="M94" s="35"/>
      <c r="N94" s="35"/>
      <c r="O94" s="35"/>
      <c r="P94" s="35"/>
      <c r="Q94" s="35"/>
      <c r="R94" s="35"/>
      <c r="S94" s="35"/>
      <c r="T94" s="35"/>
      <c r="U94" s="35"/>
      <c r="V94" s="35"/>
    </row>
    <row r="95" spans="1:22" s="5" customFormat="1" hidden="1">
      <c r="A95" s="14">
        <f t="shared" si="1"/>
        <v>94</v>
      </c>
      <c r="B95" s="15"/>
      <c r="C95" s="16"/>
      <c r="D95" s="67"/>
      <c r="E95" s="16"/>
      <c r="F95" s="27"/>
      <c r="G95" s="27"/>
      <c r="H95" s="27"/>
      <c r="I95" s="16"/>
      <c r="J95" s="32"/>
      <c r="K95" s="27"/>
      <c r="L95" s="68"/>
      <c r="M95" s="35"/>
      <c r="N95" s="35"/>
      <c r="O95" s="35"/>
      <c r="P95" s="35"/>
      <c r="Q95" s="35"/>
      <c r="R95" s="35"/>
      <c r="S95" s="35"/>
      <c r="T95" s="35"/>
      <c r="U95" s="35"/>
      <c r="V95" s="35"/>
    </row>
    <row r="96" spans="1:22" s="5" customFormat="1" hidden="1">
      <c r="A96" s="14">
        <f t="shared" si="1"/>
        <v>95</v>
      </c>
      <c r="B96" s="15"/>
      <c r="C96" s="16"/>
      <c r="D96" s="67"/>
      <c r="E96" s="16"/>
      <c r="F96" s="27"/>
      <c r="G96" s="27"/>
      <c r="H96" s="27"/>
      <c r="I96" s="16"/>
      <c r="J96" s="32"/>
      <c r="K96" s="27"/>
      <c r="L96" s="68"/>
      <c r="M96" s="35"/>
      <c r="N96" s="35"/>
      <c r="O96" s="35"/>
      <c r="P96" s="35"/>
      <c r="Q96" s="35"/>
      <c r="R96" s="35"/>
      <c r="S96" s="35"/>
      <c r="T96" s="35"/>
      <c r="U96" s="35"/>
      <c r="V96" s="35"/>
    </row>
    <row r="97" spans="1:22" s="5" customFormat="1" hidden="1">
      <c r="A97" s="14">
        <f t="shared" si="1"/>
        <v>96</v>
      </c>
      <c r="B97" s="15"/>
      <c r="C97" s="16"/>
      <c r="D97" s="67"/>
      <c r="E97" s="16"/>
      <c r="F97" s="27"/>
      <c r="G97" s="27"/>
      <c r="H97" s="27"/>
      <c r="I97" s="16"/>
      <c r="J97" s="32"/>
      <c r="K97" s="27"/>
      <c r="L97" s="68"/>
      <c r="M97" s="35"/>
      <c r="N97" s="35"/>
      <c r="O97" s="35"/>
      <c r="P97" s="35"/>
      <c r="Q97" s="35"/>
      <c r="R97" s="35"/>
      <c r="S97" s="35"/>
      <c r="T97" s="35"/>
      <c r="U97" s="35"/>
      <c r="V97" s="35"/>
    </row>
    <row r="98" spans="1:22" s="5" customFormat="1" hidden="1">
      <c r="A98" s="14">
        <f t="shared" si="1"/>
        <v>97</v>
      </c>
      <c r="B98" s="15"/>
      <c r="C98" s="16"/>
      <c r="D98" s="67"/>
      <c r="E98" s="16"/>
      <c r="F98" s="27"/>
      <c r="G98" s="27"/>
      <c r="H98" s="27"/>
      <c r="I98" s="16"/>
      <c r="J98" s="32"/>
      <c r="K98" s="27"/>
      <c r="L98" s="68"/>
      <c r="M98" s="35"/>
      <c r="N98" s="35"/>
      <c r="O98" s="35"/>
      <c r="P98" s="35"/>
      <c r="Q98" s="35"/>
      <c r="R98" s="35"/>
      <c r="S98" s="35"/>
      <c r="T98" s="35"/>
      <c r="U98" s="35"/>
      <c r="V98" s="35"/>
    </row>
    <row r="99" spans="1:22" s="5" customFormat="1" hidden="1">
      <c r="A99" s="14">
        <f t="shared" si="1"/>
        <v>98</v>
      </c>
      <c r="B99" s="15"/>
      <c r="C99" s="16"/>
      <c r="D99" s="67"/>
      <c r="E99" s="16"/>
      <c r="F99" s="27"/>
      <c r="G99" s="27"/>
      <c r="H99" s="27"/>
      <c r="I99" s="16"/>
      <c r="J99" s="32"/>
      <c r="K99" s="27"/>
      <c r="L99" s="68"/>
      <c r="M99" s="35"/>
      <c r="N99" s="35"/>
      <c r="O99" s="35"/>
      <c r="P99" s="35"/>
      <c r="Q99" s="35"/>
      <c r="R99" s="35"/>
      <c r="S99" s="35"/>
      <c r="T99" s="35"/>
      <c r="U99" s="35"/>
      <c r="V99" s="35"/>
    </row>
    <row r="100" spans="1:22" s="5" customFormat="1" hidden="1">
      <c r="A100" s="14">
        <f t="shared" si="1"/>
        <v>99</v>
      </c>
      <c r="B100" s="15"/>
      <c r="C100" s="16"/>
      <c r="D100" s="67"/>
      <c r="E100" s="16"/>
      <c r="F100" s="27"/>
      <c r="G100" s="27"/>
      <c r="H100" s="27"/>
      <c r="I100" s="16"/>
      <c r="J100" s="32"/>
      <c r="K100" s="27"/>
      <c r="L100" s="68"/>
      <c r="M100" s="35"/>
      <c r="N100" s="35"/>
      <c r="O100" s="35"/>
      <c r="P100" s="35"/>
      <c r="Q100" s="35"/>
      <c r="R100" s="35"/>
      <c r="S100" s="35"/>
      <c r="T100" s="35"/>
      <c r="U100" s="35"/>
      <c r="V100" s="35"/>
    </row>
    <row r="101" spans="1:22" s="5" customFormat="1" hidden="1">
      <c r="A101" s="14">
        <f t="shared" si="1"/>
        <v>100</v>
      </c>
      <c r="B101" s="15"/>
      <c r="C101" s="16"/>
      <c r="D101" s="67"/>
      <c r="E101" s="16"/>
      <c r="F101" s="27"/>
      <c r="G101" s="27"/>
      <c r="H101" s="27"/>
      <c r="I101" s="16"/>
      <c r="J101" s="32"/>
      <c r="K101" s="27"/>
      <c r="L101" s="68"/>
      <c r="M101" s="35"/>
      <c r="N101" s="35"/>
      <c r="O101" s="35"/>
      <c r="P101" s="35"/>
      <c r="Q101" s="35"/>
      <c r="R101" s="35"/>
      <c r="S101" s="35"/>
      <c r="T101" s="35"/>
      <c r="U101" s="35"/>
      <c r="V101" s="35"/>
    </row>
    <row r="102" spans="1:22" s="5" customFormat="1" hidden="1">
      <c r="A102" s="14">
        <f t="shared" si="1"/>
        <v>101</v>
      </c>
      <c r="B102" s="15"/>
      <c r="C102" s="16"/>
      <c r="D102" s="67"/>
      <c r="E102" s="16"/>
      <c r="F102" s="27"/>
      <c r="G102" s="27"/>
      <c r="H102" s="27"/>
      <c r="I102" s="16"/>
      <c r="J102" s="32"/>
      <c r="K102" s="27"/>
      <c r="L102" s="68"/>
      <c r="M102" s="35"/>
      <c r="N102" s="35"/>
      <c r="O102" s="35"/>
      <c r="P102" s="35"/>
      <c r="Q102" s="35"/>
      <c r="R102" s="35"/>
      <c r="S102" s="35"/>
      <c r="T102" s="35"/>
      <c r="U102" s="35"/>
      <c r="V102" s="35"/>
    </row>
    <row r="103" spans="1:22" s="5" customFormat="1" hidden="1">
      <c r="A103" s="14">
        <f t="shared" si="1"/>
        <v>102</v>
      </c>
      <c r="B103" s="15"/>
      <c r="C103" s="16"/>
      <c r="D103" s="67"/>
      <c r="E103" s="16"/>
      <c r="F103" s="27"/>
      <c r="G103" s="27"/>
      <c r="H103" s="27"/>
      <c r="I103" s="16"/>
      <c r="J103" s="32"/>
      <c r="K103" s="27"/>
      <c r="L103" s="68"/>
      <c r="M103" s="35"/>
      <c r="N103" s="35"/>
      <c r="O103" s="35"/>
      <c r="P103" s="35"/>
      <c r="Q103" s="35"/>
      <c r="R103" s="35"/>
      <c r="S103" s="35"/>
      <c r="T103" s="35"/>
      <c r="U103" s="35"/>
      <c r="V103" s="35"/>
    </row>
    <row r="104" spans="1:22" s="5" customFormat="1" hidden="1">
      <c r="A104" s="14">
        <f t="shared" si="1"/>
        <v>103</v>
      </c>
      <c r="B104" s="15"/>
      <c r="C104" s="16"/>
      <c r="D104" s="67"/>
      <c r="E104" s="16"/>
      <c r="F104" s="27"/>
      <c r="G104" s="27"/>
      <c r="H104" s="27"/>
      <c r="I104" s="16"/>
      <c r="J104" s="32"/>
      <c r="K104" s="27"/>
      <c r="L104" s="68"/>
      <c r="M104" s="35"/>
      <c r="N104" s="35"/>
      <c r="O104" s="35"/>
      <c r="P104" s="35"/>
      <c r="Q104" s="35"/>
      <c r="R104" s="35"/>
      <c r="S104" s="35"/>
      <c r="T104" s="35"/>
      <c r="U104" s="35"/>
      <c r="V104" s="35"/>
    </row>
    <row r="105" spans="1:22" s="5" customFormat="1" hidden="1">
      <c r="A105" s="14">
        <f t="shared" si="1"/>
        <v>104</v>
      </c>
      <c r="B105" s="15"/>
      <c r="C105" s="16"/>
      <c r="D105" s="67"/>
      <c r="E105" s="16"/>
      <c r="F105" s="27"/>
      <c r="G105" s="27"/>
      <c r="H105" s="27"/>
      <c r="I105" s="16"/>
      <c r="J105" s="32"/>
      <c r="K105" s="27"/>
      <c r="L105" s="68"/>
      <c r="M105" s="35"/>
      <c r="N105" s="35"/>
      <c r="O105" s="35"/>
      <c r="P105" s="35"/>
      <c r="Q105" s="35"/>
      <c r="R105" s="35"/>
      <c r="S105" s="35"/>
      <c r="T105" s="35"/>
      <c r="U105" s="35"/>
      <c r="V105" s="35"/>
    </row>
    <row r="106" spans="1:22" s="5" customFormat="1" hidden="1">
      <c r="A106" s="14">
        <f t="shared" si="1"/>
        <v>105</v>
      </c>
      <c r="B106" s="15"/>
      <c r="C106" s="16"/>
      <c r="D106" s="67"/>
      <c r="E106" s="16"/>
      <c r="F106" s="27"/>
      <c r="G106" s="27"/>
      <c r="H106" s="27"/>
      <c r="I106" s="16"/>
      <c r="J106" s="32"/>
      <c r="K106" s="27"/>
      <c r="L106" s="68"/>
      <c r="M106" s="35"/>
      <c r="N106" s="35"/>
      <c r="O106" s="35"/>
      <c r="P106" s="35"/>
      <c r="Q106" s="35"/>
      <c r="R106" s="35"/>
      <c r="S106" s="35"/>
      <c r="T106" s="35"/>
      <c r="U106" s="35"/>
      <c r="V106" s="35"/>
    </row>
    <row r="107" spans="1:22" s="5" customFormat="1" hidden="1">
      <c r="A107" s="14">
        <f t="shared" si="1"/>
        <v>106</v>
      </c>
      <c r="B107" s="15"/>
      <c r="C107" s="16"/>
      <c r="D107" s="67"/>
      <c r="E107" s="16"/>
      <c r="F107" s="27"/>
      <c r="G107" s="27"/>
      <c r="H107" s="27"/>
      <c r="I107" s="16"/>
      <c r="J107" s="32"/>
      <c r="K107" s="27"/>
      <c r="L107" s="68"/>
      <c r="M107" s="35"/>
      <c r="N107" s="35"/>
      <c r="O107" s="35"/>
      <c r="P107" s="35"/>
      <c r="Q107" s="35"/>
      <c r="R107" s="35"/>
      <c r="S107" s="35"/>
      <c r="T107" s="35"/>
      <c r="U107" s="35"/>
      <c r="V107" s="35"/>
    </row>
    <row r="108" spans="1:22" s="5" customFormat="1" hidden="1">
      <c r="A108" s="14">
        <f t="shared" si="1"/>
        <v>107</v>
      </c>
      <c r="B108" s="15"/>
      <c r="C108" s="10"/>
      <c r="D108" s="67"/>
      <c r="E108" s="16"/>
      <c r="F108" s="27"/>
      <c r="G108" s="27"/>
      <c r="H108" s="27"/>
      <c r="I108" s="16"/>
      <c r="J108" s="32"/>
      <c r="K108" s="27"/>
      <c r="L108" s="68"/>
      <c r="M108" s="35"/>
      <c r="N108" s="35"/>
      <c r="O108" s="35"/>
      <c r="P108" s="35"/>
      <c r="Q108" s="35"/>
      <c r="R108" s="35"/>
      <c r="S108" s="35"/>
      <c r="T108" s="35"/>
      <c r="U108" s="35"/>
      <c r="V108" s="35"/>
    </row>
    <row r="109" spans="1:22" s="5" customFormat="1" hidden="1">
      <c r="A109" s="14">
        <f t="shared" si="1"/>
        <v>108</v>
      </c>
      <c r="B109" s="15"/>
      <c r="C109" s="10"/>
      <c r="D109" s="67"/>
      <c r="E109" s="16"/>
      <c r="F109" s="27"/>
      <c r="G109" s="27"/>
      <c r="H109" s="27"/>
      <c r="I109" s="16"/>
      <c r="J109" s="32"/>
      <c r="K109" s="27"/>
      <c r="L109" s="68"/>
      <c r="M109" s="35"/>
      <c r="N109" s="35"/>
      <c r="O109" s="35"/>
      <c r="P109" s="35"/>
      <c r="Q109" s="35"/>
      <c r="R109" s="35"/>
      <c r="S109" s="35"/>
      <c r="T109" s="35"/>
      <c r="U109" s="35"/>
      <c r="V109" s="35"/>
    </row>
    <row r="110" spans="1:22" s="5" customFormat="1" hidden="1">
      <c r="A110" s="14">
        <f t="shared" si="1"/>
        <v>109</v>
      </c>
      <c r="B110" s="15"/>
      <c r="C110" s="10"/>
      <c r="D110" s="67"/>
      <c r="E110" s="16"/>
      <c r="F110" s="27"/>
      <c r="G110" s="27"/>
      <c r="H110" s="27"/>
      <c r="I110" s="16"/>
      <c r="J110" s="32"/>
      <c r="K110" s="27"/>
      <c r="L110" s="68"/>
      <c r="M110" s="35"/>
      <c r="N110" s="35"/>
      <c r="O110" s="35"/>
      <c r="P110" s="35"/>
      <c r="Q110" s="35"/>
      <c r="R110" s="35"/>
      <c r="S110" s="35"/>
      <c r="T110" s="35"/>
      <c r="U110" s="35"/>
      <c r="V110" s="35"/>
    </row>
    <row r="111" spans="1:22" s="5" customFormat="1" hidden="1">
      <c r="A111" s="14">
        <f t="shared" si="1"/>
        <v>110</v>
      </c>
      <c r="B111" s="15"/>
      <c r="C111" s="10"/>
      <c r="D111" s="67"/>
      <c r="E111" s="16"/>
      <c r="F111" s="27"/>
      <c r="G111" s="27"/>
      <c r="H111" s="27"/>
      <c r="I111" s="16"/>
      <c r="J111" s="32"/>
      <c r="K111" s="27"/>
      <c r="L111" s="68"/>
      <c r="M111" s="35"/>
      <c r="N111" s="35"/>
      <c r="O111" s="35"/>
      <c r="P111" s="35"/>
      <c r="Q111" s="35"/>
      <c r="R111" s="35"/>
      <c r="S111" s="35"/>
      <c r="T111" s="35"/>
      <c r="U111" s="35"/>
      <c r="V111" s="35"/>
    </row>
    <row r="112" spans="1:22" s="5" customFormat="1" hidden="1">
      <c r="A112" s="14">
        <f t="shared" si="1"/>
        <v>111</v>
      </c>
      <c r="B112" s="15"/>
      <c r="C112" s="10"/>
      <c r="D112" s="67"/>
      <c r="E112" s="16"/>
      <c r="F112" s="27"/>
      <c r="G112" s="27"/>
      <c r="H112" s="27"/>
      <c r="I112" s="16"/>
      <c r="J112" s="32"/>
      <c r="K112" s="27"/>
      <c r="L112" s="68"/>
      <c r="M112" s="35"/>
      <c r="N112" s="35"/>
      <c r="O112" s="35"/>
      <c r="P112" s="35"/>
      <c r="Q112" s="35"/>
      <c r="R112" s="35"/>
      <c r="S112" s="35"/>
      <c r="T112" s="35"/>
      <c r="U112" s="35"/>
      <c r="V112" s="35"/>
    </row>
    <row r="113" spans="1:22" s="5" customFormat="1" hidden="1">
      <c r="A113" s="14">
        <f t="shared" si="1"/>
        <v>112</v>
      </c>
      <c r="B113" s="15"/>
      <c r="C113" s="10"/>
      <c r="D113" s="67"/>
      <c r="E113" s="16"/>
      <c r="F113" s="27"/>
      <c r="G113" s="27"/>
      <c r="H113" s="27"/>
      <c r="I113" s="16"/>
      <c r="J113" s="32"/>
      <c r="K113" s="27"/>
      <c r="L113" s="68"/>
      <c r="M113" s="35"/>
      <c r="N113" s="35"/>
      <c r="O113" s="35"/>
      <c r="P113" s="35"/>
      <c r="Q113" s="35"/>
      <c r="R113" s="35"/>
      <c r="S113" s="35"/>
      <c r="T113" s="35"/>
      <c r="U113" s="35"/>
      <c r="V113" s="35"/>
    </row>
    <row r="114" spans="1:22" s="5" customFormat="1" hidden="1">
      <c r="A114" s="14">
        <f t="shared" si="1"/>
        <v>113</v>
      </c>
      <c r="B114" s="15"/>
      <c r="C114" s="10"/>
      <c r="D114" s="67"/>
      <c r="E114" s="16"/>
      <c r="F114" s="27"/>
      <c r="G114" s="27"/>
      <c r="H114" s="27"/>
      <c r="I114" s="16"/>
      <c r="J114" s="32"/>
      <c r="K114" s="27"/>
      <c r="L114" s="68"/>
      <c r="M114" s="35"/>
      <c r="N114" s="35"/>
      <c r="O114" s="35"/>
      <c r="P114" s="35"/>
      <c r="Q114" s="35"/>
      <c r="R114" s="35"/>
      <c r="S114" s="35"/>
      <c r="T114" s="35"/>
      <c r="U114" s="35"/>
      <c r="V114" s="35"/>
    </row>
    <row r="115" spans="1:22" s="5" customFormat="1" hidden="1">
      <c r="A115" s="14">
        <f t="shared" si="1"/>
        <v>114</v>
      </c>
      <c r="B115" s="15"/>
      <c r="C115" s="10"/>
      <c r="D115" s="67"/>
      <c r="E115" s="16"/>
      <c r="F115" s="27"/>
      <c r="G115" s="27"/>
      <c r="H115" s="27"/>
      <c r="I115" s="16"/>
      <c r="J115" s="32"/>
      <c r="K115" s="27"/>
      <c r="L115" s="68"/>
      <c r="M115" s="35"/>
      <c r="N115" s="35"/>
      <c r="O115" s="35"/>
      <c r="P115" s="35"/>
      <c r="Q115" s="35"/>
      <c r="R115" s="35"/>
      <c r="S115" s="35"/>
      <c r="T115" s="35"/>
      <c r="U115" s="35"/>
      <c r="V115" s="35"/>
    </row>
    <row r="116" spans="1:22" s="5" customFormat="1" hidden="1">
      <c r="A116" s="14">
        <f t="shared" si="1"/>
        <v>115</v>
      </c>
      <c r="B116" s="15"/>
      <c r="C116" s="10"/>
      <c r="D116" s="67"/>
      <c r="E116" s="16"/>
      <c r="F116" s="27"/>
      <c r="G116" s="27"/>
      <c r="H116" s="27"/>
      <c r="I116" s="16"/>
      <c r="J116" s="32"/>
      <c r="K116" s="27"/>
      <c r="L116" s="68"/>
      <c r="M116" s="35"/>
      <c r="N116" s="35"/>
      <c r="O116" s="35"/>
      <c r="P116" s="35"/>
      <c r="Q116" s="35"/>
      <c r="R116" s="35"/>
      <c r="S116" s="35"/>
      <c r="T116" s="35"/>
      <c r="U116" s="35"/>
      <c r="V116" s="35"/>
    </row>
    <row r="117" spans="1:22" s="5" customFormat="1" hidden="1">
      <c r="A117" s="14">
        <f t="shared" si="1"/>
        <v>116</v>
      </c>
      <c r="B117" s="15"/>
      <c r="C117" s="10"/>
      <c r="D117" s="67"/>
      <c r="E117" s="16"/>
      <c r="F117" s="27"/>
      <c r="G117" s="27"/>
      <c r="H117" s="27"/>
      <c r="I117" s="16"/>
      <c r="J117" s="32"/>
      <c r="K117" s="27"/>
      <c r="L117" s="68"/>
      <c r="M117" s="35"/>
      <c r="N117" s="35"/>
      <c r="O117" s="35"/>
      <c r="P117" s="35"/>
      <c r="Q117" s="35"/>
      <c r="R117" s="35"/>
      <c r="S117" s="35"/>
      <c r="T117" s="35"/>
      <c r="U117" s="35"/>
      <c r="V117" s="35"/>
    </row>
    <row r="118" spans="1:22" s="5" customFormat="1" hidden="1">
      <c r="A118" s="14">
        <f t="shared" si="1"/>
        <v>117</v>
      </c>
      <c r="B118" s="15"/>
      <c r="C118" s="10"/>
      <c r="D118" s="67"/>
      <c r="E118" s="16"/>
      <c r="F118" s="27"/>
      <c r="G118" s="27"/>
      <c r="H118" s="27"/>
      <c r="I118" s="16"/>
      <c r="J118" s="32"/>
      <c r="K118" s="27"/>
      <c r="L118" s="68"/>
      <c r="M118" s="35"/>
      <c r="N118" s="35"/>
      <c r="O118" s="35"/>
      <c r="P118" s="35"/>
      <c r="Q118" s="35"/>
      <c r="R118" s="35"/>
      <c r="S118" s="35"/>
      <c r="T118" s="35"/>
      <c r="U118" s="35"/>
      <c r="V118" s="35"/>
    </row>
    <row r="119" spans="1:22" s="5" customFormat="1" hidden="1">
      <c r="A119" s="14">
        <f t="shared" si="1"/>
        <v>118</v>
      </c>
      <c r="B119" s="15"/>
      <c r="C119" s="10"/>
      <c r="D119" s="67"/>
      <c r="E119" s="16"/>
      <c r="F119" s="27"/>
      <c r="G119" s="27"/>
      <c r="H119" s="27"/>
      <c r="I119" s="16"/>
      <c r="J119" s="32"/>
      <c r="K119" s="27"/>
      <c r="L119" s="68"/>
      <c r="M119" s="35"/>
      <c r="N119" s="35"/>
      <c r="O119" s="35"/>
      <c r="P119" s="35"/>
      <c r="Q119" s="35"/>
      <c r="R119" s="35"/>
      <c r="S119" s="35"/>
      <c r="T119" s="35"/>
      <c r="U119" s="35"/>
      <c r="V119" s="35"/>
    </row>
    <row r="120" spans="1:22" s="5" customFormat="1" hidden="1">
      <c r="A120" s="14">
        <f t="shared" si="1"/>
        <v>119</v>
      </c>
      <c r="B120" s="15"/>
      <c r="C120" s="10"/>
      <c r="D120" s="67"/>
      <c r="E120" s="16"/>
      <c r="F120" s="27"/>
      <c r="G120" s="27"/>
      <c r="H120" s="27"/>
      <c r="I120" s="16"/>
      <c r="J120" s="32"/>
      <c r="K120" s="27"/>
      <c r="L120" s="68"/>
      <c r="M120" s="35"/>
      <c r="N120" s="35"/>
      <c r="O120" s="35"/>
      <c r="P120" s="35"/>
      <c r="Q120" s="35"/>
      <c r="R120" s="35"/>
      <c r="S120" s="35"/>
      <c r="T120" s="35"/>
      <c r="U120" s="35"/>
      <c r="V120" s="35"/>
    </row>
    <row r="121" spans="1:22" s="5" customFormat="1" hidden="1">
      <c r="A121" s="14">
        <f t="shared" si="1"/>
        <v>120</v>
      </c>
      <c r="B121" s="15"/>
      <c r="C121" s="10"/>
      <c r="D121" s="67"/>
      <c r="E121" s="16"/>
      <c r="F121" s="27"/>
      <c r="G121" s="27"/>
      <c r="H121" s="27"/>
      <c r="I121" s="16"/>
      <c r="J121" s="32"/>
      <c r="K121" s="27"/>
      <c r="L121" s="68"/>
      <c r="M121" s="35"/>
      <c r="N121" s="35"/>
      <c r="O121" s="35"/>
      <c r="P121" s="35"/>
      <c r="Q121" s="35"/>
      <c r="R121" s="35"/>
      <c r="S121" s="35"/>
      <c r="T121" s="35"/>
      <c r="U121" s="35"/>
      <c r="V121" s="35"/>
    </row>
    <row r="122" spans="1:22" s="5" customFormat="1" hidden="1">
      <c r="A122" s="14">
        <f t="shared" si="1"/>
        <v>121</v>
      </c>
      <c r="B122" s="15"/>
      <c r="C122" s="10"/>
      <c r="D122" s="67"/>
      <c r="E122" s="16"/>
      <c r="F122" s="27"/>
      <c r="G122" s="27"/>
      <c r="H122" s="27"/>
      <c r="I122" s="16"/>
      <c r="J122" s="32"/>
      <c r="K122" s="27"/>
      <c r="L122" s="68"/>
      <c r="M122" s="35"/>
      <c r="N122" s="35"/>
      <c r="O122" s="35"/>
      <c r="P122" s="35"/>
      <c r="Q122" s="35"/>
      <c r="R122" s="35"/>
      <c r="S122" s="35"/>
      <c r="T122" s="35"/>
      <c r="U122" s="35"/>
      <c r="V122" s="35"/>
    </row>
    <row r="123" spans="1:22" s="5" customFormat="1" hidden="1">
      <c r="A123" s="14">
        <f t="shared" si="1"/>
        <v>122</v>
      </c>
      <c r="B123" s="15"/>
      <c r="C123" s="10"/>
      <c r="D123" s="15"/>
      <c r="E123" s="16"/>
      <c r="F123" s="16"/>
      <c r="G123" s="16"/>
      <c r="H123" s="17"/>
      <c r="I123" s="10"/>
      <c r="J123" s="10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</row>
    <row r="124" spans="1:22" s="5" customFormat="1" hidden="1">
      <c r="A124" s="14">
        <f t="shared" si="1"/>
        <v>123</v>
      </c>
      <c r="B124" s="15"/>
      <c r="C124" s="10"/>
      <c r="D124" s="15"/>
      <c r="E124" s="16"/>
      <c r="F124" s="16"/>
      <c r="G124" s="16"/>
      <c r="H124" s="17"/>
      <c r="I124" s="10"/>
      <c r="J124" s="10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</row>
    <row r="125" spans="1:22" s="5" customFormat="1" hidden="1">
      <c r="A125" s="14">
        <f t="shared" si="1"/>
        <v>124</v>
      </c>
      <c r="B125" s="15"/>
      <c r="C125" s="10"/>
      <c r="D125" s="15"/>
      <c r="E125" s="16"/>
      <c r="F125" s="16"/>
      <c r="G125" s="16"/>
      <c r="H125" s="17"/>
      <c r="I125" s="10"/>
      <c r="J125" s="10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</row>
    <row r="126" spans="1:22" s="5" customFormat="1" hidden="1">
      <c r="A126" s="14">
        <f t="shared" si="1"/>
        <v>125</v>
      </c>
      <c r="B126" s="15"/>
      <c r="C126" s="10"/>
      <c r="D126" s="15"/>
      <c r="E126" s="16"/>
      <c r="F126" s="16"/>
      <c r="G126" s="16"/>
      <c r="H126" s="17"/>
      <c r="I126" s="10"/>
      <c r="J126" s="10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</row>
    <row r="127" spans="1:22" s="5" customFormat="1" hidden="1">
      <c r="A127" s="14">
        <f t="shared" si="1"/>
        <v>126</v>
      </c>
      <c r="B127" s="15"/>
      <c r="C127" s="10"/>
      <c r="D127" s="15"/>
      <c r="E127" s="16"/>
      <c r="F127" s="16"/>
      <c r="G127" s="16"/>
      <c r="H127" s="17"/>
      <c r="I127" s="10"/>
      <c r="J127" s="10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</row>
    <row r="128" spans="1:22" s="5" customFormat="1" hidden="1">
      <c r="A128" s="14">
        <f t="shared" si="1"/>
        <v>127</v>
      </c>
      <c r="B128" s="15"/>
      <c r="C128" s="10"/>
      <c r="D128" s="15"/>
      <c r="E128" s="16"/>
      <c r="F128" s="16"/>
      <c r="G128" s="16"/>
      <c r="H128" s="17"/>
      <c r="I128" s="10"/>
      <c r="J128" s="10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</row>
    <row r="129" spans="1:22" s="5" customFormat="1" hidden="1">
      <c r="A129" s="14">
        <f t="shared" si="1"/>
        <v>128</v>
      </c>
      <c r="B129" s="15"/>
      <c r="C129" s="10"/>
      <c r="D129" s="15"/>
      <c r="E129" s="16"/>
      <c r="F129" s="16"/>
      <c r="G129" s="16"/>
      <c r="H129" s="17"/>
      <c r="I129" s="10"/>
      <c r="J129" s="10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</row>
    <row r="130" spans="1:22" s="5" customFormat="1" hidden="1">
      <c r="A130" s="14">
        <f t="shared" si="1"/>
        <v>129</v>
      </c>
      <c r="B130" s="15"/>
      <c r="C130" s="10"/>
      <c r="D130" s="15"/>
      <c r="E130" s="16"/>
      <c r="F130" s="16"/>
      <c r="G130" s="16"/>
      <c r="H130" s="17"/>
      <c r="I130" s="10"/>
      <c r="J130" s="10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</row>
    <row r="131" spans="1:22" s="5" customFormat="1" hidden="1">
      <c r="A131" s="14">
        <f t="shared" si="1"/>
        <v>130</v>
      </c>
      <c r="B131" s="15"/>
      <c r="C131" s="10"/>
      <c r="D131" s="15"/>
      <c r="E131" s="16"/>
      <c r="F131" s="16"/>
      <c r="G131" s="16"/>
      <c r="H131" s="17"/>
      <c r="I131" s="10"/>
      <c r="J131" s="10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</row>
    <row r="132" spans="1:22" s="5" customFormat="1" hidden="1">
      <c r="A132" s="14">
        <f t="shared" si="1"/>
        <v>131</v>
      </c>
      <c r="B132" s="15"/>
      <c r="C132" s="10"/>
      <c r="D132" s="15"/>
      <c r="E132" s="16"/>
      <c r="F132" s="16"/>
      <c r="G132" s="16"/>
      <c r="H132" s="17"/>
      <c r="I132" s="10"/>
      <c r="J132" s="10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</row>
    <row r="133" spans="1:22" s="5" customFormat="1" hidden="1">
      <c r="A133" s="14">
        <f t="shared" ref="A133:A196" si="2">+A132+1</f>
        <v>132</v>
      </c>
      <c r="B133" s="15"/>
      <c r="C133" s="10"/>
      <c r="D133" s="15"/>
      <c r="E133" s="16"/>
      <c r="F133" s="16"/>
      <c r="G133" s="16"/>
      <c r="H133" s="17"/>
      <c r="I133" s="10"/>
      <c r="J133" s="10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</row>
    <row r="134" spans="1:22" s="5" customFormat="1" hidden="1">
      <c r="A134" s="14">
        <f t="shared" si="2"/>
        <v>133</v>
      </c>
      <c r="B134" s="15"/>
      <c r="C134" s="10"/>
      <c r="D134" s="15"/>
      <c r="E134" s="16"/>
      <c r="F134" s="16"/>
      <c r="G134" s="16"/>
      <c r="H134" s="17"/>
      <c r="I134" s="10"/>
      <c r="J134" s="10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</row>
    <row r="135" spans="1:22" s="5" customFormat="1" hidden="1">
      <c r="A135" s="14">
        <f t="shared" si="2"/>
        <v>134</v>
      </c>
      <c r="B135" s="15"/>
      <c r="C135" s="10"/>
      <c r="D135" s="15"/>
      <c r="E135" s="16"/>
      <c r="F135" s="16"/>
      <c r="G135" s="16"/>
      <c r="H135" s="17"/>
      <c r="I135" s="10"/>
      <c r="J135" s="10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</row>
    <row r="136" spans="1:22" s="5" customFormat="1" hidden="1">
      <c r="A136" s="14">
        <f t="shared" si="2"/>
        <v>135</v>
      </c>
      <c r="B136" s="15"/>
      <c r="C136" s="10"/>
      <c r="D136" s="15"/>
      <c r="E136" s="16"/>
      <c r="F136" s="16"/>
      <c r="G136" s="16"/>
      <c r="H136" s="17"/>
      <c r="I136" s="10"/>
      <c r="J136" s="10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</row>
    <row r="137" spans="1:22" s="5" customFormat="1" hidden="1">
      <c r="A137" s="14">
        <f t="shared" si="2"/>
        <v>136</v>
      </c>
      <c r="B137" s="15"/>
      <c r="C137" s="10"/>
      <c r="D137" s="15"/>
      <c r="E137" s="16"/>
      <c r="F137" s="16"/>
      <c r="G137" s="16"/>
      <c r="H137" s="17"/>
      <c r="I137" s="10"/>
      <c r="J137" s="10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</row>
    <row r="138" spans="1:22" s="5" customFormat="1" hidden="1">
      <c r="A138" s="14">
        <f t="shared" si="2"/>
        <v>137</v>
      </c>
      <c r="B138" s="15"/>
      <c r="C138" s="10"/>
      <c r="D138" s="15"/>
      <c r="E138" s="16"/>
      <c r="F138" s="16"/>
      <c r="G138" s="16"/>
      <c r="H138" s="17"/>
      <c r="I138" s="10"/>
      <c r="J138" s="10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</row>
    <row r="139" spans="1:22" s="5" customFormat="1" hidden="1">
      <c r="A139" s="14">
        <f t="shared" si="2"/>
        <v>138</v>
      </c>
      <c r="B139" s="15"/>
      <c r="C139" s="10"/>
      <c r="D139" s="15"/>
      <c r="E139" s="16"/>
      <c r="F139" s="16"/>
      <c r="G139" s="16"/>
      <c r="H139" s="17"/>
      <c r="I139" s="10"/>
      <c r="J139" s="10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</row>
    <row r="140" spans="1:22" s="5" customFormat="1" hidden="1">
      <c r="A140" s="14">
        <f t="shared" si="2"/>
        <v>139</v>
      </c>
      <c r="B140" s="15"/>
      <c r="C140" s="10"/>
      <c r="D140" s="15"/>
      <c r="E140" s="16"/>
      <c r="F140" s="16"/>
      <c r="G140" s="16"/>
      <c r="H140" s="17"/>
      <c r="I140" s="10"/>
      <c r="J140" s="10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</row>
    <row r="141" spans="1:22" s="5" customFormat="1" hidden="1">
      <c r="A141" s="14">
        <f t="shared" si="2"/>
        <v>140</v>
      </c>
      <c r="B141" s="15"/>
      <c r="C141" s="10"/>
      <c r="D141" s="15"/>
      <c r="E141" s="16"/>
      <c r="F141" s="16"/>
      <c r="G141" s="16"/>
      <c r="H141" s="17"/>
      <c r="I141" s="10"/>
      <c r="J141" s="10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</row>
    <row r="142" spans="1:22" s="5" customFormat="1" hidden="1">
      <c r="A142" s="14">
        <f t="shared" si="2"/>
        <v>141</v>
      </c>
      <c r="B142" s="15"/>
      <c r="C142" s="10"/>
      <c r="D142" s="15"/>
      <c r="E142" s="16"/>
      <c r="F142" s="16"/>
      <c r="G142" s="16"/>
      <c r="H142" s="17"/>
      <c r="I142" s="10"/>
      <c r="J142" s="10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</row>
    <row r="143" spans="1:22" s="5" customFormat="1" hidden="1">
      <c r="A143" s="14">
        <f t="shared" si="2"/>
        <v>142</v>
      </c>
      <c r="B143" s="15"/>
      <c r="C143" s="10"/>
      <c r="D143" s="15"/>
      <c r="E143" s="16"/>
      <c r="F143" s="16"/>
      <c r="G143" s="16"/>
      <c r="H143" s="17"/>
      <c r="I143" s="10"/>
      <c r="J143" s="10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</row>
    <row r="144" spans="1:22" s="5" customFormat="1" hidden="1">
      <c r="A144" s="14">
        <f t="shared" si="2"/>
        <v>143</v>
      </c>
      <c r="B144" s="15"/>
      <c r="C144" s="10"/>
      <c r="D144" s="15"/>
      <c r="E144" s="16"/>
      <c r="F144" s="16"/>
      <c r="G144" s="16"/>
      <c r="H144" s="17"/>
      <c r="I144" s="10"/>
      <c r="J144" s="10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</row>
    <row r="145" spans="1:22" s="5" customFormat="1" hidden="1">
      <c r="A145" s="14">
        <f t="shared" si="2"/>
        <v>144</v>
      </c>
      <c r="B145" s="15"/>
      <c r="C145" s="10"/>
      <c r="D145" s="15"/>
      <c r="E145" s="16"/>
      <c r="F145" s="16"/>
      <c r="G145" s="16"/>
      <c r="H145" s="17"/>
      <c r="I145" s="10"/>
      <c r="J145" s="10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</row>
    <row r="146" spans="1:22" s="5" customFormat="1" hidden="1">
      <c r="A146" s="14">
        <f t="shared" si="2"/>
        <v>145</v>
      </c>
      <c r="B146" s="15"/>
      <c r="C146" s="10"/>
      <c r="D146" s="15"/>
      <c r="E146" s="16"/>
      <c r="F146" s="16"/>
      <c r="G146" s="16"/>
      <c r="H146" s="17"/>
      <c r="I146" s="10"/>
      <c r="J146" s="10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</row>
    <row r="147" spans="1:22" s="5" customFormat="1" hidden="1">
      <c r="A147" s="14">
        <f t="shared" si="2"/>
        <v>146</v>
      </c>
      <c r="B147" s="15"/>
      <c r="C147" s="10"/>
      <c r="D147" s="15"/>
      <c r="E147" s="16"/>
      <c r="F147" s="16"/>
      <c r="G147" s="16"/>
      <c r="H147" s="17"/>
      <c r="I147" s="10"/>
      <c r="J147" s="10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</row>
    <row r="148" spans="1:22" s="5" customFormat="1" hidden="1">
      <c r="A148" s="14">
        <f t="shared" si="2"/>
        <v>147</v>
      </c>
      <c r="B148" s="15"/>
      <c r="C148" s="10"/>
      <c r="D148" s="15"/>
      <c r="E148" s="16"/>
      <c r="F148" s="16"/>
      <c r="G148" s="16"/>
      <c r="H148" s="17"/>
      <c r="I148" s="10"/>
      <c r="J148" s="10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</row>
    <row r="149" spans="1:22" s="5" customFormat="1" hidden="1">
      <c r="A149" s="14">
        <f t="shared" si="2"/>
        <v>148</v>
      </c>
      <c r="B149" s="15"/>
      <c r="C149" s="10"/>
      <c r="D149" s="15"/>
      <c r="E149" s="16"/>
      <c r="F149" s="16"/>
      <c r="G149" s="16"/>
      <c r="H149" s="17"/>
      <c r="I149" s="10"/>
      <c r="J149" s="10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</row>
    <row r="150" spans="1:22" s="5" customFormat="1" hidden="1">
      <c r="A150" s="14">
        <f t="shared" si="2"/>
        <v>149</v>
      </c>
      <c r="B150" s="15"/>
      <c r="C150" s="10"/>
      <c r="D150" s="15"/>
      <c r="E150" s="16"/>
      <c r="F150" s="16"/>
      <c r="G150" s="16"/>
      <c r="H150" s="17"/>
      <c r="I150" s="10"/>
      <c r="J150" s="10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</row>
    <row r="151" spans="1:22" s="5" customFormat="1" hidden="1">
      <c r="A151" s="14">
        <f t="shared" si="2"/>
        <v>150</v>
      </c>
      <c r="B151" s="15"/>
      <c r="C151" s="10"/>
      <c r="D151" s="15"/>
      <c r="E151" s="16"/>
      <c r="F151" s="16"/>
      <c r="G151" s="16"/>
      <c r="H151" s="17"/>
      <c r="I151" s="10"/>
      <c r="J151" s="10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</row>
    <row r="152" spans="1:22" s="5" customFormat="1" hidden="1">
      <c r="A152" s="14">
        <f t="shared" si="2"/>
        <v>151</v>
      </c>
      <c r="B152" s="15"/>
      <c r="C152" s="10"/>
      <c r="D152" s="15"/>
      <c r="E152" s="16"/>
      <c r="F152" s="16"/>
      <c r="G152" s="16"/>
      <c r="H152" s="17"/>
      <c r="I152" s="10"/>
      <c r="J152" s="10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</row>
    <row r="153" spans="1:22" s="5" customFormat="1" hidden="1">
      <c r="A153" s="14">
        <f t="shared" si="2"/>
        <v>152</v>
      </c>
      <c r="B153" s="15"/>
      <c r="C153" s="10"/>
      <c r="D153" s="15"/>
      <c r="E153" s="16"/>
      <c r="F153" s="16"/>
      <c r="G153" s="16"/>
      <c r="H153" s="17"/>
      <c r="I153" s="10"/>
      <c r="J153" s="10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</row>
    <row r="154" spans="1:22" s="5" customFormat="1" hidden="1">
      <c r="A154" s="14">
        <f t="shared" si="2"/>
        <v>153</v>
      </c>
      <c r="B154" s="15"/>
      <c r="C154" s="10"/>
      <c r="D154" s="15"/>
      <c r="E154" s="16"/>
      <c r="F154" s="16"/>
      <c r="G154" s="16"/>
      <c r="H154" s="17"/>
      <c r="I154" s="10"/>
      <c r="J154" s="10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</row>
    <row r="155" spans="1:22" s="5" customFormat="1" hidden="1">
      <c r="A155" s="14">
        <f t="shared" si="2"/>
        <v>154</v>
      </c>
      <c r="B155" s="15"/>
      <c r="C155" s="10"/>
      <c r="D155" s="15"/>
      <c r="E155" s="16"/>
      <c r="F155" s="16"/>
      <c r="G155" s="16"/>
      <c r="H155" s="17"/>
      <c r="I155" s="10"/>
      <c r="J155" s="10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</row>
    <row r="156" spans="1:22" s="5" customFormat="1" hidden="1">
      <c r="A156" s="14">
        <f t="shared" si="2"/>
        <v>155</v>
      </c>
      <c r="B156" s="15"/>
      <c r="C156" s="10"/>
      <c r="D156" s="15"/>
      <c r="E156" s="16"/>
      <c r="F156" s="16"/>
      <c r="G156" s="16"/>
      <c r="H156" s="17"/>
      <c r="I156" s="10"/>
      <c r="J156" s="10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</row>
    <row r="157" spans="1:22" s="5" customFormat="1" hidden="1">
      <c r="A157" s="14">
        <f t="shared" si="2"/>
        <v>156</v>
      </c>
      <c r="B157" s="15"/>
      <c r="C157" s="10"/>
      <c r="D157" s="15"/>
      <c r="E157" s="16"/>
      <c r="F157" s="16"/>
      <c r="G157" s="16"/>
      <c r="H157" s="17"/>
      <c r="I157" s="10"/>
      <c r="J157" s="10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</row>
    <row r="158" spans="1:22" s="5" customFormat="1" hidden="1">
      <c r="A158" s="14">
        <f t="shared" si="2"/>
        <v>157</v>
      </c>
      <c r="B158" s="15"/>
      <c r="C158" s="10"/>
      <c r="D158" s="15"/>
      <c r="E158" s="16"/>
      <c r="F158" s="16"/>
      <c r="G158" s="16"/>
      <c r="H158" s="17"/>
      <c r="I158" s="10"/>
      <c r="J158" s="10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</row>
    <row r="159" spans="1:22" s="5" customFormat="1" hidden="1">
      <c r="A159" s="14">
        <f t="shared" si="2"/>
        <v>158</v>
      </c>
      <c r="B159" s="15"/>
      <c r="C159" s="10"/>
      <c r="D159" s="15"/>
      <c r="E159" s="16"/>
      <c r="F159" s="16"/>
      <c r="G159" s="16"/>
      <c r="H159" s="17"/>
      <c r="I159" s="10"/>
      <c r="J159" s="10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</row>
    <row r="160" spans="1:22" s="5" customFormat="1" hidden="1">
      <c r="A160" s="14">
        <f t="shared" si="2"/>
        <v>159</v>
      </c>
      <c r="B160" s="15"/>
      <c r="C160" s="10"/>
      <c r="D160" s="15"/>
      <c r="E160" s="16"/>
      <c r="F160" s="16"/>
      <c r="G160" s="16"/>
      <c r="H160" s="17"/>
      <c r="I160" s="10"/>
      <c r="J160" s="10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</row>
    <row r="161" spans="1:22" s="5" customFormat="1" hidden="1">
      <c r="A161" s="14">
        <f t="shared" si="2"/>
        <v>160</v>
      </c>
      <c r="B161" s="15"/>
      <c r="C161" s="10"/>
      <c r="D161" s="15"/>
      <c r="E161" s="16"/>
      <c r="F161" s="16"/>
      <c r="G161" s="16"/>
      <c r="H161" s="17"/>
      <c r="I161" s="10"/>
      <c r="J161" s="10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</row>
    <row r="162" spans="1:22" s="5" customFormat="1" hidden="1">
      <c r="A162" s="14">
        <f t="shared" si="2"/>
        <v>161</v>
      </c>
      <c r="B162" s="15"/>
      <c r="C162" s="10"/>
      <c r="D162" s="15"/>
      <c r="E162" s="16"/>
      <c r="F162" s="16"/>
      <c r="G162" s="16"/>
      <c r="H162" s="17"/>
      <c r="I162" s="10"/>
      <c r="J162" s="10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</row>
    <row r="163" spans="1:22" s="5" customFormat="1" hidden="1">
      <c r="A163" s="14">
        <f t="shared" si="2"/>
        <v>162</v>
      </c>
      <c r="B163" s="15"/>
      <c r="C163" s="10"/>
      <c r="D163" s="15"/>
      <c r="E163" s="16"/>
      <c r="F163" s="16"/>
      <c r="G163" s="16"/>
      <c r="H163" s="17"/>
      <c r="I163" s="10"/>
      <c r="J163" s="10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</row>
    <row r="164" spans="1:22" s="5" customFormat="1" hidden="1">
      <c r="A164" s="14">
        <f t="shared" si="2"/>
        <v>163</v>
      </c>
      <c r="B164" s="15"/>
      <c r="C164" s="10"/>
      <c r="D164" s="15"/>
      <c r="E164" s="16"/>
      <c r="F164" s="16"/>
      <c r="G164" s="16"/>
      <c r="H164" s="17"/>
      <c r="I164" s="10"/>
      <c r="J164" s="10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</row>
    <row r="165" spans="1:22" s="5" customFormat="1" hidden="1">
      <c r="A165" s="14">
        <f t="shared" si="2"/>
        <v>164</v>
      </c>
      <c r="B165" s="15"/>
      <c r="C165" s="10"/>
      <c r="D165" s="15"/>
      <c r="E165" s="16"/>
      <c r="F165" s="16"/>
      <c r="G165" s="16"/>
      <c r="H165" s="17"/>
      <c r="I165" s="10"/>
      <c r="J165" s="10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</row>
    <row r="166" spans="1:22" s="5" customFormat="1" hidden="1">
      <c r="A166" s="14">
        <f t="shared" si="2"/>
        <v>165</v>
      </c>
      <c r="B166" s="15"/>
      <c r="C166" s="10"/>
      <c r="D166" s="15"/>
      <c r="E166" s="16"/>
      <c r="F166" s="16"/>
      <c r="G166" s="16"/>
      <c r="H166" s="17"/>
      <c r="I166" s="10"/>
      <c r="J166" s="10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</row>
    <row r="167" spans="1:22" s="5" customFormat="1" hidden="1">
      <c r="A167" s="14">
        <f t="shared" si="2"/>
        <v>166</v>
      </c>
      <c r="B167" s="15"/>
      <c r="C167" s="10"/>
      <c r="D167" s="15"/>
      <c r="E167" s="16"/>
      <c r="F167" s="16"/>
      <c r="G167" s="16"/>
      <c r="H167" s="17"/>
      <c r="I167" s="10"/>
      <c r="J167" s="10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</row>
    <row r="168" spans="1:22" s="5" customFormat="1" hidden="1">
      <c r="A168" s="14">
        <f t="shared" si="2"/>
        <v>167</v>
      </c>
      <c r="B168" s="15"/>
      <c r="C168" s="10"/>
      <c r="D168" s="15"/>
      <c r="E168" s="16"/>
      <c r="F168" s="16"/>
      <c r="G168" s="16"/>
      <c r="H168" s="17"/>
      <c r="I168" s="10"/>
      <c r="J168" s="10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</row>
    <row r="169" spans="1:22" s="5" customFormat="1" hidden="1">
      <c r="A169" s="14">
        <f t="shared" si="2"/>
        <v>168</v>
      </c>
      <c r="B169" s="15"/>
      <c r="C169" s="10"/>
      <c r="D169" s="15"/>
      <c r="E169" s="16"/>
      <c r="F169" s="16"/>
      <c r="G169" s="16"/>
      <c r="H169" s="17"/>
      <c r="I169" s="10"/>
      <c r="J169" s="10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</row>
    <row r="170" spans="1:22" s="5" customFormat="1" hidden="1">
      <c r="A170" s="14">
        <f t="shared" si="2"/>
        <v>169</v>
      </c>
      <c r="B170" s="15"/>
      <c r="C170" s="10"/>
      <c r="D170" s="15"/>
      <c r="E170" s="16"/>
      <c r="F170" s="16"/>
      <c r="G170" s="16"/>
      <c r="H170" s="17"/>
      <c r="I170" s="10"/>
      <c r="J170" s="10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</row>
    <row r="171" spans="1:22" s="5" customFormat="1" hidden="1">
      <c r="A171" s="14">
        <f t="shared" si="2"/>
        <v>170</v>
      </c>
      <c r="B171" s="15"/>
      <c r="C171" s="10"/>
      <c r="D171" s="15"/>
      <c r="E171" s="16"/>
      <c r="F171" s="16"/>
      <c r="G171" s="16"/>
      <c r="H171" s="17"/>
      <c r="I171" s="10"/>
      <c r="J171" s="10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</row>
    <row r="172" spans="1:22" s="5" customFormat="1" hidden="1">
      <c r="A172" s="14">
        <f t="shared" si="2"/>
        <v>171</v>
      </c>
      <c r="B172" s="15"/>
      <c r="C172" s="10"/>
      <c r="D172" s="15"/>
      <c r="E172" s="16"/>
      <c r="F172" s="16"/>
      <c r="G172" s="16"/>
      <c r="H172" s="17"/>
      <c r="I172" s="10"/>
      <c r="J172" s="10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</row>
    <row r="173" spans="1:22" s="5" customFormat="1" hidden="1">
      <c r="A173" s="14">
        <f t="shared" si="2"/>
        <v>172</v>
      </c>
      <c r="B173" s="15"/>
      <c r="C173" s="10"/>
      <c r="D173" s="15"/>
      <c r="E173" s="16"/>
      <c r="F173" s="16"/>
      <c r="G173" s="16"/>
      <c r="H173" s="17"/>
      <c r="I173" s="10"/>
      <c r="J173" s="10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</row>
    <row r="174" spans="1:22" s="5" customFormat="1" hidden="1">
      <c r="A174" s="14">
        <f t="shared" si="2"/>
        <v>173</v>
      </c>
      <c r="B174" s="15"/>
      <c r="C174" s="10"/>
      <c r="D174" s="15"/>
      <c r="E174" s="16"/>
      <c r="F174" s="16"/>
      <c r="G174" s="16"/>
      <c r="H174" s="17"/>
      <c r="I174" s="10"/>
      <c r="J174" s="10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</row>
    <row r="175" spans="1:22" s="5" customFormat="1" hidden="1">
      <c r="A175" s="14">
        <f t="shared" si="2"/>
        <v>174</v>
      </c>
      <c r="B175" s="15"/>
      <c r="C175" s="10"/>
      <c r="D175" s="15"/>
      <c r="E175" s="16"/>
      <c r="F175" s="16"/>
      <c r="G175" s="16"/>
      <c r="H175" s="17"/>
      <c r="I175" s="10"/>
      <c r="J175" s="10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</row>
    <row r="176" spans="1:22" s="5" customFormat="1" hidden="1">
      <c r="A176" s="14">
        <f t="shared" si="2"/>
        <v>175</v>
      </c>
      <c r="B176" s="15"/>
      <c r="C176" s="10"/>
      <c r="D176" s="15"/>
      <c r="E176" s="16"/>
      <c r="F176" s="16"/>
      <c r="G176" s="16"/>
      <c r="H176" s="17"/>
      <c r="I176" s="10"/>
      <c r="J176" s="10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</row>
    <row r="177" spans="1:22" s="5" customFormat="1" hidden="1">
      <c r="A177" s="14">
        <f t="shared" si="2"/>
        <v>176</v>
      </c>
      <c r="B177" s="15"/>
      <c r="C177" s="10"/>
      <c r="D177" s="15"/>
      <c r="E177" s="16"/>
      <c r="F177" s="16"/>
      <c r="G177" s="16"/>
      <c r="H177" s="17"/>
      <c r="I177" s="10"/>
      <c r="J177" s="10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</row>
    <row r="178" spans="1:22" s="5" customFormat="1" hidden="1">
      <c r="A178" s="14">
        <f t="shared" si="2"/>
        <v>177</v>
      </c>
      <c r="B178" s="15"/>
      <c r="C178" s="10"/>
      <c r="D178" s="15"/>
      <c r="E178" s="16"/>
      <c r="F178" s="16"/>
      <c r="G178" s="16"/>
      <c r="H178" s="17"/>
      <c r="I178" s="10"/>
      <c r="J178" s="10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</row>
    <row r="179" spans="1:22" s="5" customFormat="1" hidden="1">
      <c r="A179" s="14">
        <f t="shared" si="2"/>
        <v>178</v>
      </c>
      <c r="B179" s="15"/>
      <c r="C179" s="10"/>
      <c r="D179" s="15"/>
      <c r="E179" s="16"/>
      <c r="F179" s="16"/>
      <c r="G179" s="16"/>
      <c r="H179" s="17"/>
      <c r="I179" s="10"/>
      <c r="J179" s="10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</row>
    <row r="180" spans="1:22" s="5" customFormat="1" hidden="1">
      <c r="A180" s="14">
        <f t="shared" si="2"/>
        <v>179</v>
      </c>
      <c r="B180" s="15"/>
      <c r="C180" s="10"/>
      <c r="D180" s="15"/>
      <c r="E180" s="16"/>
      <c r="F180" s="16"/>
      <c r="G180" s="16"/>
      <c r="H180" s="17"/>
      <c r="I180" s="10"/>
      <c r="J180" s="10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</row>
    <row r="181" spans="1:22" s="5" customFormat="1" hidden="1">
      <c r="A181" s="14">
        <f t="shared" si="2"/>
        <v>180</v>
      </c>
      <c r="B181" s="15"/>
      <c r="C181" s="10"/>
      <c r="D181" s="15"/>
      <c r="E181" s="16"/>
      <c r="F181" s="16"/>
      <c r="G181" s="16"/>
      <c r="H181" s="17"/>
      <c r="I181" s="10"/>
      <c r="J181" s="10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</row>
    <row r="182" spans="1:22" s="5" customFormat="1" hidden="1">
      <c r="A182" s="14">
        <f t="shared" si="2"/>
        <v>181</v>
      </c>
      <c r="B182" s="15"/>
      <c r="C182" s="10"/>
      <c r="D182" s="15"/>
      <c r="E182" s="16"/>
      <c r="F182" s="16"/>
      <c r="G182" s="16"/>
      <c r="H182" s="17"/>
      <c r="I182" s="10"/>
      <c r="J182" s="10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</row>
    <row r="183" spans="1:22" s="5" customFormat="1" hidden="1">
      <c r="A183" s="14">
        <f t="shared" si="2"/>
        <v>182</v>
      </c>
      <c r="B183" s="15"/>
      <c r="C183" s="10"/>
      <c r="D183" s="15"/>
      <c r="E183" s="16"/>
      <c r="F183" s="16"/>
      <c r="G183" s="16"/>
      <c r="H183" s="17"/>
      <c r="I183" s="10"/>
      <c r="J183" s="10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</row>
    <row r="184" spans="1:22" s="5" customFormat="1" hidden="1">
      <c r="A184" s="14">
        <f t="shared" si="2"/>
        <v>183</v>
      </c>
      <c r="B184" s="15"/>
      <c r="C184" s="10"/>
      <c r="D184" s="15"/>
      <c r="E184" s="16"/>
      <c r="F184" s="16"/>
      <c r="G184" s="16"/>
      <c r="H184" s="17"/>
      <c r="I184" s="10"/>
      <c r="J184" s="10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</row>
    <row r="185" spans="1:22" s="5" customFormat="1" hidden="1">
      <c r="A185" s="14">
        <f t="shared" si="2"/>
        <v>184</v>
      </c>
      <c r="B185" s="15"/>
      <c r="C185" s="10"/>
      <c r="D185" s="15"/>
      <c r="E185" s="16"/>
      <c r="F185" s="16"/>
      <c r="G185" s="16"/>
      <c r="H185" s="17"/>
      <c r="I185" s="10"/>
      <c r="J185" s="10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</row>
    <row r="186" spans="1:22" s="5" customFormat="1" hidden="1">
      <c r="A186" s="14">
        <f t="shared" si="2"/>
        <v>185</v>
      </c>
      <c r="B186" s="15"/>
      <c r="C186" s="10"/>
      <c r="D186" s="15"/>
      <c r="E186" s="16"/>
      <c r="F186" s="16"/>
      <c r="G186" s="16"/>
      <c r="H186" s="17"/>
      <c r="I186" s="10"/>
      <c r="J186" s="10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</row>
    <row r="187" spans="1:22" s="5" customFormat="1" hidden="1">
      <c r="A187" s="14">
        <f t="shared" si="2"/>
        <v>186</v>
      </c>
      <c r="B187" s="15"/>
      <c r="C187" s="10"/>
      <c r="D187" s="15"/>
      <c r="E187" s="16"/>
      <c r="F187" s="16"/>
      <c r="G187" s="16"/>
      <c r="H187" s="17"/>
      <c r="I187" s="10"/>
      <c r="J187" s="10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</row>
    <row r="188" spans="1:22" s="5" customFormat="1" hidden="1">
      <c r="A188" s="14">
        <f t="shared" si="2"/>
        <v>187</v>
      </c>
      <c r="B188" s="15"/>
      <c r="C188" s="10"/>
      <c r="D188" s="15"/>
      <c r="E188" s="16"/>
      <c r="F188" s="16"/>
      <c r="G188" s="16"/>
      <c r="H188" s="17"/>
      <c r="I188" s="10"/>
      <c r="J188" s="10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</row>
    <row r="189" spans="1:22" s="5" customFormat="1" hidden="1">
      <c r="A189" s="14">
        <f t="shared" si="2"/>
        <v>188</v>
      </c>
      <c r="B189" s="15"/>
      <c r="C189" s="10"/>
      <c r="D189" s="15"/>
      <c r="E189" s="16"/>
      <c r="F189" s="16"/>
      <c r="G189" s="16"/>
      <c r="H189" s="17"/>
      <c r="I189" s="10"/>
      <c r="J189" s="10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</row>
    <row r="190" spans="1:22" s="5" customFormat="1" hidden="1">
      <c r="A190" s="14">
        <f t="shared" si="2"/>
        <v>189</v>
      </c>
      <c r="B190" s="15"/>
      <c r="C190" s="10"/>
      <c r="D190" s="15"/>
      <c r="E190" s="16"/>
      <c r="F190" s="16"/>
      <c r="G190" s="16"/>
      <c r="H190" s="17"/>
      <c r="I190" s="10"/>
      <c r="J190" s="10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</row>
    <row r="191" spans="1:22" s="5" customFormat="1" hidden="1">
      <c r="A191" s="14">
        <f t="shared" si="2"/>
        <v>190</v>
      </c>
      <c r="B191" s="15"/>
      <c r="C191" s="10"/>
      <c r="D191" s="15"/>
      <c r="E191" s="16"/>
      <c r="F191" s="16"/>
      <c r="G191" s="16"/>
      <c r="H191" s="17"/>
      <c r="I191" s="10"/>
      <c r="J191" s="10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</row>
    <row r="192" spans="1:22" s="5" customFormat="1" hidden="1">
      <c r="A192" s="14">
        <f t="shared" si="2"/>
        <v>191</v>
      </c>
      <c r="B192" s="15"/>
      <c r="C192" s="10"/>
      <c r="D192" s="15"/>
      <c r="E192" s="16"/>
      <c r="F192" s="16"/>
      <c r="G192" s="16"/>
      <c r="H192" s="17"/>
      <c r="I192" s="10"/>
      <c r="J192" s="10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</row>
    <row r="193" spans="1:22" s="5" customFormat="1" hidden="1">
      <c r="A193" s="14">
        <f t="shared" si="2"/>
        <v>192</v>
      </c>
      <c r="B193" s="15"/>
      <c r="C193" s="10"/>
      <c r="D193" s="15"/>
      <c r="E193" s="16"/>
      <c r="F193" s="16"/>
      <c r="G193" s="16"/>
      <c r="H193" s="17"/>
      <c r="I193" s="10"/>
      <c r="J193" s="10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</row>
    <row r="194" spans="1:22" s="5" customFormat="1" hidden="1">
      <c r="A194" s="14">
        <f t="shared" si="2"/>
        <v>193</v>
      </c>
      <c r="B194" s="15"/>
      <c r="C194" s="10"/>
      <c r="D194" s="15"/>
      <c r="E194" s="16"/>
      <c r="F194" s="16"/>
      <c r="G194" s="16"/>
      <c r="H194" s="17"/>
      <c r="I194" s="10"/>
      <c r="J194" s="10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</row>
    <row r="195" spans="1:22" s="5" customFormat="1" hidden="1">
      <c r="A195" s="14">
        <f t="shared" si="2"/>
        <v>194</v>
      </c>
      <c r="B195" s="15"/>
      <c r="C195" s="10"/>
      <c r="D195" s="15"/>
      <c r="E195" s="16"/>
      <c r="F195" s="16"/>
      <c r="G195" s="16"/>
      <c r="H195" s="17"/>
      <c r="I195" s="10"/>
      <c r="J195" s="10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</row>
    <row r="196" spans="1:22" s="5" customFormat="1" hidden="1">
      <c r="A196" s="14">
        <f t="shared" si="2"/>
        <v>195</v>
      </c>
      <c r="B196" s="15"/>
      <c r="C196" s="10"/>
      <c r="D196" s="15"/>
      <c r="E196" s="16"/>
      <c r="F196" s="16"/>
      <c r="G196" s="16"/>
      <c r="H196" s="17"/>
      <c r="I196" s="10"/>
      <c r="J196" s="10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</row>
    <row r="197" spans="1:22" s="5" customFormat="1" hidden="1">
      <c r="A197" s="14">
        <f t="shared" ref="A197:A260" si="3">+A196+1</f>
        <v>196</v>
      </c>
      <c r="B197" s="15"/>
      <c r="C197" s="10"/>
      <c r="D197" s="15"/>
      <c r="E197" s="16"/>
      <c r="F197" s="16"/>
      <c r="G197" s="16"/>
      <c r="H197" s="17"/>
      <c r="I197" s="10"/>
      <c r="J197" s="10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</row>
    <row r="198" spans="1:22" s="5" customFormat="1" hidden="1">
      <c r="A198" s="14">
        <f t="shared" si="3"/>
        <v>197</v>
      </c>
      <c r="B198" s="15"/>
      <c r="C198" s="10"/>
      <c r="D198" s="15"/>
      <c r="E198" s="16"/>
      <c r="F198" s="16"/>
      <c r="G198" s="16"/>
      <c r="H198" s="17"/>
      <c r="I198" s="10"/>
      <c r="J198" s="10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</row>
    <row r="199" spans="1:22" s="5" customFormat="1" hidden="1">
      <c r="A199" s="14">
        <f t="shared" si="3"/>
        <v>198</v>
      </c>
      <c r="B199" s="15"/>
      <c r="C199" s="10"/>
      <c r="D199" s="15"/>
      <c r="E199" s="16"/>
      <c r="F199" s="16"/>
      <c r="G199" s="16"/>
      <c r="H199" s="17"/>
      <c r="I199" s="10"/>
      <c r="J199" s="10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</row>
    <row r="200" spans="1:22" s="5" customFormat="1" hidden="1">
      <c r="A200" s="14">
        <f t="shared" si="3"/>
        <v>199</v>
      </c>
      <c r="B200" s="15"/>
      <c r="C200" s="10"/>
      <c r="D200" s="15"/>
      <c r="E200" s="16"/>
      <c r="F200" s="16"/>
      <c r="G200" s="16"/>
      <c r="H200" s="17"/>
      <c r="I200" s="10"/>
      <c r="J200" s="10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</row>
    <row r="201" spans="1:22" s="5" customFormat="1" hidden="1">
      <c r="A201" s="14">
        <f t="shared" si="3"/>
        <v>200</v>
      </c>
      <c r="B201" s="15"/>
      <c r="C201" s="10"/>
      <c r="D201" s="15"/>
      <c r="E201" s="16"/>
      <c r="F201" s="16"/>
      <c r="G201" s="16"/>
      <c r="H201" s="17"/>
      <c r="I201" s="10"/>
      <c r="J201" s="10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</row>
    <row r="202" spans="1:22" s="5" customFormat="1" hidden="1">
      <c r="A202" s="14">
        <f t="shared" si="3"/>
        <v>201</v>
      </c>
      <c r="B202" s="15"/>
      <c r="C202" s="10"/>
      <c r="D202" s="15"/>
      <c r="E202" s="16"/>
      <c r="F202" s="16"/>
      <c r="G202" s="16"/>
      <c r="H202" s="17"/>
      <c r="I202" s="10"/>
      <c r="J202" s="10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</row>
    <row r="203" spans="1:22" s="5" customFormat="1" hidden="1">
      <c r="A203" s="14">
        <f t="shared" si="3"/>
        <v>202</v>
      </c>
      <c r="B203" s="15"/>
      <c r="C203" s="10"/>
      <c r="D203" s="15"/>
      <c r="E203" s="16"/>
      <c r="F203" s="16"/>
      <c r="G203" s="16"/>
      <c r="H203" s="17"/>
      <c r="I203" s="10"/>
      <c r="J203" s="10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</row>
    <row r="204" spans="1:22" s="5" customFormat="1" hidden="1">
      <c r="A204" s="14">
        <f t="shared" si="3"/>
        <v>203</v>
      </c>
      <c r="B204" s="15"/>
      <c r="C204" s="10"/>
      <c r="D204" s="15"/>
      <c r="E204" s="16"/>
      <c r="F204" s="16"/>
      <c r="G204" s="16"/>
      <c r="H204" s="17"/>
      <c r="I204" s="10"/>
      <c r="J204" s="10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</row>
    <row r="205" spans="1:22" s="5" customFormat="1" hidden="1">
      <c r="A205" s="14">
        <f t="shared" si="3"/>
        <v>204</v>
      </c>
      <c r="B205" s="15"/>
      <c r="C205" s="10"/>
      <c r="D205" s="15"/>
      <c r="E205" s="16"/>
      <c r="F205" s="16"/>
      <c r="G205" s="16"/>
      <c r="H205" s="17"/>
      <c r="I205" s="10"/>
      <c r="J205" s="10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</row>
    <row r="206" spans="1:22" s="5" customFormat="1" hidden="1">
      <c r="A206" s="14">
        <f t="shared" si="3"/>
        <v>205</v>
      </c>
      <c r="B206" s="15"/>
      <c r="C206" s="10"/>
      <c r="D206" s="15"/>
      <c r="E206" s="16"/>
      <c r="F206" s="16"/>
      <c r="G206" s="16"/>
      <c r="H206" s="17"/>
      <c r="I206" s="10"/>
      <c r="J206" s="10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</row>
    <row r="207" spans="1:22" s="5" customFormat="1" hidden="1">
      <c r="A207" s="14">
        <f t="shared" si="3"/>
        <v>206</v>
      </c>
      <c r="B207" s="15"/>
      <c r="C207" s="10"/>
      <c r="D207" s="15"/>
      <c r="E207" s="16"/>
      <c r="F207" s="16"/>
      <c r="G207" s="16"/>
      <c r="H207" s="17"/>
      <c r="I207" s="10"/>
      <c r="J207" s="10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</row>
    <row r="208" spans="1:22" s="5" customFormat="1" hidden="1">
      <c r="A208" s="14">
        <f t="shared" si="3"/>
        <v>207</v>
      </c>
      <c r="B208" s="15"/>
      <c r="C208" s="10"/>
      <c r="D208" s="15"/>
      <c r="E208" s="16"/>
      <c r="F208" s="16"/>
      <c r="G208" s="16"/>
      <c r="H208" s="17"/>
      <c r="I208" s="10"/>
      <c r="J208" s="10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</row>
    <row r="209" spans="1:22" s="5" customFormat="1" hidden="1">
      <c r="A209" s="14">
        <f t="shared" si="3"/>
        <v>208</v>
      </c>
      <c r="B209" s="15"/>
      <c r="C209" s="10"/>
      <c r="D209" s="15"/>
      <c r="E209" s="16"/>
      <c r="F209" s="16"/>
      <c r="G209" s="16"/>
      <c r="H209" s="17"/>
      <c r="I209" s="10"/>
      <c r="J209" s="10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</row>
    <row r="210" spans="1:22" s="5" customFormat="1" hidden="1">
      <c r="A210" s="14">
        <f t="shared" si="3"/>
        <v>209</v>
      </c>
      <c r="B210" s="15"/>
      <c r="C210" s="10"/>
      <c r="D210" s="15"/>
      <c r="E210" s="16"/>
      <c r="F210" s="16"/>
      <c r="G210" s="16"/>
      <c r="H210" s="17"/>
      <c r="I210" s="10"/>
      <c r="J210" s="10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</row>
    <row r="211" spans="1:22" s="5" customFormat="1" hidden="1">
      <c r="A211" s="14">
        <f t="shared" si="3"/>
        <v>210</v>
      </c>
      <c r="B211" s="15"/>
      <c r="C211" s="10"/>
      <c r="D211" s="15"/>
      <c r="E211" s="16"/>
      <c r="F211" s="16"/>
      <c r="G211" s="16"/>
      <c r="H211" s="17"/>
      <c r="I211" s="10"/>
      <c r="J211" s="10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</row>
    <row r="212" spans="1:22" s="5" customFormat="1" hidden="1">
      <c r="A212" s="14">
        <f t="shared" si="3"/>
        <v>211</v>
      </c>
      <c r="B212" s="15"/>
      <c r="C212" s="10"/>
      <c r="D212" s="15"/>
      <c r="E212" s="16"/>
      <c r="F212" s="16"/>
      <c r="G212" s="16"/>
      <c r="H212" s="17"/>
      <c r="I212" s="10"/>
      <c r="J212" s="10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</row>
    <row r="213" spans="1:22" s="5" customFormat="1" hidden="1">
      <c r="A213" s="14">
        <f t="shared" si="3"/>
        <v>212</v>
      </c>
      <c r="B213" s="15"/>
      <c r="C213" s="10"/>
      <c r="D213" s="15"/>
      <c r="E213" s="16"/>
      <c r="F213" s="16"/>
      <c r="G213" s="16"/>
      <c r="H213" s="17"/>
      <c r="I213" s="10"/>
      <c r="J213" s="10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</row>
    <row r="214" spans="1:22" s="5" customFormat="1" hidden="1">
      <c r="A214" s="14">
        <f t="shared" si="3"/>
        <v>213</v>
      </c>
      <c r="B214" s="15"/>
      <c r="C214" s="10"/>
      <c r="D214" s="15"/>
      <c r="E214" s="16"/>
      <c r="F214" s="16"/>
      <c r="G214" s="16"/>
      <c r="H214" s="17"/>
      <c r="I214" s="10"/>
      <c r="J214" s="10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</row>
    <row r="215" spans="1:22" s="5" customFormat="1" hidden="1">
      <c r="A215" s="14">
        <f t="shared" si="3"/>
        <v>214</v>
      </c>
      <c r="B215" s="15"/>
      <c r="C215" s="10"/>
      <c r="D215" s="15"/>
      <c r="E215" s="16"/>
      <c r="F215" s="16"/>
      <c r="G215" s="16"/>
      <c r="H215" s="17"/>
      <c r="I215" s="10"/>
      <c r="J215" s="10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</row>
    <row r="216" spans="1:22" s="5" customFormat="1" hidden="1">
      <c r="A216" s="14">
        <f t="shared" si="3"/>
        <v>215</v>
      </c>
      <c r="B216" s="15"/>
      <c r="C216" s="10"/>
      <c r="D216" s="15"/>
      <c r="E216" s="16"/>
      <c r="F216" s="16"/>
      <c r="G216" s="16"/>
      <c r="H216" s="17"/>
      <c r="I216" s="10"/>
      <c r="J216" s="10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</row>
    <row r="217" spans="1:22" s="5" customFormat="1" hidden="1">
      <c r="A217" s="14">
        <f t="shared" si="3"/>
        <v>216</v>
      </c>
      <c r="B217" s="15"/>
      <c r="C217" s="10"/>
      <c r="D217" s="15"/>
      <c r="E217" s="16"/>
      <c r="F217" s="16"/>
      <c r="G217" s="16"/>
      <c r="H217" s="17"/>
      <c r="I217" s="10"/>
      <c r="J217" s="10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</row>
    <row r="218" spans="1:22" s="5" customFormat="1" hidden="1">
      <c r="A218" s="14">
        <f t="shared" si="3"/>
        <v>217</v>
      </c>
      <c r="B218" s="15"/>
      <c r="C218" s="10"/>
      <c r="D218" s="15"/>
      <c r="E218" s="16"/>
      <c r="F218" s="16"/>
      <c r="G218" s="16"/>
      <c r="H218" s="17"/>
      <c r="I218" s="10"/>
      <c r="J218" s="10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</row>
    <row r="219" spans="1:22" s="5" customFormat="1" hidden="1">
      <c r="A219" s="14">
        <f t="shared" si="3"/>
        <v>218</v>
      </c>
      <c r="B219" s="15"/>
      <c r="C219" s="10"/>
      <c r="D219" s="15"/>
      <c r="E219" s="16"/>
      <c r="F219" s="16"/>
      <c r="G219" s="16"/>
      <c r="H219" s="17"/>
      <c r="I219" s="10"/>
      <c r="J219" s="10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</row>
    <row r="220" spans="1:22" s="5" customFormat="1" hidden="1">
      <c r="A220" s="14">
        <f t="shared" si="3"/>
        <v>219</v>
      </c>
      <c r="B220" s="15"/>
      <c r="C220" s="10"/>
      <c r="D220" s="15"/>
      <c r="E220" s="16"/>
      <c r="F220" s="16"/>
      <c r="G220" s="16"/>
      <c r="H220" s="17"/>
      <c r="I220" s="10"/>
      <c r="J220" s="10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</row>
    <row r="221" spans="1:22" s="5" customFormat="1" hidden="1">
      <c r="A221" s="14">
        <f t="shared" si="3"/>
        <v>220</v>
      </c>
      <c r="B221" s="15"/>
      <c r="C221" s="10"/>
      <c r="D221" s="15"/>
      <c r="E221" s="16"/>
      <c r="F221" s="16"/>
      <c r="G221" s="16"/>
      <c r="H221" s="17"/>
      <c r="I221" s="10"/>
      <c r="J221" s="10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</row>
    <row r="222" spans="1:22" s="5" customFormat="1" hidden="1">
      <c r="A222" s="14">
        <f t="shared" si="3"/>
        <v>221</v>
      </c>
      <c r="B222" s="15"/>
      <c r="C222" s="10"/>
      <c r="D222" s="15"/>
      <c r="E222" s="16"/>
      <c r="F222" s="16"/>
      <c r="G222" s="16"/>
      <c r="H222" s="17"/>
      <c r="I222" s="10"/>
      <c r="J222" s="10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</row>
    <row r="223" spans="1:22" s="5" customFormat="1" hidden="1">
      <c r="A223" s="14">
        <f t="shared" si="3"/>
        <v>222</v>
      </c>
      <c r="B223" s="15"/>
      <c r="C223" s="10"/>
      <c r="D223" s="15"/>
      <c r="E223" s="16"/>
      <c r="F223" s="16"/>
      <c r="G223" s="16"/>
      <c r="H223" s="17"/>
      <c r="I223" s="10"/>
      <c r="J223" s="10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</row>
    <row r="224" spans="1:22" s="5" customFormat="1" hidden="1">
      <c r="A224" s="14">
        <f t="shared" si="3"/>
        <v>223</v>
      </c>
      <c r="B224" s="15"/>
      <c r="C224" s="10"/>
      <c r="D224" s="15"/>
      <c r="E224" s="16"/>
      <c r="F224" s="16"/>
      <c r="G224" s="16"/>
      <c r="H224" s="17"/>
      <c r="I224" s="10"/>
      <c r="J224" s="10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</row>
    <row r="225" spans="1:22" s="5" customFormat="1" hidden="1">
      <c r="A225" s="14">
        <f t="shared" si="3"/>
        <v>224</v>
      </c>
      <c r="B225" s="15"/>
      <c r="C225" s="10"/>
      <c r="D225" s="15"/>
      <c r="E225" s="16"/>
      <c r="F225" s="16"/>
      <c r="G225" s="16"/>
      <c r="H225" s="17"/>
      <c r="I225" s="10"/>
      <c r="J225" s="10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</row>
    <row r="226" spans="1:22" s="5" customFormat="1" hidden="1">
      <c r="A226" s="14">
        <f t="shared" si="3"/>
        <v>225</v>
      </c>
      <c r="B226" s="15"/>
      <c r="C226" s="10"/>
      <c r="D226" s="15"/>
      <c r="E226" s="16"/>
      <c r="F226" s="16"/>
      <c r="G226" s="16"/>
      <c r="H226" s="17"/>
      <c r="I226" s="10"/>
      <c r="J226" s="10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</row>
    <row r="227" spans="1:22" s="5" customFormat="1" hidden="1">
      <c r="A227" s="14">
        <f t="shared" si="3"/>
        <v>226</v>
      </c>
      <c r="B227" s="15"/>
      <c r="C227" s="10"/>
      <c r="D227" s="15"/>
      <c r="E227" s="16"/>
      <c r="F227" s="16"/>
      <c r="G227" s="16"/>
      <c r="H227" s="17"/>
      <c r="I227" s="10"/>
      <c r="J227" s="10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</row>
    <row r="228" spans="1:22" s="5" customFormat="1" hidden="1">
      <c r="A228" s="14">
        <f t="shared" si="3"/>
        <v>227</v>
      </c>
      <c r="B228" s="15"/>
      <c r="C228" s="10"/>
      <c r="D228" s="15"/>
      <c r="E228" s="16"/>
      <c r="F228" s="16"/>
      <c r="G228" s="16"/>
      <c r="H228" s="17"/>
      <c r="I228" s="10"/>
      <c r="J228" s="10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</row>
    <row r="229" spans="1:22" s="5" customFormat="1" hidden="1">
      <c r="A229" s="14">
        <f t="shared" si="3"/>
        <v>228</v>
      </c>
      <c r="B229" s="15"/>
      <c r="C229" s="10"/>
      <c r="D229" s="15"/>
      <c r="E229" s="16"/>
      <c r="F229" s="16"/>
      <c r="G229" s="16"/>
      <c r="H229" s="17"/>
      <c r="I229" s="10"/>
      <c r="J229" s="10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</row>
    <row r="230" spans="1:22" s="5" customFormat="1" hidden="1">
      <c r="A230" s="14">
        <f t="shared" si="3"/>
        <v>229</v>
      </c>
      <c r="B230" s="15"/>
      <c r="C230" s="10"/>
      <c r="D230" s="15"/>
      <c r="E230" s="16"/>
      <c r="F230" s="16"/>
      <c r="G230" s="16"/>
      <c r="H230" s="17"/>
      <c r="I230" s="10"/>
      <c r="J230" s="10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</row>
    <row r="231" spans="1:22" s="5" customFormat="1" hidden="1">
      <c r="A231" s="14">
        <f t="shared" si="3"/>
        <v>230</v>
      </c>
      <c r="B231" s="15"/>
      <c r="C231" s="10"/>
      <c r="D231" s="15"/>
      <c r="E231" s="16"/>
      <c r="F231" s="16"/>
      <c r="G231" s="16"/>
      <c r="H231" s="17"/>
      <c r="I231" s="10"/>
      <c r="J231" s="10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</row>
    <row r="232" spans="1:22" s="5" customFormat="1" hidden="1">
      <c r="A232" s="14">
        <f t="shared" si="3"/>
        <v>231</v>
      </c>
      <c r="B232" s="15"/>
      <c r="C232" s="10"/>
      <c r="D232" s="15"/>
      <c r="E232" s="16"/>
      <c r="F232" s="16"/>
      <c r="G232" s="16"/>
      <c r="H232" s="17"/>
      <c r="I232" s="10"/>
      <c r="J232" s="10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</row>
    <row r="233" spans="1:22" s="5" customFormat="1" hidden="1">
      <c r="A233" s="14">
        <f t="shared" si="3"/>
        <v>232</v>
      </c>
      <c r="B233" s="15"/>
      <c r="C233" s="10"/>
      <c r="D233" s="15"/>
      <c r="E233" s="16"/>
      <c r="F233" s="16"/>
      <c r="G233" s="16"/>
      <c r="H233" s="17"/>
      <c r="I233" s="10"/>
      <c r="J233" s="10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</row>
    <row r="234" spans="1:22" s="5" customFormat="1" hidden="1">
      <c r="A234" s="14">
        <f t="shared" si="3"/>
        <v>233</v>
      </c>
      <c r="B234" s="15"/>
      <c r="C234" s="10"/>
      <c r="D234" s="15"/>
      <c r="E234" s="16"/>
      <c r="F234" s="16"/>
      <c r="G234" s="16"/>
      <c r="H234" s="17"/>
      <c r="I234" s="10"/>
      <c r="J234" s="10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</row>
    <row r="235" spans="1:22" s="5" customFormat="1" hidden="1">
      <c r="A235" s="14">
        <f t="shared" si="3"/>
        <v>234</v>
      </c>
      <c r="B235" s="15"/>
      <c r="C235" s="10"/>
      <c r="D235" s="15"/>
      <c r="E235" s="16"/>
      <c r="F235" s="16"/>
      <c r="G235" s="16"/>
      <c r="H235" s="17"/>
      <c r="I235" s="10"/>
      <c r="J235" s="10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</row>
    <row r="236" spans="1:22" s="5" customFormat="1" hidden="1">
      <c r="A236" s="14">
        <f t="shared" si="3"/>
        <v>235</v>
      </c>
      <c r="B236" s="15"/>
      <c r="C236" s="10"/>
      <c r="D236" s="15"/>
      <c r="E236" s="16"/>
      <c r="F236" s="16"/>
      <c r="G236" s="16"/>
      <c r="H236" s="17"/>
      <c r="I236" s="10"/>
      <c r="J236" s="10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</row>
    <row r="237" spans="1:22" s="5" customFormat="1" hidden="1">
      <c r="A237" s="14">
        <f t="shared" si="3"/>
        <v>236</v>
      </c>
      <c r="B237" s="15"/>
      <c r="C237" s="10"/>
      <c r="D237" s="15"/>
      <c r="E237" s="16"/>
      <c r="F237" s="16"/>
      <c r="G237" s="16"/>
      <c r="H237" s="17"/>
      <c r="I237" s="10"/>
      <c r="J237" s="10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</row>
    <row r="238" spans="1:22" s="5" customFormat="1" hidden="1">
      <c r="A238" s="14">
        <f t="shared" si="3"/>
        <v>237</v>
      </c>
      <c r="B238" s="15"/>
      <c r="C238" s="10"/>
      <c r="D238" s="15"/>
      <c r="E238" s="16"/>
      <c r="F238" s="16"/>
      <c r="G238" s="16"/>
      <c r="H238" s="17"/>
      <c r="I238" s="10"/>
      <c r="J238" s="10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</row>
    <row r="239" spans="1:22" s="5" customFormat="1" hidden="1">
      <c r="A239" s="14">
        <f t="shared" si="3"/>
        <v>238</v>
      </c>
      <c r="B239" s="15"/>
      <c r="C239" s="10"/>
      <c r="D239" s="15"/>
      <c r="E239" s="16"/>
      <c r="F239" s="16"/>
      <c r="G239" s="16"/>
      <c r="H239" s="17"/>
      <c r="I239" s="10"/>
      <c r="J239" s="10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</row>
    <row r="240" spans="1:22" s="5" customFormat="1" hidden="1">
      <c r="A240" s="14">
        <f t="shared" si="3"/>
        <v>239</v>
      </c>
      <c r="B240" s="15"/>
      <c r="C240" s="10"/>
      <c r="D240" s="15"/>
      <c r="E240" s="16"/>
      <c r="F240" s="16"/>
      <c r="G240" s="16"/>
      <c r="H240" s="17"/>
      <c r="I240" s="10"/>
      <c r="J240" s="10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</row>
    <row r="241" spans="1:22" s="5" customFormat="1" hidden="1">
      <c r="A241" s="14">
        <f t="shared" si="3"/>
        <v>240</v>
      </c>
      <c r="B241" s="15"/>
      <c r="C241" s="10"/>
      <c r="D241" s="15"/>
      <c r="E241" s="16"/>
      <c r="F241" s="16"/>
      <c r="G241" s="16"/>
      <c r="H241" s="17"/>
      <c r="I241" s="10"/>
      <c r="J241" s="10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</row>
    <row r="242" spans="1:22" s="5" customFormat="1" hidden="1">
      <c r="A242" s="14">
        <f t="shared" si="3"/>
        <v>241</v>
      </c>
      <c r="B242" s="15"/>
      <c r="C242" s="10"/>
      <c r="D242" s="15"/>
      <c r="E242" s="16"/>
      <c r="F242" s="16"/>
      <c r="G242" s="16"/>
      <c r="H242" s="17"/>
      <c r="I242" s="10"/>
      <c r="J242" s="10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</row>
    <row r="243" spans="1:22" s="5" customFormat="1" hidden="1">
      <c r="A243" s="14">
        <f t="shared" si="3"/>
        <v>242</v>
      </c>
      <c r="B243" s="15"/>
      <c r="C243" s="10"/>
      <c r="D243" s="15"/>
      <c r="E243" s="16"/>
      <c r="F243" s="16"/>
      <c r="G243" s="16"/>
      <c r="H243" s="17"/>
      <c r="I243" s="10"/>
      <c r="J243" s="10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</row>
    <row r="244" spans="1:22" s="5" customFormat="1" hidden="1">
      <c r="A244" s="14">
        <f t="shared" si="3"/>
        <v>243</v>
      </c>
      <c r="B244" s="15"/>
      <c r="C244" s="10"/>
      <c r="D244" s="15"/>
      <c r="E244" s="16"/>
      <c r="F244" s="16"/>
      <c r="G244" s="16"/>
      <c r="H244" s="17"/>
      <c r="I244" s="10"/>
      <c r="J244" s="10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</row>
    <row r="245" spans="1:22" s="5" customFormat="1" hidden="1">
      <c r="A245" s="14">
        <f t="shared" si="3"/>
        <v>244</v>
      </c>
      <c r="B245" s="15"/>
      <c r="C245" s="10"/>
      <c r="D245" s="15"/>
      <c r="E245" s="16"/>
      <c r="F245" s="16"/>
      <c r="G245" s="16"/>
      <c r="H245" s="17"/>
      <c r="I245" s="10"/>
      <c r="J245" s="10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</row>
    <row r="246" spans="1:22" s="5" customFormat="1" hidden="1">
      <c r="A246" s="14">
        <f t="shared" si="3"/>
        <v>245</v>
      </c>
      <c r="B246" s="15"/>
      <c r="C246" s="10"/>
      <c r="D246" s="15"/>
      <c r="E246" s="16"/>
      <c r="F246" s="16"/>
      <c r="G246" s="16"/>
      <c r="H246" s="17"/>
      <c r="I246" s="10"/>
      <c r="J246" s="10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</row>
    <row r="247" spans="1:22" s="5" customFormat="1" hidden="1">
      <c r="A247" s="14">
        <f t="shared" si="3"/>
        <v>246</v>
      </c>
      <c r="B247" s="15"/>
      <c r="C247" s="10"/>
      <c r="D247" s="15"/>
      <c r="E247" s="16"/>
      <c r="F247" s="16"/>
      <c r="G247" s="16"/>
      <c r="H247" s="17"/>
      <c r="I247" s="10"/>
      <c r="J247" s="10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</row>
    <row r="248" spans="1:22" s="5" customFormat="1" hidden="1">
      <c r="A248" s="14">
        <f t="shared" si="3"/>
        <v>247</v>
      </c>
      <c r="B248" s="15"/>
      <c r="C248" s="10"/>
      <c r="D248" s="15"/>
      <c r="E248" s="16"/>
      <c r="F248" s="16"/>
      <c r="G248" s="16"/>
      <c r="H248" s="17"/>
      <c r="I248" s="10"/>
      <c r="J248" s="10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</row>
    <row r="249" spans="1:22" s="5" customFormat="1" hidden="1">
      <c r="A249" s="14">
        <f t="shared" si="3"/>
        <v>248</v>
      </c>
      <c r="B249" s="15"/>
      <c r="C249" s="10"/>
      <c r="D249" s="15"/>
      <c r="E249" s="16"/>
      <c r="F249" s="16"/>
      <c r="G249" s="16"/>
      <c r="H249" s="17"/>
      <c r="I249" s="10"/>
      <c r="J249" s="10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</row>
    <row r="250" spans="1:22" s="5" customFormat="1" hidden="1">
      <c r="A250" s="14">
        <f t="shared" si="3"/>
        <v>249</v>
      </c>
      <c r="B250" s="15"/>
      <c r="C250" s="10"/>
      <c r="D250" s="15"/>
      <c r="E250" s="16"/>
      <c r="F250" s="16"/>
      <c r="G250" s="16"/>
      <c r="H250" s="17"/>
      <c r="I250" s="10"/>
      <c r="J250" s="10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</row>
    <row r="251" spans="1:22" s="5" customFormat="1" hidden="1">
      <c r="A251" s="14">
        <f t="shared" si="3"/>
        <v>250</v>
      </c>
      <c r="B251" s="15"/>
      <c r="C251" s="10"/>
      <c r="D251" s="15"/>
      <c r="E251" s="16"/>
      <c r="F251" s="16"/>
      <c r="G251" s="16"/>
      <c r="H251" s="17"/>
      <c r="I251" s="10"/>
      <c r="J251" s="10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</row>
    <row r="252" spans="1:22" s="5" customFormat="1" hidden="1">
      <c r="A252" s="14">
        <f t="shared" si="3"/>
        <v>251</v>
      </c>
      <c r="B252" s="15"/>
      <c r="C252" s="10"/>
      <c r="D252" s="15"/>
      <c r="E252" s="16"/>
      <c r="F252" s="16"/>
      <c r="G252" s="16"/>
      <c r="H252" s="17"/>
      <c r="I252" s="10"/>
      <c r="J252" s="10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</row>
    <row r="253" spans="1:22" s="5" customFormat="1" hidden="1">
      <c r="A253" s="14">
        <f t="shared" si="3"/>
        <v>252</v>
      </c>
      <c r="B253" s="15"/>
      <c r="C253" s="10"/>
      <c r="D253" s="15"/>
      <c r="E253" s="16"/>
      <c r="F253" s="16"/>
      <c r="G253" s="16"/>
      <c r="H253" s="17"/>
      <c r="I253" s="10"/>
      <c r="J253" s="10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</row>
    <row r="254" spans="1:22" s="5" customFormat="1" hidden="1">
      <c r="A254" s="14">
        <f t="shared" si="3"/>
        <v>253</v>
      </c>
      <c r="B254" s="15"/>
      <c r="C254" s="10"/>
      <c r="D254" s="15"/>
      <c r="E254" s="16"/>
      <c r="F254" s="16"/>
      <c r="G254" s="16"/>
      <c r="H254" s="17"/>
      <c r="I254" s="10"/>
      <c r="J254" s="10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</row>
    <row r="255" spans="1:22" s="5" customFormat="1" hidden="1">
      <c r="A255" s="14">
        <f t="shared" si="3"/>
        <v>254</v>
      </c>
      <c r="B255" s="15"/>
      <c r="C255" s="10"/>
      <c r="D255" s="15"/>
      <c r="E255" s="16"/>
      <c r="F255" s="16"/>
      <c r="G255" s="16"/>
      <c r="H255" s="17"/>
      <c r="I255" s="10"/>
      <c r="J255" s="10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</row>
    <row r="256" spans="1:22" s="5" customFormat="1" hidden="1">
      <c r="A256" s="14">
        <f t="shared" si="3"/>
        <v>255</v>
      </c>
      <c r="B256" s="15"/>
      <c r="C256" s="10"/>
      <c r="D256" s="15"/>
      <c r="E256" s="16"/>
      <c r="F256" s="16"/>
      <c r="G256" s="16"/>
      <c r="H256" s="17"/>
      <c r="I256" s="10"/>
      <c r="J256" s="10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</row>
    <row r="257" spans="1:22" s="5" customFormat="1" hidden="1">
      <c r="A257" s="14">
        <f t="shared" si="3"/>
        <v>256</v>
      </c>
      <c r="B257" s="15"/>
      <c r="C257" s="10"/>
      <c r="D257" s="15"/>
      <c r="E257" s="16"/>
      <c r="F257" s="16"/>
      <c r="G257" s="16"/>
      <c r="H257" s="17"/>
      <c r="I257" s="10"/>
      <c r="J257" s="10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</row>
    <row r="258" spans="1:22" s="5" customFormat="1" hidden="1">
      <c r="A258" s="14">
        <f t="shared" si="3"/>
        <v>257</v>
      </c>
      <c r="B258" s="15"/>
      <c r="C258" s="10"/>
      <c r="D258" s="15"/>
      <c r="E258" s="16"/>
      <c r="F258" s="16"/>
      <c r="G258" s="16"/>
      <c r="H258" s="17"/>
      <c r="I258" s="10"/>
      <c r="J258" s="10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</row>
    <row r="259" spans="1:22" s="5" customFormat="1" hidden="1">
      <c r="A259" s="14">
        <f t="shared" si="3"/>
        <v>258</v>
      </c>
      <c r="B259" s="15"/>
      <c r="C259" s="10"/>
      <c r="D259" s="15"/>
      <c r="E259" s="16"/>
      <c r="F259" s="16"/>
      <c r="G259" s="16"/>
      <c r="H259" s="17"/>
      <c r="I259" s="10"/>
      <c r="J259" s="10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</row>
    <row r="260" spans="1:22" s="5" customFormat="1" hidden="1">
      <c r="A260" s="14">
        <f t="shared" si="3"/>
        <v>259</v>
      </c>
      <c r="B260" s="15"/>
      <c r="C260" s="10"/>
      <c r="D260" s="15"/>
      <c r="E260" s="16"/>
      <c r="F260" s="16"/>
      <c r="G260" s="16"/>
      <c r="H260" s="17"/>
      <c r="I260" s="10"/>
      <c r="J260" s="10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</row>
    <row r="261" spans="1:22" s="5" customFormat="1" hidden="1">
      <c r="A261" s="14">
        <f t="shared" ref="A261:A324" si="4">+A260+1</f>
        <v>260</v>
      </c>
      <c r="B261" s="15"/>
      <c r="C261" s="10"/>
      <c r="D261" s="15"/>
      <c r="E261" s="16"/>
      <c r="F261" s="16"/>
      <c r="G261" s="16"/>
      <c r="H261" s="17"/>
      <c r="I261" s="10"/>
      <c r="J261" s="10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</row>
    <row r="262" spans="1:22" s="5" customFormat="1" hidden="1">
      <c r="A262" s="14">
        <f t="shared" si="4"/>
        <v>261</v>
      </c>
      <c r="B262" s="15"/>
      <c r="C262" s="10"/>
      <c r="D262" s="15"/>
      <c r="E262" s="16"/>
      <c r="F262" s="16"/>
      <c r="G262" s="16"/>
      <c r="H262" s="17"/>
      <c r="I262" s="10"/>
      <c r="J262" s="10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</row>
    <row r="263" spans="1:22" s="5" customFormat="1" hidden="1">
      <c r="A263" s="14">
        <f t="shared" si="4"/>
        <v>262</v>
      </c>
      <c r="B263" s="15"/>
      <c r="C263" s="10"/>
      <c r="D263" s="15"/>
      <c r="E263" s="16"/>
      <c r="F263" s="16"/>
      <c r="G263" s="16"/>
      <c r="H263" s="17"/>
      <c r="I263" s="10"/>
      <c r="J263" s="10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</row>
    <row r="264" spans="1:22" s="5" customFormat="1" hidden="1">
      <c r="A264" s="14">
        <f t="shared" si="4"/>
        <v>263</v>
      </c>
      <c r="B264" s="15"/>
      <c r="C264" s="10"/>
      <c r="D264" s="15"/>
      <c r="E264" s="16"/>
      <c r="F264" s="16"/>
      <c r="G264" s="16"/>
      <c r="H264" s="17"/>
      <c r="I264" s="10"/>
      <c r="J264" s="10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</row>
    <row r="265" spans="1:22" s="5" customFormat="1" hidden="1">
      <c r="A265" s="14">
        <f t="shared" si="4"/>
        <v>264</v>
      </c>
      <c r="B265" s="15"/>
      <c r="C265" s="10"/>
      <c r="D265" s="15"/>
      <c r="E265" s="16"/>
      <c r="F265" s="16"/>
      <c r="G265" s="16"/>
      <c r="H265" s="17"/>
      <c r="I265" s="10"/>
      <c r="J265" s="10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</row>
    <row r="266" spans="1:22" s="5" customFormat="1" hidden="1">
      <c r="A266" s="14">
        <f t="shared" si="4"/>
        <v>265</v>
      </c>
      <c r="B266" s="15"/>
      <c r="C266" s="10"/>
      <c r="D266" s="15"/>
      <c r="E266" s="16"/>
      <c r="F266" s="16"/>
      <c r="G266" s="16"/>
      <c r="H266" s="17"/>
      <c r="I266" s="10"/>
      <c r="J266" s="10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</row>
    <row r="267" spans="1:22" s="5" customFormat="1" hidden="1">
      <c r="A267" s="14">
        <f t="shared" si="4"/>
        <v>266</v>
      </c>
      <c r="B267" s="15"/>
      <c r="C267" s="10"/>
      <c r="D267" s="15"/>
      <c r="E267" s="16"/>
      <c r="F267" s="16"/>
      <c r="G267" s="16"/>
      <c r="H267" s="17"/>
      <c r="I267" s="10"/>
      <c r="J267" s="10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</row>
    <row r="268" spans="1:22" s="5" customFormat="1" hidden="1">
      <c r="A268" s="14">
        <f t="shared" si="4"/>
        <v>267</v>
      </c>
      <c r="B268" s="15"/>
      <c r="C268" s="10"/>
      <c r="D268" s="15"/>
      <c r="E268" s="16"/>
      <c r="F268" s="16"/>
      <c r="G268" s="16"/>
      <c r="H268" s="17"/>
      <c r="I268" s="10"/>
      <c r="J268" s="10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</row>
    <row r="269" spans="1:22" s="5" customFormat="1" hidden="1">
      <c r="A269" s="14">
        <f t="shared" si="4"/>
        <v>268</v>
      </c>
      <c r="B269" s="15"/>
      <c r="C269" s="10"/>
      <c r="D269" s="15"/>
      <c r="E269" s="16"/>
      <c r="F269" s="16"/>
      <c r="G269" s="16"/>
      <c r="H269" s="17"/>
      <c r="I269" s="10"/>
      <c r="J269" s="10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</row>
    <row r="270" spans="1:22" s="5" customFormat="1" hidden="1">
      <c r="A270" s="14">
        <f t="shared" si="4"/>
        <v>269</v>
      </c>
      <c r="B270" s="15"/>
      <c r="C270" s="10"/>
      <c r="D270" s="15"/>
      <c r="E270" s="16"/>
      <c r="F270" s="16"/>
      <c r="G270" s="16"/>
      <c r="H270" s="17"/>
      <c r="I270" s="10"/>
      <c r="J270" s="10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</row>
    <row r="271" spans="1:22" s="5" customFormat="1" hidden="1">
      <c r="A271" s="14">
        <f t="shared" si="4"/>
        <v>270</v>
      </c>
      <c r="B271" s="15"/>
      <c r="C271" s="10"/>
      <c r="D271" s="15"/>
      <c r="E271" s="16"/>
      <c r="F271" s="16"/>
      <c r="G271" s="16"/>
      <c r="H271" s="17"/>
      <c r="I271" s="10"/>
      <c r="J271" s="10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</row>
    <row r="272" spans="1:22" s="5" customFormat="1" hidden="1">
      <c r="A272" s="14">
        <f t="shared" si="4"/>
        <v>271</v>
      </c>
      <c r="B272" s="15"/>
      <c r="C272" s="10"/>
      <c r="D272" s="15"/>
      <c r="E272" s="16"/>
      <c r="F272" s="16"/>
      <c r="G272" s="16"/>
      <c r="H272" s="17"/>
      <c r="I272" s="10"/>
      <c r="J272" s="10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</row>
    <row r="273" spans="1:22" s="5" customFormat="1" hidden="1">
      <c r="A273" s="14">
        <f t="shared" si="4"/>
        <v>272</v>
      </c>
      <c r="B273" s="15"/>
      <c r="C273" s="10"/>
      <c r="D273" s="15"/>
      <c r="E273" s="16"/>
      <c r="F273" s="16"/>
      <c r="G273" s="16"/>
      <c r="H273" s="17"/>
      <c r="I273" s="10"/>
      <c r="J273" s="10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</row>
    <row r="274" spans="1:22" s="5" customFormat="1" hidden="1">
      <c r="A274" s="14">
        <f t="shared" si="4"/>
        <v>273</v>
      </c>
      <c r="B274" s="15"/>
      <c r="C274" s="10"/>
      <c r="D274" s="15"/>
      <c r="E274" s="16"/>
      <c r="F274" s="16"/>
      <c r="G274" s="16"/>
      <c r="H274" s="17"/>
      <c r="I274" s="10"/>
      <c r="J274" s="10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</row>
    <row r="275" spans="1:22" s="5" customFormat="1" hidden="1">
      <c r="A275" s="14">
        <f t="shared" si="4"/>
        <v>274</v>
      </c>
      <c r="B275" s="15"/>
      <c r="C275" s="10"/>
      <c r="D275" s="15"/>
      <c r="E275" s="16"/>
      <c r="F275" s="16"/>
      <c r="G275" s="16"/>
      <c r="H275" s="17"/>
      <c r="I275" s="10"/>
      <c r="J275" s="10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</row>
    <row r="276" spans="1:22" s="5" customFormat="1" hidden="1">
      <c r="A276" s="14">
        <f t="shared" si="4"/>
        <v>275</v>
      </c>
      <c r="B276" s="15"/>
      <c r="C276" s="10"/>
      <c r="D276" s="15"/>
      <c r="E276" s="16"/>
      <c r="F276" s="16"/>
      <c r="G276" s="16"/>
      <c r="H276" s="17"/>
      <c r="I276" s="10"/>
      <c r="J276" s="10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</row>
    <row r="277" spans="1:22" s="5" customFormat="1" hidden="1">
      <c r="A277" s="14">
        <f t="shared" si="4"/>
        <v>276</v>
      </c>
      <c r="B277" s="15"/>
      <c r="C277" s="10"/>
      <c r="D277" s="15"/>
      <c r="E277" s="16"/>
      <c r="F277" s="16"/>
      <c r="G277" s="16"/>
      <c r="H277" s="17"/>
      <c r="I277" s="10"/>
      <c r="J277" s="10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</row>
    <row r="278" spans="1:22" s="5" customFormat="1" hidden="1">
      <c r="A278" s="14">
        <f t="shared" si="4"/>
        <v>277</v>
      </c>
      <c r="B278" s="15"/>
      <c r="C278" s="10"/>
      <c r="D278" s="15"/>
      <c r="E278" s="16"/>
      <c r="F278" s="16"/>
      <c r="G278" s="16"/>
      <c r="H278" s="17"/>
      <c r="I278" s="10"/>
      <c r="J278" s="10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</row>
    <row r="279" spans="1:22" s="5" customFormat="1" hidden="1">
      <c r="A279" s="14">
        <f t="shared" si="4"/>
        <v>278</v>
      </c>
      <c r="B279" s="15"/>
      <c r="C279" s="10"/>
      <c r="D279" s="15"/>
      <c r="E279" s="16"/>
      <c r="F279" s="16"/>
      <c r="G279" s="16"/>
      <c r="H279" s="17"/>
      <c r="I279" s="10"/>
      <c r="J279" s="10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</row>
    <row r="280" spans="1:22" s="5" customFormat="1" hidden="1">
      <c r="A280" s="14">
        <f t="shared" si="4"/>
        <v>279</v>
      </c>
      <c r="B280" s="15"/>
      <c r="C280" s="10"/>
      <c r="D280" s="15"/>
      <c r="E280" s="16"/>
      <c r="F280" s="16"/>
      <c r="G280" s="16"/>
      <c r="H280" s="17"/>
      <c r="I280" s="10"/>
      <c r="J280" s="10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</row>
    <row r="281" spans="1:22" s="5" customFormat="1" hidden="1">
      <c r="A281" s="14">
        <f t="shared" si="4"/>
        <v>280</v>
      </c>
      <c r="B281" s="15"/>
      <c r="C281" s="10"/>
      <c r="D281" s="15"/>
      <c r="E281" s="16"/>
      <c r="F281" s="16"/>
      <c r="G281" s="16"/>
      <c r="H281" s="17"/>
      <c r="I281" s="10"/>
      <c r="J281" s="10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</row>
    <row r="282" spans="1:22" s="5" customFormat="1" hidden="1">
      <c r="A282" s="14">
        <f t="shared" si="4"/>
        <v>281</v>
      </c>
      <c r="B282" s="15"/>
      <c r="C282" s="10"/>
      <c r="D282" s="15"/>
      <c r="E282" s="16"/>
      <c r="F282" s="16"/>
      <c r="G282" s="16"/>
      <c r="H282" s="17"/>
      <c r="I282" s="10"/>
      <c r="J282" s="10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</row>
    <row r="283" spans="1:22" s="5" customFormat="1" hidden="1">
      <c r="A283" s="14">
        <f t="shared" si="4"/>
        <v>282</v>
      </c>
      <c r="B283" s="15"/>
      <c r="C283" s="10"/>
      <c r="D283" s="15"/>
      <c r="E283" s="16"/>
      <c r="F283" s="16"/>
      <c r="G283" s="16"/>
      <c r="H283" s="17"/>
      <c r="I283" s="10"/>
      <c r="J283" s="10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</row>
    <row r="284" spans="1:22" s="5" customFormat="1" hidden="1">
      <c r="A284" s="14">
        <f t="shared" si="4"/>
        <v>283</v>
      </c>
      <c r="B284" s="15"/>
      <c r="C284" s="10"/>
      <c r="D284" s="15"/>
      <c r="E284" s="16"/>
      <c r="F284" s="16"/>
      <c r="G284" s="16"/>
      <c r="H284" s="17"/>
      <c r="I284" s="10"/>
      <c r="J284" s="10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</row>
    <row r="285" spans="1:22" s="5" customFormat="1" hidden="1">
      <c r="A285" s="14">
        <f t="shared" si="4"/>
        <v>284</v>
      </c>
      <c r="B285" s="15"/>
      <c r="C285" s="10"/>
      <c r="D285" s="15"/>
      <c r="E285" s="16"/>
      <c r="F285" s="16"/>
      <c r="G285" s="16"/>
      <c r="H285" s="17"/>
      <c r="I285" s="10"/>
      <c r="J285" s="10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</row>
    <row r="286" spans="1:22" s="5" customFormat="1" hidden="1">
      <c r="A286" s="14">
        <f t="shared" si="4"/>
        <v>285</v>
      </c>
      <c r="B286" s="15"/>
      <c r="C286" s="10"/>
      <c r="D286" s="15"/>
      <c r="E286" s="16"/>
      <c r="F286" s="16"/>
      <c r="G286" s="16"/>
      <c r="H286" s="17"/>
      <c r="I286" s="10"/>
      <c r="J286" s="10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</row>
    <row r="287" spans="1:22" s="5" customFormat="1" hidden="1">
      <c r="A287" s="14">
        <f t="shared" si="4"/>
        <v>286</v>
      </c>
      <c r="B287" s="15"/>
      <c r="C287" s="10"/>
      <c r="D287" s="15"/>
      <c r="E287" s="16"/>
      <c r="F287" s="16"/>
      <c r="G287" s="16"/>
      <c r="H287" s="17"/>
      <c r="I287" s="10"/>
      <c r="J287" s="10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</row>
    <row r="288" spans="1:22" s="5" customFormat="1" hidden="1">
      <c r="A288" s="14">
        <f t="shared" si="4"/>
        <v>287</v>
      </c>
      <c r="B288" s="15"/>
      <c r="C288" s="10"/>
      <c r="D288" s="15"/>
      <c r="E288" s="16"/>
      <c r="F288" s="16"/>
      <c r="G288" s="16"/>
      <c r="H288" s="17"/>
      <c r="I288" s="10"/>
      <c r="J288" s="10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</row>
    <row r="289" spans="1:22" s="5" customFormat="1" hidden="1">
      <c r="A289" s="14">
        <f t="shared" si="4"/>
        <v>288</v>
      </c>
      <c r="B289" s="15"/>
      <c r="C289" s="10"/>
      <c r="D289" s="15"/>
      <c r="E289" s="16"/>
      <c r="F289" s="16"/>
      <c r="G289" s="16"/>
      <c r="H289" s="17"/>
      <c r="I289" s="10"/>
      <c r="J289" s="10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</row>
    <row r="290" spans="1:22" s="5" customFormat="1" hidden="1">
      <c r="A290" s="14">
        <f t="shared" si="4"/>
        <v>289</v>
      </c>
      <c r="B290" s="15"/>
      <c r="C290" s="10"/>
      <c r="D290" s="15"/>
      <c r="E290" s="16"/>
      <c r="F290" s="16"/>
      <c r="G290" s="16"/>
      <c r="H290" s="17"/>
      <c r="I290" s="10"/>
      <c r="J290" s="10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</row>
    <row r="291" spans="1:22" s="5" customFormat="1" hidden="1">
      <c r="A291" s="14">
        <f t="shared" si="4"/>
        <v>290</v>
      </c>
      <c r="B291" s="15"/>
      <c r="C291" s="10"/>
      <c r="D291" s="15"/>
      <c r="E291" s="16"/>
      <c r="F291" s="16"/>
      <c r="G291" s="16"/>
      <c r="H291" s="17"/>
      <c r="I291" s="10"/>
      <c r="J291" s="10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</row>
    <row r="292" spans="1:22" s="5" customFormat="1" hidden="1">
      <c r="A292" s="14">
        <f t="shared" si="4"/>
        <v>291</v>
      </c>
      <c r="B292" s="15"/>
      <c r="C292" s="10"/>
      <c r="D292" s="15"/>
      <c r="E292" s="16"/>
      <c r="F292" s="16"/>
      <c r="G292" s="16"/>
      <c r="H292" s="17"/>
      <c r="I292" s="10"/>
      <c r="J292" s="10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</row>
    <row r="293" spans="1:22" s="5" customFormat="1" hidden="1">
      <c r="A293" s="14">
        <f t="shared" si="4"/>
        <v>292</v>
      </c>
      <c r="B293" s="15"/>
      <c r="C293" s="10"/>
      <c r="D293" s="15"/>
      <c r="E293" s="16"/>
      <c r="F293" s="16"/>
      <c r="G293" s="16"/>
      <c r="H293" s="17"/>
      <c r="I293" s="10"/>
      <c r="J293" s="10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</row>
    <row r="294" spans="1:22" s="5" customFormat="1" hidden="1">
      <c r="A294" s="14">
        <f t="shared" si="4"/>
        <v>293</v>
      </c>
      <c r="B294" s="15"/>
      <c r="C294" s="10"/>
      <c r="D294" s="15"/>
      <c r="E294" s="16"/>
      <c r="F294" s="16"/>
      <c r="G294" s="16"/>
      <c r="H294" s="17"/>
      <c r="I294" s="10"/>
      <c r="J294" s="10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</row>
    <row r="295" spans="1:22" s="5" customFormat="1" hidden="1">
      <c r="A295" s="14">
        <f t="shared" si="4"/>
        <v>294</v>
      </c>
      <c r="B295" s="15"/>
      <c r="C295" s="10"/>
      <c r="D295" s="15"/>
      <c r="E295" s="16"/>
      <c r="F295" s="16"/>
      <c r="G295" s="16"/>
      <c r="H295" s="17"/>
      <c r="I295" s="10"/>
      <c r="J295" s="10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</row>
    <row r="296" spans="1:22" s="5" customFormat="1" hidden="1">
      <c r="A296" s="14">
        <f t="shared" si="4"/>
        <v>295</v>
      </c>
      <c r="B296" s="15"/>
      <c r="C296" s="10"/>
      <c r="D296" s="15"/>
      <c r="E296" s="16"/>
      <c r="F296" s="16"/>
      <c r="G296" s="16"/>
      <c r="H296" s="17"/>
      <c r="I296" s="10"/>
      <c r="J296" s="10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</row>
    <row r="297" spans="1:22" s="5" customFormat="1" hidden="1">
      <c r="A297" s="14">
        <f t="shared" si="4"/>
        <v>296</v>
      </c>
      <c r="B297" s="15"/>
      <c r="C297" s="10"/>
      <c r="D297" s="15"/>
      <c r="E297" s="16"/>
      <c r="F297" s="16"/>
      <c r="G297" s="16"/>
      <c r="H297" s="17"/>
      <c r="I297" s="10"/>
      <c r="J297" s="10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</row>
    <row r="298" spans="1:22" s="5" customFormat="1" hidden="1">
      <c r="A298" s="14">
        <f t="shared" si="4"/>
        <v>297</v>
      </c>
      <c r="B298" s="15"/>
      <c r="C298" s="10"/>
      <c r="D298" s="15"/>
      <c r="E298" s="16"/>
      <c r="F298" s="16"/>
      <c r="G298" s="16"/>
      <c r="H298" s="17"/>
      <c r="I298" s="10"/>
      <c r="J298" s="10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</row>
    <row r="299" spans="1:22" s="5" customFormat="1" hidden="1">
      <c r="A299" s="14">
        <f t="shared" si="4"/>
        <v>298</v>
      </c>
      <c r="B299" s="15"/>
      <c r="C299" s="10"/>
      <c r="D299" s="15"/>
      <c r="E299" s="16"/>
      <c r="F299" s="16"/>
      <c r="G299" s="16"/>
      <c r="H299" s="17"/>
      <c r="I299" s="10"/>
      <c r="J299" s="10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</row>
    <row r="300" spans="1:22" s="5" customFormat="1" hidden="1">
      <c r="A300" s="14">
        <f t="shared" si="4"/>
        <v>299</v>
      </c>
      <c r="B300" s="15"/>
      <c r="C300" s="10"/>
      <c r="D300" s="15"/>
      <c r="E300" s="16"/>
      <c r="F300" s="16"/>
      <c r="G300" s="16"/>
      <c r="H300" s="17"/>
      <c r="I300" s="10"/>
      <c r="J300" s="10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</row>
    <row r="301" spans="1:22" s="5" customFormat="1" hidden="1">
      <c r="A301" s="14">
        <f t="shared" si="4"/>
        <v>300</v>
      </c>
      <c r="B301" s="15"/>
      <c r="C301" s="10"/>
      <c r="D301" s="15"/>
      <c r="E301" s="16"/>
      <c r="F301" s="16"/>
      <c r="G301" s="16"/>
      <c r="H301" s="17"/>
      <c r="I301" s="10"/>
      <c r="J301" s="10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</row>
    <row r="302" spans="1:22" s="5" customFormat="1" hidden="1">
      <c r="A302" s="14">
        <f t="shared" si="4"/>
        <v>301</v>
      </c>
      <c r="B302" s="15"/>
      <c r="C302" s="10"/>
      <c r="D302" s="15"/>
      <c r="E302" s="16"/>
      <c r="F302" s="16"/>
      <c r="G302" s="16"/>
      <c r="H302" s="17"/>
      <c r="I302" s="10"/>
      <c r="J302" s="10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</row>
    <row r="303" spans="1:22" s="5" customFormat="1" hidden="1">
      <c r="A303" s="14">
        <f t="shared" si="4"/>
        <v>302</v>
      </c>
      <c r="B303" s="15"/>
      <c r="C303" s="10"/>
      <c r="D303" s="15"/>
      <c r="E303" s="16"/>
      <c r="F303" s="16"/>
      <c r="G303" s="16"/>
      <c r="H303" s="17"/>
      <c r="I303" s="10"/>
      <c r="J303" s="10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</row>
    <row r="304" spans="1:22" s="5" customFormat="1" hidden="1">
      <c r="A304" s="14">
        <f t="shared" si="4"/>
        <v>303</v>
      </c>
      <c r="B304" s="15"/>
      <c r="C304" s="10"/>
      <c r="D304" s="15"/>
      <c r="E304" s="16"/>
      <c r="F304" s="16"/>
      <c r="G304" s="16"/>
      <c r="H304" s="17"/>
      <c r="I304" s="10"/>
      <c r="J304" s="10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</row>
    <row r="305" spans="1:22" s="5" customFormat="1" hidden="1">
      <c r="A305" s="14">
        <f t="shared" si="4"/>
        <v>304</v>
      </c>
      <c r="B305" s="15"/>
      <c r="C305" s="10"/>
      <c r="D305" s="15"/>
      <c r="E305" s="16"/>
      <c r="F305" s="16"/>
      <c r="G305" s="16"/>
      <c r="H305" s="17"/>
      <c r="I305" s="10"/>
      <c r="J305" s="10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</row>
    <row r="306" spans="1:22" s="5" customFormat="1" hidden="1">
      <c r="A306" s="14">
        <f t="shared" si="4"/>
        <v>305</v>
      </c>
      <c r="B306" s="15"/>
      <c r="C306" s="10"/>
      <c r="D306" s="15"/>
      <c r="E306" s="16"/>
      <c r="F306" s="16"/>
      <c r="G306" s="16"/>
      <c r="H306" s="17"/>
      <c r="I306" s="10"/>
      <c r="J306" s="10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</row>
    <row r="307" spans="1:22" s="5" customFormat="1" hidden="1">
      <c r="A307" s="14">
        <f t="shared" si="4"/>
        <v>306</v>
      </c>
      <c r="B307" s="15"/>
      <c r="C307" s="10"/>
      <c r="D307" s="15"/>
      <c r="E307" s="16"/>
      <c r="F307" s="16"/>
      <c r="G307" s="16"/>
      <c r="H307" s="17"/>
      <c r="I307" s="10"/>
      <c r="J307" s="10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</row>
    <row r="308" spans="1:22" s="5" customFormat="1" hidden="1">
      <c r="A308" s="14">
        <f t="shared" si="4"/>
        <v>307</v>
      </c>
      <c r="B308" s="15"/>
      <c r="C308" s="10"/>
      <c r="D308" s="15"/>
      <c r="E308" s="16"/>
      <c r="F308" s="16"/>
      <c r="G308" s="16"/>
      <c r="H308" s="17"/>
      <c r="I308" s="10"/>
      <c r="J308" s="10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</row>
    <row r="309" spans="1:22" s="5" customFormat="1" hidden="1">
      <c r="A309" s="14">
        <f t="shared" si="4"/>
        <v>308</v>
      </c>
      <c r="B309" s="15"/>
      <c r="C309" s="10"/>
      <c r="D309" s="15"/>
      <c r="E309" s="16"/>
      <c r="F309" s="16"/>
      <c r="G309" s="16"/>
      <c r="H309" s="17"/>
      <c r="I309" s="10"/>
      <c r="J309" s="10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</row>
    <row r="310" spans="1:22" s="5" customFormat="1" hidden="1">
      <c r="A310" s="14">
        <f t="shared" si="4"/>
        <v>309</v>
      </c>
      <c r="B310" s="15"/>
      <c r="C310" s="10"/>
      <c r="D310" s="15"/>
      <c r="E310" s="16"/>
      <c r="F310" s="16"/>
      <c r="G310" s="16"/>
      <c r="H310" s="17"/>
      <c r="I310" s="10"/>
      <c r="J310" s="10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</row>
    <row r="311" spans="1:22" s="5" customFormat="1" hidden="1">
      <c r="A311" s="14">
        <f t="shared" si="4"/>
        <v>310</v>
      </c>
      <c r="B311" s="15"/>
      <c r="C311" s="10"/>
      <c r="D311" s="15"/>
      <c r="E311" s="16"/>
      <c r="F311" s="16"/>
      <c r="G311" s="16"/>
      <c r="H311" s="17"/>
      <c r="I311" s="10"/>
      <c r="J311" s="10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</row>
    <row r="312" spans="1:22" s="5" customFormat="1" hidden="1">
      <c r="A312" s="14">
        <f t="shared" si="4"/>
        <v>311</v>
      </c>
      <c r="B312" s="15"/>
      <c r="C312" s="10"/>
      <c r="D312" s="15"/>
      <c r="E312" s="16"/>
      <c r="F312" s="16"/>
      <c r="G312" s="16"/>
      <c r="H312" s="17"/>
      <c r="I312" s="10"/>
      <c r="J312" s="10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</row>
    <row r="313" spans="1:22" s="5" customFormat="1" hidden="1">
      <c r="A313" s="14">
        <f t="shared" si="4"/>
        <v>312</v>
      </c>
      <c r="B313" s="15"/>
      <c r="C313" s="10"/>
      <c r="D313" s="15"/>
      <c r="E313" s="16"/>
      <c r="F313" s="16"/>
      <c r="G313" s="16"/>
      <c r="H313" s="17"/>
      <c r="I313" s="10"/>
      <c r="J313" s="10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</row>
    <row r="314" spans="1:22" s="5" customFormat="1" hidden="1">
      <c r="A314" s="14">
        <f t="shared" si="4"/>
        <v>313</v>
      </c>
      <c r="B314" s="15"/>
      <c r="C314" s="10"/>
      <c r="D314" s="15"/>
      <c r="E314" s="16"/>
      <c r="F314" s="16"/>
      <c r="G314" s="16"/>
      <c r="H314" s="17"/>
      <c r="I314" s="10"/>
      <c r="J314" s="10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</row>
    <row r="315" spans="1:22" s="5" customFormat="1" hidden="1">
      <c r="A315" s="14">
        <f t="shared" si="4"/>
        <v>314</v>
      </c>
      <c r="B315" s="15"/>
      <c r="C315" s="10"/>
      <c r="D315" s="15"/>
      <c r="E315" s="16"/>
      <c r="F315" s="16"/>
      <c r="G315" s="16"/>
      <c r="H315" s="17"/>
      <c r="I315" s="10"/>
      <c r="J315" s="10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</row>
    <row r="316" spans="1:22" s="5" customFormat="1" hidden="1">
      <c r="A316" s="14">
        <f t="shared" si="4"/>
        <v>315</v>
      </c>
      <c r="B316" s="15"/>
      <c r="C316" s="10"/>
      <c r="D316" s="15"/>
      <c r="E316" s="16"/>
      <c r="F316" s="16"/>
      <c r="G316" s="16"/>
      <c r="H316" s="17"/>
      <c r="I316" s="10"/>
      <c r="J316" s="10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</row>
    <row r="317" spans="1:22" s="5" customFormat="1" hidden="1">
      <c r="A317" s="14">
        <f t="shared" si="4"/>
        <v>316</v>
      </c>
      <c r="B317" s="15"/>
      <c r="C317" s="10"/>
      <c r="D317" s="15"/>
      <c r="E317" s="16"/>
      <c r="F317" s="16"/>
      <c r="G317" s="16"/>
      <c r="H317" s="17"/>
      <c r="I317" s="10"/>
      <c r="J317" s="10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</row>
    <row r="318" spans="1:22" s="5" customFormat="1" hidden="1">
      <c r="A318" s="14">
        <f t="shared" si="4"/>
        <v>317</v>
      </c>
      <c r="B318" s="15"/>
      <c r="C318" s="10"/>
      <c r="D318" s="15"/>
      <c r="E318" s="16"/>
      <c r="F318" s="16"/>
      <c r="G318" s="16"/>
      <c r="H318" s="17"/>
      <c r="I318" s="10"/>
      <c r="J318" s="10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</row>
    <row r="319" spans="1:22" s="5" customFormat="1" hidden="1">
      <c r="A319" s="14">
        <f t="shared" si="4"/>
        <v>318</v>
      </c>
      <c r="B319" s="15"/>
      <c r="C319" s="10"/>
      <c r="D319" s="15"/>
      <c r="E319" s="16"/>
      <c r="F319" s="16"/>
      <c r="G319" s="16"/>
      <c r="H319" s="17"/>
      <c r="I319" s="10"/>
      <c r="J319" s="10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</row>
    <row r="320" spans="1:22" s="5" customFormat="1" hidden="1">
      <c r="A320" s="14">
        <f t="shared" si="4"/>
        <v>319</v>
      </c>
      <c r="B320" s="15"/>
      <c r="C320" s="10"/>
      <c r="D320" s="15"/>
      <c r="E320" s="16"/>
      <c r="F320" s="16"/>
      <c r="G320" s="16"/>
      <c r="H320" s="17"/>
      <c r="I320" s="10"/>
      <c r="J320" s="10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</row>
    <row r="321" spans="1:22" s="5" customFormat="1" hidden="1">
      <c r="A321" s="14">
        <f t="shared" si="4"/>
        <v>320</v>
      </c>
      <c r="B321" s="15"/>
      <c r="C321" s="10"/>
      <c r="D321" s="15"/>
      <c r="E321" s="16"/>
      <c r="F321" s="16"/>
      <c r="G321" s="16"/>
      <c r="H321" s="17"/>
      <c r="I321" s="10"/>
      <c r="J321" s="10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</row>
    <row r="322" spans="1:22" s="5" customFormat="1" hidden="1">
      <c r="A322" s="14">
        <f t="shared" si="4"/>
        <v>321</v>
      </c>
      <c r="B322" s="15"/>
      <c r="C322" s="10"/>
      <c r="D322" s="15"/>
      <c r="E322" s="16"/>
      <c r="F322" s="16"/>
      <c r="G322" s="16"/>
      <c r="H322" s="17"/>
      <c r="I322" s="10"/>
      <c r="J322" s="10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</row>
    <row r="323" spans="1:22" s="5" customFormat="1" hidden="1">
      <c r="A323" s="14">
        <f t="shared" si="4"/>
        <v>322</v>
      </c>
      <c r="B323" s="15"/>
      <c r="C323" s="10"/>
      <c r="D323" s="15"/>
      <c r="E323" s="16"/>
      <c r="F323" s="16"/>
      <c r="G323" s="16"/>
      <c r="H323" s="17"/>
      <c r="I323" s="10"/>
      <c r="J323" s="10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</row>
    <row r="324" spans="1:22" s="5" customFormat="1" hidden="1">
      <c r="A324" s="14">
        <f t="shared" si="4"/>
        <v>323</v>
      </c>
      <c r="B324" s="15"/>
      <c r="C324" s="10"/>
      <c r="D324" s="15"/>
      <c r="E324" s="16"/>
      <c r="F324" s="16"/>
      <c r="G324" s="16"/>
      <c r="H324" s="17"/>
      <c r="I324" s="10"/>
      <c r="J324" s="10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</row>
    <row r="325" spans="1:22" s="5" customFormat="1" hidden="1">
      <c r="A325" s="14">
        <f t="shared" ref="A325:A349" si="5">+A324+1</f>
        <v>324</v>
      </c>
      <c r="B325" s="15"/>
      <c r="C325" s="10"/>
      <c r="D325" s="15"/>
      <c r="E325" s="16"/>
      <c r="F325" s="16"/>
      <c r="G325" s="16"/>
      <c r="H325" s="17"/>
      <c r="I325" s="10"/>
      <c r="J325" s="10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</row>
    <row r="326" spans="1:22" s="5" customFormat="1" hidden="1">
      <c r="A326" s="14">
        <f t="shared" si="5"/>
        <v>325</v>
      </c>
      <c r="B326" s="15"/>
      <c r="C326" s="10"/>
      <c r="D326" s="15"/>
      <c r="E326" s="16"/>
      <c r="F326" s="16"/>
      <c r="G326" s="16"/>
      <c r="H326" s="17"/>
      <c r="I326" s="10"/>
      <c r="J326" s="10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</row>
    <row r="327" spans="1:22" s="5" customFormat="1" hidden="1">
      <c r="A327" s="14">
        <f t="shared" si="5"/>
        <v>326</v>
      </c>
      <c r="B327" s="15"/>
      <c r="C327" s="10"/>
      <c r="D327" s="15"/>
      <c r="E327" s="16"/>
      <c r="F327" s="16"/>
      <c r="G327" s="16"/>
      <c r="H327" s="17"/>
      <c r="I327" s="10"/>
      <c r="J327" s="10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</row>
    <row r="328" spans="1:22" s="5" customFormat="1" hidden="1">
      <c r="A328" s="14">
        <f t="shared" si="5"/>
        <v>327</v>
      </c>
      <c r="B328" s="15"/>
      <c r="C328" s="10"/>
      <c r="D328" s="15"/>
      <c r="E328" s="16"/>
      <c r="F328" s="16"/>
      <c r="G328" s="16"/>
      <c r="H328" s="17"/>
      <c r="I328" s="10"/>
      <c r="J328" s="10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</row>
    <row r="329" spans="1:22" s="5" customFormat="1" hidden="1">
      <c r="A329" s="14">
        <f t="shared" si="5"/>
        <v>328</v>
      </c>
      <c r="B329" s="15"/>
      <c r="C329" s="10"/>
      <c r="D329" s="15"/>
      <c r="E329" s="16"/>
      <c r="F329" s="16"/>
      <c r="G329" s="16"/>
      <c r="H329" s="17"/>
      <c r="I329" s="10"/>
      <c r="J329" s="10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</row>
    <row r="330" spans="1:22" s="5" customFormat="1" hidden="1">
      <c r="A330" s="14">
        <f t="shared" si="5"/>
        <v>329</v>
      </c>
      <c r="B330" s="15"/>
      <c r="C330" s="10"/>
      <c r="D330" s="15"/>
      <c r="E330" s="16"/>
      <c r="F330" s="16"/>
      <c r="G330" s="16"/>
      <c r="H330" s="17"/>
      <c r="I330" s="10"/>
      <c r="J330" s="10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</row>
    <row r="331" spans="1:22" s="5" customFormat="1" hidden="1">
      <c r="A331" s="14">
        <f t="shared" si="5"/>
        <v>330</v>
      </c>
      <c r="B331" s="15"/>
      <c r="C331" s="10"/>
      <c r="D331" s="15"/>
      <c r="E331" s="16"/>
      <c r="F331" s="16"/>
      <c r="G331" s="16"/>
      <c r="H331" s="17"/>
      <c r="I331" s="10"/>
      <c r="J331" s="10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</row>
    <row r="332" spans="1:22" s="5" customFormat="1" hidden="1">
      <c r="A332" s="14">
        <f t="shared" si="5"/>
        <v>331</v>
      </c>
      <c r="B332" s="15"/>
      <c r="C332" s="10"/>
      <c r="D332" s="15"/>
      <c r="E332" s="16"/>
      <c r="F332" s="16"/>
      <c r="G332" s="16"/>
      <c r="H332" s="17"/>
      <c r="I332" s="10"/>
      <c r="J332" s="10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</row>
    <row r="333" spans="1:22" s="5" customFormat="1" hidden="1">
      <c r="A333" s="14">
        <f t="shared" si="5"/>
        <v>332</v>
      </c>
      <c r="B333" s="15"/>
      <c r="C333" s="10"/>
      <c r="D333" s="15"/>
      <c r="E333" s="16"/>
      <c r="F333" s="16"/>
      <c r="G333" s="16"/>
      <c r="H333" s="17"/>
      <c r="I333" s="10"/>
      <c r="J333" s="10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</row>
    <row r="334" spans="1:22" s="5" customFormat="1" hidden="1">
      <c r="A334" s="14">
        <f t="shared" si="5"/>
        <v>333</v>
      </c>
      <c r="B334" s="15"/>
      <c r="C334" s="10"/>
      <c r="D334" s="15"/>
      <c r="E334" s="16"/>
      <c r="F334" s="16"/>
      <c r="G334" s="16"/>
      <c r="H334" s="17"/>
      <c r="I334" s="10"/>
      <c r="J334" s="10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</row>
    <row r="335" spans="1:22" s="5" customFormat="1" hidden="1">
      <c r="A335" s="14">
        <f t="shared" si="5"/>
        <v>334</v>
      </c>
      <c r="B335" s="15"/>
      <c r="C335" s="10"/>
      <c r="D335" s="15"/>
      <c r="E335" s="16"/>
      <c r="F335" s="16"/>
      <c r="G335" s="16"/>
      <c r="H335" s="17"/>
      <c r="I335" s="10"/>
      <c r="J335" s="10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</row>
    <row r="336" spans="1:22" s="5" customFormat="1" hidden="1">
      <c r="A336" s="14">
        <f t="shared" si="5"/>
        <v>335</v>
      </c>
      <c r="B336" s="15"/>
      <c r="C336" s="10"/>
      <c r="D336" s="15"/>
      <c r="E336" s="16"/>
      <c r="F336" s="16"/>
      <c r="G336" s="16"/>
      <c r="H336" s="17"/>
      <c r="I336" s="10"/>
      <c r="J336" s="10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</row>
    <row r="337" spans="1:22" s="5" customFormat="1" hidden="1">
      <c r="A337" s="14">
        <f t="shared" si="5"/>
        <v>336</v>
      </c>
      <c r="B337" s="15"/>
      <c r="C337" s="10"/>
      <c r="D337" s="15"/>
      <c r="E337" s="16"/>
      <c r="F337" s="16"/>
      <c r="G337" s="16"/>
      <c r="H337" s="17"/>
      <c r="I337" s="10"/>
      <c r="J337" s="10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</row>
    <row r="338" spans="1:22" s="5" customFormat="1" hidden="1">
      <c r="A338" s="14">
        <f t="shared" si="5"/>
        <v>337</v>
      </c>
      <c r="B338" s="15"/>
      <c r="C338" s="10"/>
      <c r="D338" s="15"/>
      <c r="E338" s="16"/>
      <c r="F338" s="16"/>
      <c r="G338" s="16"/>
      <c r="H338" s="17"/>
      <c r="I338" s="10"/>
      <c r="J338" s="10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</row>
    <row r="339" spans="1:22" s="5" customFormat="1" hidden="1">
      <c r="A339" s="14">
        <f t="shared" si="5"/>
        <v>338</v>
      </c>
      <c r="B339" s="15"/>
      <c r="C339" s="10"/>
      <c r="D339" s="15"/>
      <c r="E339" s="16"/>
      <c r="F339" s="16"/>
      <c r="G339" s="16"/>
      <c r="H339" s="17"/>
      <c r="I339" s="10"/>
      <c r="J339" s="10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</row>
    <row r="340" spans="1:22" s="5" customFormat="1" hidden="1">
      <c r="A340" s="14">
        <f t="shared" si="5"/>
        <v>339</v>
      </c>
      <c r="B340" s="15"/>
      <c r="C340" s="10"/>
      <c r="D340" s="15"/>
      <c r="E340" s="16"/>
      <c r="F340" s="16"/>
      <c r="G340" s="16"/>
      <c r="H340" s="17"/>
      <c r="I340" s="10"/>
      <c r="J340" s="10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</row>
    <row r="341" spans="1:22" s="5" customFormat="1" hidden="1">
      <c r="A341" s="14">
        <f t="shared" si="5"/>
        <v>340</v>
      </c>
      <c r="B341" s="15"/>
      <c r="C341" s="10"/>
      <c r="D341" s="15"/>
      <c r="E341" s="16"/>
      <c r="F341" s="16"/>
      <c r="G341" s="16"/>
      <c r="H341" s="17"/>
      <c r="I341" s="10"/>
      <c r="J341" s="10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</row>
    <row r="342" spans="1:22" s="5" customFormat="1" hidden="1">
      <c r="A342" s="14">
        <f t="shared" si="5"/>
        <v>341</v>
      </c>
      <c r="B342" s="15"/>
      <c r="C342" s="10"/>
      <c r="D342" s="15"/>
      <c r="E342" s="16"/>
      <c r="F342" s="16"/>
      <c r="G342" s="16"/>
      <c r="H342" s="17"/>
      <c r="I342" s="10"/>
      <c r="J342" s="10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</row>
    <row r="343" spans="1:22" s="5" customFormat="1" hidden="1">
      <c r="A343" s="14">
        <f t="shared" si="5"/>
        <v>342</v>
      </c>
      <c r="B343" s="15"/>
      <c r="C343" s="10"/>
      <c r="D343" s="15"/>
      <c r="E343" s="16"/>
      <c r="F343" s="16"/>
      <c r="G343" s="16"/>
      <c r="H343" s="17"/>
      <c r="I343" s="10"/>
      <c r="J343" s="10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</row>
    <row r="344" spans="1:22" s="5" customFormat="1" hidden="1">
      <c r="A344" s="14">
        <f t="shared" si="5"/>
        <v>343</v>
      </c>
      <c r="B344" s="15"/>
      <c r="C344" s="10"/>
      <c r="D344" s="15"/>
      <c r="E344" s="16"/>
      <c r="F344" s="16"/>
      <c r="G344" s="16"/>
      <c r="H344" s="17"/>
      <c r="I344" s="10"/>
      <c r="J344" s="10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</row>
    <row r="345" spans="1:22" s="5" customFormat="1" hidden="1">
      <c r="A345" s="14">
        <f t="shared" si="5"/>
        <v>344</v>
      </c>
      <c r="B345" s="15"/>
      <c r="C345" s="10"/>
      <c r="D345" s="15"/>
      <c r="E345" s="16"/>
      <c r="F345" s="16"/>
      <c r="G345" s="16"/>
      <c r="H345" s="17"/>
      <c r="I345" s="10"/>
      <c r="J345" s="10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</row>
    <row r="346" spans="1:22" s="5" customFormat="1" hidden="1">
      <c r="A346" s="14">
        <f t="shared" si="5"/>
        <v>345</v>
      </c>
      <c r="B346" s="15"/>
      <c r="C346" s="10"/>
      <c r="D346" s="15"/>
      <c r="E346" s="16"/>
      <c r="F346" s="16"/>
      <c r="G346" s="16"/>
      <c r="H346" s="17"/>
      <c r="I346" s="10"/>
      <c r="J346" s="10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</row>
    <row r="347" spans="1:22" s="5" customFormat="1" hidden="1">
      <c r="A347" s="14">
        <f t="shared" si="5"/>
        <v>346</v>
      </c>
      <c r="B347" s="15"/>
      <c r="C347" s="10"/>
      <c r="D347" s="15"/>
      <c r="E347" s="16"/>
      <c r="F347" s="16"/>
      <c r="G347" s="16"/>
      <c r="H347" s="17"/>
      <c r="I347" s="10"/>
      <c r="J347" s="10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</row>
    <row r="348" spans="1:22" s="5" customFormat="1" hidden="1">
      <c r="A348" s="14">
        <f t="shared" si="5"/>
        <v>347</v>
      </c>
      <c r="B348" s="15"/>
      <c r="C348" s="10"/>
      <c r="D348" s="15"/>
      <c r="E348" s="16"/>
      <c r="F348" s="16"/>
      <c r="G348" s="16"/>
      <c r="H348" s="17"/>
      <c r="I348" s="10"/>
      <c r="J348" s="10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</row>
    <row r="349" spans="1:22" s="5" customFormat="1" hidden="1">
      <c r="A349" s="14">
        <f t="shared" si="5"/>
        <v>348</v>
      </c>
      <c r="B349" s="15"/>
      <c r="C349" s="10"/>
      <c r="D349" s="15"/>
      <c r="E349" s="16"/>
      <c r="F349" s="16"/>
      <c r="G349" s="16"/>
      <c r="H349" s="17"/>
      <c r="I349" s="10"/>
      <c r="J349" s="10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</row>
    <row r="350" spans="1:22" s="4" customFormat="1" hidden="1">
      <c r="A350" s="8"/>
      <c r="B350" s="11"/>
      <c r="C350" s="13"/>
      <c r="D350" s="7"/>
      <c r="E350" s="6"/>
      <c r="F350" s="6"/>
      <c r="G350" s="12">
        <f>SUM(G2:G349)</f>
        <v>253</v>
      </c>
      <c r="H350" s="12">
        <f>SUM(H2:H349)</f>
        <v>22213.540000000005</v>
      </c>
      <c r="I350" s="13"/>
      <c r="J350" s="13"/>
      <c r="L350" s="9"/>
    </row>
    <row r="351" spans="1:22">
      <c r="E351" s="101"/>
      <c r="F351" s="101"/>
      <c r="H351" s="99"/>
    </row>
  </sheetData>
  <autoFilter ref="A1:V350">
    <filterColumn colId="9">
      <filters>
        <filter val="Y"/>
      </filters>
    </filterColumn>
  </autoFilter>
  <dataConsolidate/>
  <dataValidations count="4">
    <dataValidation type="list" showInputMessage="1" showErrorMessage="1" errorTitle="Invalid Entry" error="Please choose from the Drop Box" sqref="E2:E349">
      <formula1>"MTU,PERKINS,VOLVO,MAXFORCE"</formula1>
    </dataValidation>
    <dataValidation type="list" showInputMessage="1" showErrorMessage="1" errorTitle="Invalid Entry" error="Please select from the Drop Box" sqref="F2:F65 F84:F349">
      <formula1>"125,140,160,180,200,250,275,300,320,350,360,380,400,450,500,590,600,630,650,750,1010,1250,1500,1650,1850,2000,2250,2500,2750,3000"</formula1>
    </dataValidation>
    <dataValidation type="list" showInputMessage="1" showErrorMessage="1" errorTitle="Invalid Entry" error="Please Select From the Drop Box" sqref="J2:J65 J84:J349">
      <formula1>"R,Y,G"</formula1>
    </dataValidation>
    <dataValidation type="list" showInputMessage="1" showErrorMessage="1" errorTitle="Invalid Entry" error="Please Select From the Drop Box" sqref="I2:I65 I84:I349">
      <formula1>"R,P"</formula1>
    </dataValidation>
  </dataValidations>
  <pageMargins left="0.16" right="0.42" top="0.48" bottom="0.4" header="0.23" footer="0.2"/>
  <pageSetup paperSize="8" scale="92" orientation="landscape" r:id="rId1"/>
  <headerFooter alignWithMargins="0"/>
  <rowBreaks count="1" manualBreakCount="1">
    <brk id="109" max="20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A3" sqref="A3:H11"/>
    </sheetView>
  </sheetViews>
  <sheetFormatPr defaultRowHeight="12.75"/>
  <cols>
    <col min="1" max="1" width="9.5703125" style="19" bestFit="1" customWidth="1" collapsed="1"/>
    <col min="2" max="2" width="35.42578125" style="19" customWidth="1" collapsed="1"/>
    <col min="3" max="3" width="10.85546875" style="19" bestFit="1" customWidth="1" collapsed="1"/>
    <col min="4" max="4" width="12.28515625" style="19" customWidth="1" collapsed="1"/>
    <col min="5" max="5" width="8.5703125" style="19" customWidth="1" collapsed="1"/>
    <col min="6" max="6" width="10" style="19" customWidth="1" collapsed="1"/>
    <col min="7" max="7" width="12" style="19" customWidth="1" collapsed="1"/>
    <col min="8" max="8" width="15.85546875" style="19" customWidth="1" collapsed="1"/>
    <col min="9" max="16384" width="9.140625" style="19" collapsed="1"/>
  </cols>
  <sheetData>
    <row r="1" spans="1:8" ht="13.5" thickBot="1">
      <c r="A1" s="321" t="s">
        <v>217</v>
      </c>
      <c r="B1" s="321"/>
      <c r="C1" s="321"/>
      <c r="D1" s="321"/>
      <c r="E1" s="321"/>
      <c r="F1" s="321"/>
      <c r="G1" s="321"/>
      <c r="H1" s="321"/>
    </row>
    <row r="2" spans="1:8" s="249" customFormat="1">
      <c r="A2" s="304" t="s">
        <v>360</v>
      </c>
      <c r="B2" s="304" t="s">
        <v>361</v>
      </c>
      <c r="C2" s="304" t="s">
        <v>362</v>
      </c>
      <c r="D2" s="304" t="s">
        <v>358</v>
      </c>
      <c r="E2" s="304" t="s">
        <v>363</v>
      </c>
      <c r="F2" s="304" t="s">
        <v>345</v>
      </c>
      <c r="G2" s="304" t="s">
        <v>364</v>
      </c>
      <c r="H2" s="304" t="s">
        <v>365</v>
      </c>
    </row>
    <row r="3" spans="1:8" ht="15.75" customHeight="1">
      <c r="A3" s="294">
        <v>1</v>
      </c>
      <c r="B3" s="180" t="s">
        <v>395</v>
      </c>
      <c r="C3" s="294" t="s">
        <v>48</v>
      </c>
      <c r="D3" s="294"/>
      <c r="E3" s="294"/>
      <c r="F3" s="125"/>
      <c r="G3" s="306">
        <f>36.85247/1.055+1.95</f>
        <v>36.881251184834127</v>
      </c>
      <c r="H3" s="125">
        <v>10</v>
      </c>
    </row>
    <row r="4" spans="1:8">
      <c r="A4" s="294">
        <v>2</v>
      </c>
      <c r="B4" s="180" t="s">
        <v>396</v>
      </c>
      <c r="C4" s="294" t="s">
        <v>48</v>
      </c>
      <c r="D4" s="294"/>
      <c r="E4" s="294"/>
      <c r="F4" s="125"/>
      <c r="G4" s="306">
        <v>50.013809999999999</v>
      </c>
      <c r="H4" s="125">
        <v>10</v>
      </c>
    </row>
    <row r="5" spans="1:8">
      <c r="A5" s="294">
        <v>4</v>
      </c>
      <c r="B5" s="70" t="s">
        <v>397</v>
      </c>
      <c r="C5" s="294" t="s">
        <v>48</v>
      </c>
      <c r="D5" s="294">
        <v>1250</v>
      </c>
      <c r="E5" s="294">
        <v>3</v>
      </c>
      <c r="F5" s="305">
        <f>370.3832/1.055+6.4</f>
        <v>357.4741232227488</v>
      </c>
      <c r="G5" s="305"/>
      <c r="H5" s="305"/>
    </row>
    <row r="6" spans="1:8">
      <c r="A6" s="294">
        <v>5</v>
      </c>
      <c r="B6" s="70" t="s">
        <v>397</v>
      </c>
      <c r="C6" s="294" t="s">
        <v>48</v>
      </c>
      <c r="D6" s="294">
        <v>1010</v>
      </c>
      <c r="E6" s="294">
        <v>1</v>
      </c>
      <c r="F6" s="181"/>
      <c r="G6" s="306"/>
      <c r="H6" s="125"/>
    </row>
    <row r="7" spans="1:8">
      <c r="A7" s="294">
        <v>6</v>
      </c>
      <c r="B7" s="70" t="s">
        <v>397</v>
      </c>
      <c r="C7" s="294" t="s">
        <v>48</v>
      </c>
      <c r="D7" s="294">
        <v>750</v>
      </c>
      <c r="E7" s="294">
        <v>1</v>
      </c>
      <c r="F7" s="181"/>
      <c r="G7" s="306"/>
      <c r="H7" s="125"/>
    </row>
    <row r="8" spans="1:8">
      <c r="A8" s="294">
        <v>7</v>
      </c>
      <c r="B8" s="180" t="s">
        <v>398</v>
      </c>
      <c r="C8" s="294" t="s">
        <v>48</v>
      </c>
      <c r="D8" s="294"/>
      <c r="E8" s="294"/>
      <c r="F8" s="250"/>
      <c r="G8" s="306">
        <f>21.59993/1.055+1.5</f>
        <v>21.973867298578202</v>
      </c>
      <c r="H8" s="296"/>
    </row>
    <row r="9" spans="1:8">
      <c r="A9" s="125">
        <v>8</v>
      </c>
      <c r="B9" s="180" t="s">
        <v>399</v>
      </c>
      <c r="C9" s="294" t="s">
        <v>48</v>
      </c>
      <c r="D9" s="294">
        <v>750</v>
      </c>
      <c r="E9" s="294">
        <v>1</v>
      </c>
      <c r="F9" s="294">
        <f>49.84875/1.055+0.85</f>
        <v>48.100000000000009</v>
      </c>
      <c r="G9" s="294"/>
      <c r="H9" s="296"/>
    </row>
    <row r="10" spans="1:8">
      <c r="A10" s="251"/>
      <c r="B10" s="252" t="s">
        <v>2</v>
      </c>
      <c r="C10" s="251"/>
      <c r="D10" s="251"/>
      <c r="E10" s="252">
        <f>SUM(E3:E9)</f>
        <v>6</v>
      </c>
      <c r="F10" s="309">
        <f>SUM(F3:F9)</f>
        <v>405.57412322274882</v>
      </c>
      <c r="G10" s="309">
        <f>SUM(G3:G9)</f>
        <v>108.86892848341233</v>
      </c>
      <c r="H10" s="251"/>
    </row>
    <row r="11" spans="1:8">
      <c r="F11" s="322">
        <f>+SUM(F10:G10)</f>
        <v>514.44305170616121</v>
      </c>
      <c r="G11" s="323"/>
    </row>
  </sheetData>
  <mergeCells count="2">
    <mergeCell ref="A1:H1"/>
    <mergeCell ref="F11:G1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"/>
  <dimension ref="A1:F10"/>
  <sheetViews>
    <sheetView workbookViewId="0">
      <selection sqref="A1:AA2"/>
    </sheetView>
  </sheetViews>
  <sheetFormatPr defaultRowHeight="12.75"/>
  <cols>
    <col min="1" max="1" width="17" style="19" bestFit="1" customWidth="1" collapsed="1"/>
    <col min="2" max="2" width="8.140625" style="19" bestFit="1" customWidth="1" collapsed="1"/>
    <col min="3" max="3" width="7.5703125" style="19" bestFit="1" customWidth="1" collapsed="1"/>
    <col min="4" max="4" width="5.5703125" style="19" bestFit="1" customWidth="1" collapsed="1"/>
    <col min="5" max="5" width="7.5703125" style="19" bestFit="1" customWidth="1" collapsed="1"/>
    <col min="6" max="6" width="6.85546875" style="19" bestFit="1" customWidth="1" collapsed="1"/>
    <col min="7" max="16384" width="9.140625" style="19" collapsed="1"/>
  </cols>
  <sheetData>
    <row r="1" spans="1:6">
      <c r="A1" s="405" t="s">
        <v>160</v>
      </c>
      <c r="B1" s="162" t="s">
        <v>170</v>
      </c>
      <c r="C1" s="162" t="s">
        <v>171</v>
      </c>
      <c r="D1" s="162" t="s">
        <v>173</v>
      </c>
      <c r="E1" s="162" t="s">
        <v>171</v>
      </c>
      <c r="F1" s="162" t="s">
        <v>31</v>
      </c>
    </row>
    <row r="2" spans="1:6">
      <c r="A2" s="406"/>
      <c r="B2" s="248" t="s">
        <v>330</v>
      </c>
      <c r="C2" s="248" t="s">
        <v>331</v>
      </c>
      <c r="D2" s="248" t="s">
        <v>174</v>
      </c>
      <c r="E2" s="248" t="s">
        <v>172</v>
      </c>
      <c r="F2" s="248" t="s">
        <v>175</v>
      </c>
    </row>
    <row r="3" spans="1:6">
      <c r="A3" s="163"/>
      <c r="B3" s="163"/>
      <c r="C3" s="163"/>
      <c r="D3" s="163"/>
      <c r="E3" s="163"/>
      <c r="F3" s="163"/>
    </row>
    <row r="4" spans="1:6">
      <c r="A4" s="161" t="s">
        <v>332</v>
      </c>
      <c r="B4" s="117">
        <v>49</v>
      </c>
      <c r="C4" s="117">
        <v>47</v>
      </c>
      <c r="D4" s="116">
        <f>C4/B4*100</f>
        <v>95.918367346938766</v>
      </c>
      <c r="E4" s="117">
        <v>50</v>
      </c>
      <c r="F4" s="116">
        <f>(C4-E4)/E4*100</f>
        <v>-6</v>
      </c>
    </row>
    <row r="5" spans="1:6">
      <c r="A5" s="161" t="s">
        <v>333</v>
      </c>
      <c r="B5" s="117">
        <v>8500</v>
      </c>
      <c r="C5" s="117">
        <v>6888</v>
      </c>
      <c r="D5" s="116">
        <f>C5/B5*100</f>
        <v>81.035294117647055</v>
      </c>
      <c r="E5" s="117">
        <v>9002</v>
      </c>
      <c r="F5" s="116">
        <f>(C5-E5)/E5*100</f>
        <v>-23.48367029548989</v>
      </c>
    </row>
    <row r="6" spans="1:6">
      <c r="A6" s="163"/>
      <c r="B6" s="164"/>
      <c r="C6" s="164"/>
      <c r="D6" s="164"/>
      <c r="E6" s="164"/>
      <c r="F6" s="164"/>
    </row>
    <row r="7" spans="1:6">
      <c r="A7" s="161" t="s">
        <v>334</v>
      </c>
      <c r="B7" s="117">
        <v>33</v>
      </c>
      <c r="C7" s="117">
        <v>30</v>
      </c>
      <c r="D7" s="116">
        <f>C7/B7*100</f>
        <v>90.909090909090907</v>
      </c>
      <c r="E7" s="117">
        <v>16</v>
      </c>
      <c r="F7" s="116">
        <f>(C7-E7)/E7*100</f>
        <v>87.5</v>
      </c>
    </row>
    <row r="8" spans="1:6">
      <c r="A8" s="161" t="s">
        <v>335</v>
      </c>
      <c r="B8" s="117">
        <v>6500</v>
      </c>
      <c r="C8" s="117">
        <v>5850</v>
      </c>
      <c r="D8" s="116">
        <f>C8/B8*100</f>
        <v>90</v>
      </c>
      <c r="E8" s="117">
        <v>2640</v>
      </c>
      <c r="F8" s="227">
        <f>(C8-E8)/E8*100</f>
        <v>121.59090909090908</v>
      </c>
    </row>
    <row r="9" spans="1:6">
      <c r="A9" s="163"/>
      <c r="B9" s="164"/>
      <c r="C9" s="164"/>
      <c r="D9" s="164"/>
      <c r="E9" s="164"/>
      <c r="F9" s="164"/>
    </row>
    <row r="10" spans="1:6">
      <c r="A10" s="117"/>
      <c r="B10" s="117"/>
      <c r="C10" s="117"/>
      <c r="D10" s="117"/>
      <c r="E10" s="117"/>
      <c r="F10" s="117"/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9" filterMode="1"/>
  <dimension ref="A1:AG2527"/>
  <sheetViews>
    <sheetView zoomScaleSheetLayoutView="100" workbookViewId="0">
      <pane xSplit="5" ySplit="1" topLeftCell="F184" activePane="bottomRight" state="frozen"/>
      <selection activeCell="Q89" sqref="Q89"/>
      <selection pane="topRight" activeCell="Q89" sqref="Q89"/>
      <selection pane="bottomLeft" activeCell="Q89" sqref="Q89"/>
      <selection pane="bottomRight" activeCell="D1" sqref="D1:D1048576"/>
    </sheetView>
  </sheetViews>
  <sheetFormatPr defaultRowHeight="12.75"/>
  <cols>
    <col min="1" max="2" width="12.28515625" style="293" customWidth="1" collapsed="1"/>
    <col min="3" max="3" width="15.5703125" style="293" customWidth="1" collapsed="1"/>
    <col min="4" max="4" width="12.28515625" style="293" customWidth="1" collapsed="1"/>
    <col min="5" max="5" width="36.5703125" style="96" customWidth="1" collapsed="1"/>
    <col min="6" max="6" width="26.7109375" style="293" customWidth="1" collapsed="1"/>
    <col min="7" max="7" width="15.28515625" style="293" bestFit="1" customWidth="1" collapsed="1"/>
    <col min="8" max="9" width="16.85546875" style="293" customWidth="1" collapsed="1"/>
    <col min="10" max="10" width="16.140625" style="293" customWidth="1" collapsed="1"/>
    <col min="11" max="11" width="11" style="293" customWidth="1" collapsed="1"/>
    <col min="12" max="12" width="9" style="293" customWidth="1" collapsed="1"/>
    <col min="13" max="15" width="14" style="293" customWidth="1" collapsed="1"/>
    <col min="16" max="16" width="14" style="303" customWidth="1" collapsed="1"/>
    <col min="17" max="17" width="16.140625" style="293" customWidth="1" collapsed="1"/>
    <col min="18" max="18" width="12.28515625" style="293" customWidth="1" collapsed="1"/>
    <col min="19" max="19" width="14" style="293" customWidth="1" collapsed="1"/>
    <col min="20" max="20" width="23.85546875" style="293" bestFit="1" customWidth="1" collapsed="1"/>
    <col min="21" max="21" width="13.28515625" style="70" bestFit="1" customWidth="1" collapsed="1"/>
    <col min="22" max="22" width="43.7109375" style="152" customWidth="1" collapsed="1"/>
    <col min="23" max="23" width="28.7109375" style="293" bestFit="1" customWidth="1" collapsed="1"/>
    <col min="24" max="24" width="18.7109375" style="152" bestFit="1" customWidth="1" collapsed="1"/>
    <col min="25" max="25" width="13" style="152" customWidth="1" collapsed="1"/>
    <col min="26" max="26" width="14.5703125" style="152" customWidth="1" collapsed="1"/>
    <col min="27" max="27" width="14.85546875" style="152" customWidth="1" collapsed="1"/>
    <col min="28" max="28" width="12.28515625" style="152" customWidth="1" collapsed="1"/>
    <col min="29" max="29" width="14.42578125" style="152" bestFit="1" customWidth="1" collapsed="1"/>
    <col min="30" max="30" width="19" style="152" bestFit="1" customWidth="1" collapsed="1"/>
    <col min="31" max="31" width="13" style="152" customWidth="1" collapsed="1"/>
    <col min="32" max="32" width="14.42578125" style="152" bestFit="1" customWidth="1" collapsed="1"/>
    <col min="33" max="16384" width="9.140625" style="127" collapsed="1"/>
  </cols>
  <sheetData>
    <row r="1" spans="1:33" s="302" customFormat="1" ht="51">
      <c r="A1" s="86" t="s">
        <v>187</v>
      </c>
      <c r="B1" s="86" t="s">
        <v>188</v>
      </c>
      <c r="C1" s="86" t="s">
        <v>84</v>
      </c>
      <c r="D1" s="86" t="s">
        <v>83</v>
      </c>
      <c r="E1" s="151" t="s">
        <v>82</v>
      </c>
      <c r="F1" s="86" t="s">
        <v>70</v>
      </c>
      <c r="G1" s="86" t="s">
        <v>176</v>
      </c>
      <c r="H1" s="86" t="s">
        <v>22</v>
      </c>
      <c r="I1" s="86" t="s">
        <v>189</v>
      </c>
      <c r="J1" s="86" t="s">
        <v>154</v>
      </c>
      <c r="K1" s="86" t="s">
        <v>21</v>
      </c>
      <c r="L1" s="86" t="s">
        <v>10</v>
      </c>
      <c r="M1" s="86" t="s">
        <v>177</v>
      </c>
      <c r="N1" s="86" t="s">
        <v>190</v>
      </c>
      <c r="O1" s="86" t="s">
        <v>185</v>
      </c>
      <c r="P1" s="86" t="s">
        <v>186</v>
      </c>
      <c r="Q1" s="86" t="s">
        <v>19</v>
      </c>
      <c r="R1" s="86" t="s">
        <v>205</v>
      </c>
      <c r="S1" s="86" t="s">
        <v>191</v>
      </c>
      <c r="T1" s="86" t="s">
        <v>155</v>
      </c>
      <c r="U1" s="86" t="s">
        <v>148</v>
      </c>
      <c r="V1" s="86" t="s">
        <v>20</v>
      </c>
      <c r="W1" s="86" t="s">
        <v>76</v>
      </c>
      <c r="X1" s="86" t="s">
        <v>9</v>
      </c>
      <c r="Y1" s="86" t="s">
        <v>71</v>
      </c>
      <c r="Z1" s="86" t="s">
        <v>77</v>
      </c>
      <c r="AA1" s="86" t="s">
        <v>72</v>
      </c>
      <c r="AB1" s="86" t="s">
        <v>78</v>
      </c>
      <c r="AC1" s="86" t="s">
        <v>77</v>
      </c>
      <c r="AD1" s="86" t="s">
        <v>79</v>
      </c>
      <c r="AE1" s="86" t="s">
        <v>80</v>
      </c>
      <c r="AF1" s="86" t="s">
        <v>77</v>
      </c>
    </row>
    <row r="2" spans="1:33">
      <c r="A2" t="s">
        <v>453</v>
      </c>
      <c r="B2" t="s">
        <v>208</v>
      </c>
      <c r="C2" t="s">
        <v>454</v>
      </c>
      <c r="D2" t="s">
        <v>455</v>
      </c>
      <c r="E2" t="s">
        <v>166</v>
      </c>
      <c r="F2" t="s">
        <v>456</v>
      </c>
      <c r="G2" t="s">
        <v>214</v>
      </c>
      <c r="H2" t="s">
        <v>89</v>
      </c>
      <c r="I2"/>
      <c r="J2" t="s">
        <v>166</v>
      </c>
      <c r="K2" t="s">
        <v>457</v>
      </c>
      <c r="L2" t="s">
        <v>458</v>
      </c>
      <c r="M2" t="s">
        <v>459</v>
      </c>
      <c r="N2" t="s">
        <v>460</v>
      </c>
      <c r="O2" t="s">
        <v>461</v>
      </c>
      <c r="P2" t="s">
        <v>462</v>
      </c>
      <c r="Q2" t="s">
        <v>215</v>
      </c>
      <c r="R2" t="s">
        <v>454</v>
      </c>
      <c r="S2" t="s">
        <v>463</v>
      </c>
      <c r="T2" t="s">
        <v>88</v>
      </c>
      <c r="U2" t="s">
        <v>464</v>
      </c>
      <c r="V2" t="s">
        <v>455</v>
      </c>
      <c r="W2" t="s">
        <v>383</v>
      </c>
      <c r="X2"/>
      <c r="Y2"/>
      <c r="Z2"/>
      <c r="AA2"/>
      <c r="AB2"/>
      <c r="AC2"/>
      <c r="AD2"/>
      <c r="AE2"/>
      <c r="AF2"/>
      <c r="AG2">
        <v>35</v>
      </c>
    </row>
    <row r="3" spans="1:33">
      <c r="A3" t="s">
        <v>465</v>
      </c>
      <c r="B3" t="s">
        <v>208</v>
      </c>
      <c r="C3" t="s">
        <v>454</v>
      </c>
      <c r="D3" t="s">
        <v>455</v>
      </c>
      <c r="E3" t="s">
        <v>166</v>
      </c>
      <c r="F3" t="s">
        <v>456</v>
      </c>
      <c r="G3" t="s">
        <v>214</v>
      </c>
      <c r="H3" t="s">
        <v>48</v>
      </c>
      <c r="I3"/>
      <c r="J3" t="s">
        <v>166</v>
      </c>
      <c r="K3" t="s">
        <v>466</v>
      </c>
      <c r="L3" t="s">
        <v>458</v>
      </c>
      <c r="M3" t="s">
        <v>459</v>
      </c>
      <c r="N3" t="s">
        <v>460</v>
      </c>
      <c r="O3" t="s">
        <v>461</v>
      </c>
      <c r="P3" t="s">
        <v>462</v>
      </c>
      <c r="Q3" t="s">
        <v>215</v>
      </c>
      <c r="R3" t="s">
        <v>454</v>
      </c>
      <c r="S3" t="s">
        <v>456</v>
      </c>
      <c r="T3" t="s">
        <v>86</v>
      </c>
      <c r="U3" t="s">
        <v>464</v>
      </c>
      <c r="V3" t="s">
        <v>455</v>
      </c>
      <c r="W3" t="s">
        <v>383</v>
      </c>
      <c r="X3" t="s">
        <v>467</v>
      </c>
      <c r="Y3" t="s">
        <v>468</v>
      </c>
      <c r="Z3" t="s">
        <v>469</v>
      </c>
      <c r="AA3" t="s">
        <v>470</v>
      </c>
      <c r="AB3" t="s">
        <v>471</v>
      </c>
      <c r="AC3" t="s">
        <v>471</v>
      </c>
      <c r="AD3" t="s">
        <v>472</v>
      </c>
      <c r="AE3" t="s">
        <v>472</v>
      </c>
      <c r="AF3" t="s">
        <v>473</v>
      </c>
      <c r="AG3">
        <v>45</v>
      </c>
    </row>
    <row r="4" spans="1:33">
      <c r="A4" t="s">
        <v>474</v>
      </c>
      <c r="B4" t="s">
        <v>208</v>
      </c>
      <c r="C4" t="s">
        <v>475</v>
      </c>
      <c r="D4" t="s">
        <v>455</v>
      </c>
      <c r="E4" t="s">
        <v>166</v>
      </c>
      <c r="F4" t="s">
        <v>456</v>
      </c>
      <c r="G4" t="s">
        <v>476</v>
      </c>
      <c r="H4" t="s">
        <v>89</v>
      </c>
      <c r="I4"/>
      <c r="J4" t="s">
        <v>166</v>
      </c>
      <c r="K4" t="s">
        <v>457</v>
      </c>
      <c r="L4" t="s">
        <v>477</v>
      </c>
      <c r="M4" t="s">
        <v>459</v>
      </c>
      <c r="N4" t="s">
        <v>460</v>
      </c>
      <c r="O4" t="s">
        <v>461</v>
      </c>
      <c r="P4" t="s">
        <v>462</v>
      </c>
      <c r="Q4" t="s">
        <v>384</v>
      </c>
      <c r="R4" t="s">
        <v>475</v>
      </c>
      <c r="S4" t="s">
        <v>478</v>
      </c>
      <c r="T4" t="s">
        <v>86</v>
      </c>
      <c r="U4" t="s">
        <v>479</v>
      </c>
      <c r="V4" t="s">
        <v>455</v>
      </c>
      <c r="W4" t="s">
        <v>480</v>
      </c>
      <c r="X4" t="s">
        <v>481</v>
      </c>
      <c r="Y4" t="s">
        <v>482</v>
      </c>
      <c r="Z4" t="s">
        <v>483</v>
      </c>
      <c r="AA4" t="s">
        <v>484</v>
      </c>
      <c r="AB4" t="s">
        <v>483</v>
      </c>
      <c r="AC4" t="s">
        <v>483</v>
      </c>
      <c r="AD4" t="s">
        <v>485</v>
      </c>
      <c r="AE4" t="s">
        <v>485</v>
      </c>
      <c r="AF4" t="s">
        <v>486</v>
      </c>
      <c r="AG4">
        <v>51</v>
      </c>
    </row>
    <row r="5" spans="1:33">
      <c r="A5" t="s">
        <v>487</v>
      </c>
      <c r="B5" t="s">
        <v>208</v>
      </c>
      <c r="C5" t="s">
        <v>488</v>
      </c>
      <c r="D5" t="s">
        <v>455</v>
      </c>
      <c r="E5" t="s">
        <v>166</v>
      </c>
      <c r="F5" t="s">
        <v>489</v>
      </c>
      <c r="G5" t="s">
        <v>476</v>
      </c>
      <c r="H5" t="s">
        <v>89</v>
      </c>
      <c r="I5" t="s">
        <v>456</v>
      </c>
      <c r="J5" t="s">
        <v>166</v>
      </c>
      <c r="K5" t="s">
        <v>490</v>
      </c>
      <c r="L5" t="s">
        <v>477</v>
      </c>
      <c r="M5" t="s">
        <v>491</v>
      </c>
      <c r="N5" t="s">
        <v>491</v>
      </c>
      <c r="O5" t="s">
        <v>491</v>
      </c>
      <c r="P5" t="s">
        <v>491</v>
      </c>
      <c r="Q5" t="s">
        <v>492</v>
      </c>
      <c r="R5" t="s">
        <v>488</v>
      </c>
      <c r="S5" t="s">
        <v>478</v>
      </c>
      <c r="T5" t="s">
        <v>86</v>
      </c>
      <c r="U5" t="s">
        <v>479</v>
      </c>
      <c r="V5" t="s">
        <v>455</v>
      </c>
      <c r="W5" t="s">
        <v>242</v>
      </c>
      <c r="X5" t="s">
        <v>493</v>
      </c>
      <c r="Y5" t="s">
        <v>493</v>
      </c>
      <c r="Z5" t="s">
        <v>494</v>
      </c>
      <c r="AA5" t="s">
        <v>493</v>
      </c>
      <c r="AB5" t="s">
        <v>483</v>
      </c>
      <c r="AC5" t="s">
        <v>483</v>
      </c>
      <c r="AD5" t="s">
        <v>495</v>
      </c>
      <c r="AE5" t="s">
        <v>495</v>
      </c>
      <c r="AF5" t="s">
        <v>493</v>
      </c>
      <c r="AG5">
        <v>52</v>
      </c>
    </row>
    <row r="6" spans="1:33">
      <c r="A6" t="s">
        <v>487</v>
      </c>
      <c r="B6" t="s">
        <v>208</v>
      </c>
      <c r="C6" t="s">
        <v>488</v>
      </c>
      <c r="D6" t="s">
        <v>455</v>
      </c>
      <c r="E6" t="s">
        <v>166</v>
      </c>
      <c r="F6" t="s">
        <v>489</v>
      </c>
      <c r="G6" t="s">
        <v>476</v>
      </c>
      <c r="H6" t="s">
        <v>89</v>
      </c>
      <c r="I6" t="s">
        <v>456</v>
      </c>
      <c r="J6" t="s">
        <v>166</v>
      </c>
      <c r="K6" t="s">
        <v>496</v>
      </c>
      <c r="L6" t="s">
        <v>477</v>
      </c>
      <c r="M6" t="s">
        <v>491</v>
      </c>
      <c r="N6" t="s">
        <v>491</v>
      </c>
      <c r="O6" t="s">
        <v>491</v>
      </c>
      <c r="P6" t="s">
        <v>491</v>
      </c>
      <c r="Q6" t="s">
        <v>492</v>
      </c>
      <c r="R6" t="s">
        <v>488</v>
      </c>
      <c r="S6" t="s">
        <v>478</v>
      </c>
      <c r="T6" t="s">
        <v>86</v>
      </c>
      <c r="U6" t="s">
        <v>479</v>
      </c>
      <c r="V6" t="s">
        <v>455</v>
      </c>
      <c r="W6" t="s">
        <v>242</v>
      </c>
      <c r="X6" t="s">
        <v>493</v>
      </c>
      <c r="Y6" t="s">
        <v>493</v>
      </c>
      <c r="Z6" t="s">
        <v>494</v>
      </c>
      <c r="AA6" t="s">
        <v>493</v>
      </c>
      <c r="AB6" t="s">
        <v>483</v>
      </c>
      <c r="AC6" t="s">
        <v>483</v>
      </c>
      <c r="AD6" t="s">
        <v>495</v>
      </c>
      <c r="AE6" t="s">
        <v>495</v>
      </c>
      <c r="AF6" t="s">
        <v>493</v>
      </c>
      <c r="AG6">
        <v>53</v>
      </c>
    </row>
    <row r="7" spans="1:33">
      <c r="A7" t="s">
        <v>497</v>
      </c>
      <c r="B7" t="s">
        <v>208</v>
      </c>
      <c r="C7" t="s">
        <v>488</v>
      </c>
      <c r="D7" t="s">
        <v>455</v>
      </c>
      <c r="E7" t="s">
        <v>166</v>
      </c>
      <c r="F7" t="s">
        <v>498</v>
      </c>
      <c r="G7" t="s">
        <v>476</v>
      </c>
      <c r="H7" t="s">
        <v>89</v>
      </c>
      <c r="I7" t="s">
        <v>499</v>
      </c>
      <c r="J7" t="s">
        <v>166</v>
      </c>
      <c r="K7" t="s">
        <v>500</v>
      </c>
      <c r="L7" t="s">
        <v>477</v>
      </c>
      <c r="M7" t="s">
        <v>491</v>
      </c>
      <c r="N7" t="s">
        <v>491</v>
      </c>
      <c r="O7" t="s">
        <v>491</v>
      </c>
      <c r="P7" t="s">
        <v>491</v>
      </c>
      <c r="Q7" t="s">
        <v>492</v>
      </c>
      <c r="R7" t="s">
        <v>488</v>
      </c>
      <c r="S7" t="s">
        <v>501</v>
      </c>
      <c r="T7" t="s">
        <v>86</v>
      </c>
      <c r="U7" t="s">
        <v>479</v>
      </c>
      <c r="V7" t="s">
        <v>455</v>
      </c>
      <c r="W7" t="s">
        <v>383</v>
      </c>
      <c r="X7"/>
      <c r="Y7"/>
      <c r="Z7"/>
      <c r="AA7"/>
      <c r="AB7"/>
      <c r="AC7"/>
      <c r="AD7"/>
      <c r="AE7"/>
      <c r="AF7"/>
      <c r="AG7">
        <v>54</v>
      </c>
    </row>
    <row r="8" spans="1:33">
      <c r="A8" t="s">
        <v>502</v>
      </c>
      <c r="B8" t="s">
        <v>208</v>
      </c>
      <c r="C8" t="s">
        <v>503</v>
      </c>
      <c r="D8" t="s">
        <v>455</v>
      </c>
      <c r="E8" t="s">
        <v>166</v>
      </c>
      <c r="F8" t="s">
        <v>504</v>
      </c>
      <c r="G8" t="s">
        <v>476</v>
      </c>
      <c r="H8" t="s">
        <v>89</v>
      </c>
      <c r="I8" t="s">
        <v>505</v>
      </c>
      <c r="J8" t="s">
        <v>166</v>
      </c>
      <c r="K8" t="s">
        <v>506</v>
      </c>
      <c r="L8" t="s">
        <v>507</v>
      </c>
      <c r="M8" t="s">
        <v>508</v>
      </c>
      <c r="N8" t="s">
        <v>460</v>
      </c>
      <c r="O8" t="s">
        <v>461</v>
      </c>
      <c r="P8" t="s">
        <v>462</v>
      </c>
      <c r="Q8" t="s">
        <v>384</v>
      </c>
      <c r="R8" t="s">
        <v>503</v>
      </c>
      <c r="S8" t="s">
        <v>509</v>
      </c>
      <c r="T8" t="s">
        <v>87</v>
      </c>
      <c r="U8" t="s">
        <v>479</v>
      </c>
      <c r="V8" t="s">
        <v>455</v>
      </c>
      <c r="W8" t="s">
        <v>240</v>
      </c>
      <c r="X8" t="s">
        <v>510</v>
      </c>
      <c r="Y8" t="s">
        <v>511</v>
      </c>
      <c r="Z8" t="s">
        <v>512</v>
      </c>
      <c r="AA8" t="s">
        <v>513</v>
      </c>
      <c r="AB8" t="s">
        <v>514</v>
      </c>
      <c r="AC8" t="s">
        <v>514</v>
      </c>
      <c r="AD8" t="s">
        <v>514</v>
      </c>
      <c r="AE8" t="s">
        <v>514</v>
      </c>
      <c r="AF8" t="s">
        <v>515</v>
      </c>
      <c r="AG8">
        <v>55</v>
      </c>
    </row>
    <row r="9" spans="1:33">
      <c r="A9" t="s">
        <v>516</v>
      </c>
      <c r="B9" t="s">
        <v>208</v>
      </c>
      <c r="C9" t="s">
        <v>517</v>
      </c>
      <c r="D9" t="s">
        <v>455</v>
      </c>
      <c r="E9" t="s">
        <v>166</v>
      </c>
      <c r="F9" t="s">
        <v>518</v>
      </c>
      <c r="G9" t="s">
        <v>476</v>
      </c>
      <c r="H9" t="s">
        <v>89</v>
      </c>
      <c r="I9" t="s">
        <v>519</v>
      </c>
      <c r="J9" t="s">
        <v>166</v>
      </c>
      <c r="K9" t="s">
        <v>506</v>
      </c>
      <c r="L9" t="s">
        <v>477</v>
      </c>
      <c r="M9" t="s">
        <v>459</v>
      </c>
      <c r="N9" t="s">
        <v>460</v>
      </c>
      <c r="O9" t="s">
        <v>461</v>
      </c>
      <c r="P9" t="s">
        <v>462</v>
      </c>
      <c r="Q9" t="s">
        <v>215</v>
      </c>
      <c r="R9" t="s">
        <v>517</v>
      </c>
      <c r="S9" t="s">
        <v>501</v>
      </c>
      <c r="T9" t="s">
        <v>86</v>
      </c>
      <c r="U9" t="s">
        <v>479</v>
      </c>
      <c r="V9" t="s">
        <v>455</v>
      </c>
      <c r="W9" t="s">
        <v>520</v>
      </c>
      <c r="X9" t="s">
        <v>455</v>
      </c>
      <c r="Y9" t="s">
        <v>455</v>
      </c>
      <c r="Z9" t="s">
        <v>455</v>
      </c>
      <c r="AA9" t="s">
        <v>455</v>
      </c>
      <c r="AB9" t="s">
        <v>455</v>
      </c>
      <c r="AC9" t="s">
        <v>455</v>
      </c>
      <c r="AD9" t="s">
        <v>512</v>
      </c>
      <c r="AE9" t="s">
        <v>512</v>
      </c>
      <c r="AF9" t="s">
        <v>455</v>
      </c>
      <c r="AG9">
        <v>56</v>
      </c>
    </row>
    <row r="10" spans="1:33">
      <c r="A10" t="s">
        <v>516</v>
      </c>
      <c r="B10" t="s">
        <v>208</v>
      </c>
      <c r="C10" t="s">
        <v>517</v>
      </c>
      <c r="D10" t="s">
        <v>455</v>
      </c>
      <c r="E10" t="s">
        <v>166</v>
      </c>
      <c r="F10" t="s">
        <v>518</v>
      </c>
      <c r="G10" t="s">
        <v>476</v>
      </c>
      <c r="H10" t="s">
        <v>89</v>
      </c>
      <c r="I10" t="s">
        <v>521</v>
      </c>
      <c r="J10" t="s">
        <v>166</v>
      </c>
      <c r="K10" t="s">
        <v>490</v>
      </c>
      <c r="L10" t="s">
        <v>477</v>
      </c>
      <c r="M10" t="s">
        <v>459</v>
      </c>
      <c r="N10" t="s">
        <v>460</v>
      </c>
      <c r="O10" t="s">
        <v>461</v>
      </c>
      <c r="P10" t="s">
        <v>462</v>
      </c>
      <c r="Q10" t="s">
        <v>215</v>
      </c>
      <c r="R10" t="s">
        <v>517</v>
      </c>
      <c r="S10" t="s">
        <v>501</v>
      </c>
      <c r="T10" t="s">
        <v>86</v>
      </c>
      <c r="U10" t="s">
        <v>479</v>
      </c>
      <c r="V10" t="s">
        <v>455</v>
      </c>
      <c r="W10" t="s">
        <v>520</v>
      </c>
      <c r="X10" t="s">
        <v>455</v>
      </c>
      <c r="Y10" t="s">
        <v>455</v>
      </c>
      <c r="Z10" t="s">
        <v>455</v>
      </c>
      <c r="AA10" t="s">
        <v>455</v>
      </c>
      <c r="AB10" t="s">
        <v>455</v>
      </c>
      <c r="AC10" t="s">
        <v>455</v>
      </c>
      <c r="AD10" t="s">
        <v>512</v>
      </c>
      <c r="AE10" t="s">
        <v>512</v>
      </c>
      <c r="AF10" t="s">
        <v>455</v>
      </c>
      <c r="AG10">
        <v>57</v>
      </c>
    </row>
    <row r="11" spans="1:33">
      <c r="A11" t="s">
        <v>522</v>
      </c>
      <c r="B11" t="s">
        <v>208</v>
      </c>
      <c r="C11" t="s">
        <v>523</v>
      </c>
      <c r="D11" t="s">
        <v>455</v>
      </c>
      <c r="E11" t="s">
        <v>166</v>
      </c>
      <c r="F11" t="s">
        <v>456</v>
      </c>
      <c r="G11" t="s">
        <v>476</v>
      </c>
      <c r="H11" t="s">
        <v>89</v>
      </c>
      <c r="I11" t="s">
        <v>524</v>
      </c>
      <c r="J11" t="s">
        <v>166</v>
      </c>
      <c r="K11" t="s">
        <v>525</v>
      </c>
      <c r="L11" t="s">
        <v>507</v>
      </c>
      <c r="M11" t="s">
        <v>491</v>
      </c>
      <c r="N11" t="s">
        <v>491</v>
      </c>
      <c r="O11" t="s">
        <v>491</v>
      </c>
      <c r="P11" t="s">
        <v>491</v>
      </c>
      <c r="Q11" t="s">
        <v>492</v>
      </c>
      <c r="R11" t="s">
        <v>523</v>
      </c>
      <c r="S11" t="s">
        <v>478</v>
      </c>
      <c r="T11" t="s">
        <v>86</v>
      </c>
      <c r="U11" t="s">
        <v>479</v>
      </c>
      <c r="V11" t="s">
        <v>455</v>
      </c>
      <c r="W11" t="s">
        <v>383</v>
      </c>
      <c r="X11"/>
      <c r="Y11"/>
      <c r="Z11"/>
      <c r="AA11"/>
      <c r="AB11"/>
      <c r="AC11"/>
      <c r="AD11"/>
      <c r="AE11"/>
      <c r="AF11"/>
      <c r="AG11">
        <v>58</v>
      </c>
    </row>
    <row r="12" spans="1:33">
      <c r="A12" t="s">
        <v>522</v>
      </c>
      <c r="B12" t="s">
        <v>208</v>
      </c>
      <c r="C12" t="s">
        <v>523</v>
      </c>
      <c r="D12" t="s">
        <v>455</v>
      </c>
      <c r="E12" t="s">
        <v>166</v>
      </c>
      <c r="F12" t="s">
        <v>456</v>
      </c>
      <c r="G12" t="s">
        <v>476</v>
      </c>
      <c r="H12" t="s">
        <v>89</v>
      </c>
      <c r="I12" t="s">
        <v>526</v>
      </c>
      <c r="J12" t="s">
        <v>166</v>
      </c>
      <c r="K12" t="s">
        <v>457</v>
      </c>
      <c r="L12" t="s">
        <v>477</v>
      </c>
      <c r="M12" t="s">
        <v>491</v>
      </c>
      <c r="N12" t="s">
        <v>491</v>
      </c>
      <c r="O12" t="s">
        <v>491</v>
      </c>
      <c r="P12" t="s">
        <v>491</v>
      </c>
      <c r="Q12" t="s">
        <v>492</v>
      </c>
      <c r="R12" t="s">
        <v>523</v>
      </c>
      <c r="S12" t="s">
        <v>478</v>
      </c>
      <c r="T12" t="s">
        <v>86</v>
      </c>
      <c r="U12" t="s">
        <v>479</v>
      </c>
      <c r="V12" t="s">
        <v>455</v>
      </c>
      <c r="W12" t="s">
        <v>383</v>
      </c>
      <c r="X12"/>
      <c r="Y12"/>
      <c r="Z12"/>
      <c r="AA12"/>
      <c r="AB12"/>
      <c r="AC12"/>
      <c r="AD12"/>
      <c r="AE12"/>
      <c r="AF12"/>
      <c r="AG12">
        <v>59</v>
      </c>
    </row>
    <row r="13" spans="1:33">
      <c r="A13" t="s">
        <v>522</v>
      </c>
      <c r="B13" t="s">
        <v>208</v>
      </c>
      <c r="C13" t="s">
        <v>523</v>
      </c>
      <c r="D13" t="s">
        <v>455</v>
      </c>
      <c r="E13" t="s">
        <v>166</v>
      </c>
      <c r="F13" t="s">
        <v>456</v>
      </c>
      <c r="G13" t="s">
        <v>476</v>
      </c>
      <c r="H13" t="s">
        <v>48</v>
      </c>
      <c r="I13" t="s">
        <v>527</v>
      </c>
      <c r="J13" t="s">
        <v>166</v>
      </c>
      <c r="K13" t="s">
        <v>466</v>
      </c>
      <c r="L13" t="s">
        <v>477</v>
      </c>
      <c r="M13" t="s">
        <v>491</v>
      </c>
      <c r="N13" t="s">
        <v>491</v>
      </c>
      <c r="O13" t="s">
        <v>491</v>
      </c>
      <c r="P13" t="s">
        <v>491</v>
      </c>
      <c r="Q13" t="s">
        <v>492</v>
      </c>
      <c r="R13" t="s">
        <v>523</v>
      </c>
      <c r="S13" t="s">
        <v>478</v>
      </c>
      <c r="T13" t="s">
        <v>86</v>
      </c>
      <c r="U13" t="s">
        <v>479</v>
      </c>
      <c r="V13" t="s">
        <v>455</v>
      </c>
      <c r="W13" t="s">
        <v>383</v>
      </c>
      <c r="X13"/>
      <c r="Y13"/>
      <c r="Z13"/>
      <c r="AA13"/>
      <c r="AB13"/>
      <c r="AC13"/>
      <c r="AD13"/>
      <c r="AE13"/>
      <c r="AF13"/>
      <c r="AG13">
        <v>60</v>
      </c>
    </row>
    <row r="14" spans="1:33">
      <c r="A14" t="s">
        <v>528</v>
      </c>
      <c r="B14" t="s">
        <v>208</v>
      </c>
      <c r="C14" t="s">
        <v>523</v>
      </c>
      <c r="D14" t="s">
        <v>455</v>
      </c>
      <c r="E14" t="s">
        <v>166</v>
      </c>
      <c r="F14" t="s">
        <v>501</v>
      </c>
      <c r="G14" t="s">
        <v>476</v>
      </c>
      <c r="H14" t="s">
        <v>89</v>
      </c>
      <c r="I14" t="s">
        <v>524</v>
      </c>
      <c r="J14" t="s">
        <v>166</v>
      </c>
      <c r="K14" t="s">
        <v>525</v>
      </c>
      <c r="L14" t="s">
        <v>458</v>
      </c>
      <c r="M14" t="s">
        <v>491</v>
      </c>
      <c r="N14" t="s">
        <v>491</v>
      </c>
      <c r="O14" t="s">
        <v>491</v>
      </c>
      <c r="P14" t="s">
        <v>491</v>
      </c>
      <c r="Q14" t="s">
        <v>492</v>
      </c>
      <c r="R14" t="s">
        <v>523</v>
      </c>
      <c r="S14" t="s">
        <v>478</v>
      </c>
      <c r="T14" t="s">
        <v>86</v>
      </c>
      <c r="U14" t="s">
        <v>479</v>
      </c>
      <c r="V14" t="s">
        <v>455</v>
      </c>
      <c r="W14" t="s">
        <v>480</v>
      </c>
      <c r="X14" t="s">
        <v>529</v>
      </c>
      <c r="Y14" t="s">
        <v>530</v>
      </c>
      <c r="Z14" t="s">
        <v>531</v>
      </c>
      <c r="AA14" t="s">
        <v>532</v>
      </c>
      <c r="AB14" t="s">
        <v>533</v>
      </c>
      <c r="AC14" t="s">
        <v>533</v>
      </c>
      <c r="AD14" t="s">
        <v>534</v>
      </c>
      <c r="AE14" t="s">
        <v>534</v>
      </c>
      <c r="AF14" t="s">
        <v>535</v>
      </c>
      <c r="AG14">
        <v>62</v>
      </c>
    </row>
    <row r="15" spans="1:33">
      <c r="A15" t="s">
        <v>536</v>
      </c>
      <c r="B15" t="s">
        <v>208</v>
      </c>
      <c r="C15" t="s">
        <v>523</v>
      </c>
      <c r="D15" t="s">
        <v>455</v>
      </c>
      <c r="E15" t="s">
        <v>166</v>
      </c>
      <c r="F15" t="s">
        <v>456</v>
      </c>
      <c r="G15" t="s">
        <v>476</v>
      </c>
      <c r="H15" t="s">
        <v>89</v>
      </c>
      <c r="I15" t="s">
        <v>526</v>
      </c>
      <c r="J15" t="s">
        <v>166</v>
      </c>
      <c r="K15" t="s">
        <v>457</v>
      </c>
      <c r="L15" t="s">
        <v>537</v>
      </c>
      <c r="M15" t="s">
        <v>491</v>
      </c>
      <c r="N15" t="s">
        <v>491</v>
      </c>
      <c r="O15" t="s">
        <v>491</v>
      </c>
      <c r="P15" t="s">
        <v>491</v>
      </c>
      <c r="Q15" t="s">
        <v>492</v>
      </c>
      <c r="R15" t="s">
        <v>523</v>
      </c>
      <c r="S15" t="s">
        <v>478</v>
      </c>
      <c r="T15" t="s">
        <v>86</v>
      </c>
      <c r="U15" t="s">
        <v>479</v>
      </c>
      <c r="V15" t="s">
        <v>455</v>
      </c>
      <c r="W15" t="s">
        <v>538</v>
      </c>
      <c r="X15" t="s">
        <v>529</v>
      </c>
      <c r="Y15" t="s">
        <v>530</v>
      </c>
      <c r="Z15" t="s">
        <v>531</v>
      </c>
      <c r="AA15" t="s">
        <v>539</v>
      </c>
      <c r="AB15" t="s">
        <v>540</v>
      </c>
      <c r="AC15" t="s">
        <v>540</v>
      </c>
      <c r="AD15" t="s">
        <v>541</v>
      </c>
      <c r="AE15" t="s">
        <v>541</v>
      </c>
      <c r="AF15" t="s">
        <v>542</v>
      </c>
      <c r="AG15">
        <v>63</v>
      </c>
    </row>
    <row r="16" spans="1:33">
      <c r="A16" t="s">
        <v>536</v>
      </c>
      <c r="B16" t="s">
        <v>208</v>
      </c>
      <c r="C16" t="s">
        <v>523</v>
      </c>
      <c r="D16" t="s">
        <v>455</v>
      </c>
      <c r="E16" t="s">
        <v>166</v>
      </c>
      <c r="F16" t="s">
        <v>456</v>
      </c>
      <c r="G16" t="s">
        <v>476</v>
      </c>
      <c r="H16" t="s">
        <v>89</v>
      </c>
      <c r="I16" t="s">
        <v>524</v>
      </c>
      <c r="J16" t="s">
        <v>166</v>
      </c>
      <c r="K16" t="s">
        <v>525</v>
      </c>
      <c r="L16" t="s">
        <v>543</v>
      </c>
      <c r="M16" t="s">
        <v>491</v>
      </c>
      <c r="N16" t="s">
        <v>491</v>
      </c>
      <c r="O16" t="s">
        <v>491</v>
      </c>
      <c r="P16" t="s">
        <v>491</v>
      </c>
      <c r="Q16" t="s">
        <v>492</v>
      </c>
      <c r="R16" t="s">
        <v>523</v>
      </c>
      <c r="S16" t="s">
        <v>478</v>
      </c>
      <c r="T16" t="s">
        <v>86</v>
      </c>
      <c r="U16" t="s">
        <v>479</v>
      </c>
      <c r="V16" t="s">
        <v>455</v>
      </c>
      <c r="W16" t="s">
        <v>538</v>
      </c>
      <c r="X16" t="s">
        <v>529</v>
      </c>
      <c r="Y16" t="s">
        <v>530</v>
      </c>
      <c r="Z16" t="s">
        <v>531</v>
      </c>
      <c r="AA16" t="s">
        <v>539</v>
      </c>
      <c r="AB16" t="s">
        <v>540</v>
      </c>
      <c r="AC16" t="s">
        <v>540</v>
      </c>
      <c r="AD16" t="s">
        <v>541</v>
      </c>
      <c r="AE16" t="s">
        <v>541</v>
      </c>
      <c r="AF16" t="s">
        <v>542</v>
      </c>
      <c r="AG16">
        <v>64</v>
      </c>
    </row>
    <row r="17" spans="1:33">
      <c r="A17" t="s">
        <v>544</v>
      </c>
      <c r="B17" t="s">
        <v>208</v>
      </c>
      <c r="C17" t="s">
        <v>523</v>
      </c>
      <c r="D17" t="s">
        <v>455</v>
      </c>
      <c r="E17" t="s">
        <v>166</v>
      </c>
      <c r="F17" t="s">
        <v>545</v>
      </c>
      <c r="G17" t="s">
        <v>476</v>
      </c>
      <c r="H17" t="s">
        <v>89</v>
      </c>
      <c r="I17" t="s">
        <v>526</v>
      </c>
      <c r="J17" t="s">
        <v>166</v>
      </c>
      <c r="K17" t="s">
        <v>457</v>
      </c>
      <c r="L17" t="s">
        <v>458</v>
      </c>
      <c r="M17" t="s">
        <v>491</v>
      </c>
      <c r="N17" t="s">
        <v>491</v>
      </c>
      <c r="O17" t="s">
        <v>491</v>
      </c>
      <c r="P17" t="s">
        <v>491</v>
      </c>
      <c r="Q17" t="s">
        <v>492</v>
      </c>
      <c r="R17" t="s">
        <v>523</v>
      </c>
      <c r="S17" t="s">
        <v>478</v>
      </c>
      <c r="T17" t="s">
        <v>86</v>
      </c>
      <c r="U17" t="s">
        <v>479</v>
      </c>
      <c r="V17" t="s">
        <v>455</v>
      </c>
      <c r="W17" t="s">
        <v>240</v>
      </c>
      <c r="X17" t="s">
        <v>529</v>
      </c>
      <c r="Y17" t="s">
        <v>530</v>
      </c>
      <c r="Z17" t="s">
        <v>531</v>
      </c>
      <c r="AA17" t="s">
        <v>539</v>
      </c>
      <c r="AB17" t="s">
        <v>540</v>
      </c>
      <c r="AC17" t="s">
        <v>540</v>
      </c>
      <c r="AD17" t="s">
        <v>546</v>
      </c>
      <c r="AE17" t="s">
        <v>546</v>
      </c>
      <c r="AF17" t="s">
        <v>542</v>
      </c>
      <c r="AG17">
        <v>65</v>
      </c>
    </row>
    <row r="18" spans="1:33">
      <c r="A18" t="s">
        <v>547</v>
      </c>
      <c r="B18" t="s">
        <v>208</v>
      </c>
      <c r="C18" t="s">
        <v>523</v>
      </c>
      <c r="D18" t="s">
        <v>455</v>
      </c>
      <c r="E18" t="s">
        <v>166</v>
      </c>
      <c r="F18" t="s">
        <v>548</v>
      </c>
      <c r="G18" t="s">
        <v>476</v>
      </c>
      <c r="H18" t="s">
        <v>89</v>
      </c>
      <c r="I18" t="s">
        <v>524</v>
      </c>
      <c r="J18" t="s">
        <v>166</v>
      </c>
      <c r="K18" t="s">
        <v>525</v>
      </c>
      <c r="L18" t="s">
        <v>537</v>
      </c>
      <c r="M18" t="s">
        <v>491</v>
      </c>
      <c r="N18" t="s">
        <v>491</v>
      </c>
      <c r="O18" t="s">
        <v>491</v>
      </c>
      <c r="P18" t="s">
        <v>491</v>
      </c>
      <c r="Q18" t="s">
        <v>492</v>
      </c>
      <c r="R18" t="s">
        <v>523</v>
      </c>
      <c r="S18" t="s">
        <v>478</v>
      </c>
      <c r="T18" t="s">
        <v>86</v>
      </c>
      <c r="U18" t="s">
        <v>479</v>
      </c>
      <c r="V18" t="s">
        <v>455</v>
      </c>
      <c r="W18" t="s">
        <v>520</v>
      </c>
      <c r="X18" t="s">
        <v>529</v>
      </c>
      <c r="Y18" t="s">
        <v>530</v>
      </c>
      <c r="Z18" t="s">
        <v>531</v>
      </c>
      <c r="AA18" t="s">
        <v>539</v>
      </c>
      <c r="AB18" t="s">
        <v>540</v>
      </c>
      <c r="AC18" t="s">
        <v>540</v>
      </c>
      <c r="AD18" t="s">
        <v>514</v>
      </c>
      <c r="AE18" t="s">
        <v>514</v>
      </c>
      <c r="AF18" t="s">
        <v>542</v>
      </c>
      <c r="AG18">
        <v>66</v>
      </c>
    </row>
    <row r="19" spans="1:33">
      <c r="A19" t="s">
        <v>547</v>
      </c>
      <c r="B19" t="s">
        <v>208</v>
      </c>
      <c r="C19" t="s">
        <v>523</v>
      </c>
      <c r="D19" t="s">
        <v>455</v>
      </c>
      <c r="E19" t="s">
        <v>166</v>
      </c>
      <c r="F19" t="s">
        <v>548</v>
      </c>
      <c r="G19" t="s">
        <v>476</v>
      </c>
      <c r="H19" t="s">
        <v>89</v>
      </c>
      <c r="I19" t="s">
        <v>526</v>
      </c>
      <c r="J19" t="s">
        <v>166</v>
      </c>
      <c r="K19" t="s">
        <v>457</v>
      </c>
      <c r="L19" t="s">
        <v>549</v>
      </c>
      <c r="M19" t="s">
        <v>491</v>
      </c>
      <c r="N19" t="s">
        <v>491</v>
      </c>
      <c r="O19" t="s">
        <v>491</v>
      </c>
      <c r="P19" t="s">
        <v>491</v>
      </c>
      <c r="Q19" t="s">
        <v>492</v>
      </c>
      <c r="R19" t="s">
        <v>523</v>
      </c>
      <c r="S19" t="s">
        <v>478</v>
      </c>
      <c r="T19" t="s">
        <v>86</v>
      </c>
      <c r="U19" t="s">
        <v>479</v>
      </c>
      <c r="V19" t="s">
        <v>455</v>
      </c>
      <c r="W19" t="s">
        <v>520</v>
      </c>
      <c r="X19" t="s">
        <v>529</v>
      </c>
      <c r="Y19" t="s">
        <v>530</v>
      </c>
      <c r="Z19" t="s">
        <v>531</v>
      </c>
      <c r="AA19" t="s">
        <v>539</v>
      </c>
      <c r="AB19" t="s">
        <v>540</v>
      </c>
      <c r="AC19" t="s">
        <v>540</v>
      </c>
      <c r="AD19" t="s">
        <v>514</v>
      </c>
      <c r="AE19" t="s">
        <v>514</v>
      </c>
      <c r="AF19" t="s">
        <v>542</v>
      </c>
      <c r="AG19">
        <v>67</v>
      </c>
    </row>
    <row r="20" spans="1:33">
      <c r="A20" t="s">
        <v>550</v>
      </c>
      <c r="B20" t="s">
        <v>208</v>
      </c>
      <c r="C20" t="s">
        <v>523</v>
      </c>
      <c r="D20" t="s">
        <v>455</v>
      </c>
      <c r="E20" t="s">
        <v>166</v>
      </c>
      <c r="F20" t="s">
        <v>513</v>
      </c>
      <c r="G20" t="s">
        <v>476</v>
      </c>
      <c r="H20" t="s">
        <v>89</v>
      </c>
      <c r="I20" t="s">
        <v>526</v>
      </c>
      <c r="J20" t="s">
        <v>166</v>
      </c>
      <c r="K20" t="s">
        <v>457</v>
      </c>
      <c r="L20" t="s">
        <v>549</v>
      </c>
      <c r="M20" t="s">
        <v>491</v>
      </c>
      <c r="N20" t="s">
        <v>491</v>
      </c>
      <c r="O20" t="s">
        <v>491</v>
      </c>
      <c r="P20" t="s">
        <v>491</v>
      </c>
      <c r="Q20" t="s">
        <v>492</v>
      </c>
      <c r="R20" t="s">
        <v>523</v>
      </c>
      <c r="S20" t="s">
        <v>478</v>
      </c>
      <c r="T20" t="s">
        <v>86</v>
      </c>
      <c r="U20" t="s">
        <v>479</v>
      </c>
      <c r="V20" t="s">
        <v>455</v>
      </c>
      <c r="W20" t="s">
        <v>480</v>
      </c>
      <c r="X20" t="s">
        <v>529</v>
      </c>
      <c r="Y20" t="s">
        <v>530</v>
      </c>
      <c r="Z20" t="s">
        <v>531</v>
      </c>
      <c r="AA20" t="s">
        <v>539</v>
      </c>
      <c r="AB20" t="s">
        <v>540</v>
      </c>
      <c r="AC20" t="s">
        <v>540</v>
      </c>
      <c r="AD20" t="s">
        <v>494</v>
      </c>
      <c r="AE20" t="s">
        <v>494</v>
      </c>
      <c r="AF20" t="s">
        <v>542</v>
      </c>
      <c r="AG20">
        <v>68</v>
      </c>
    </row>
    <row r="21" spans="1:33">
      <c r="A21" t="s">
        <v>551</v>
      </c>
      <c r="B21" t="s">
        <v>208</v>
      </c>
      <c r="C21" t="s">
        <v>523</v>
      </c>
      <c r="D21" t="s">
        <v>455</v>
      </c>
      <c r="E21" t="s">
        <v>166</v>
      </c>
      <c r="F21" t="s">
        <v>552</v>
      </c>
      <c r="G21" t="s">
        <v>476</v>
      </c>
      <c r="H21" t="s">
        <v>89</v>
      </c>
      <c r="I21" t="s">
        <v>524</v>
      </c>
      <c r="J21" t="s">
        <v>166</v>
      </c>
      <c r="K21" t="s">
        <v>525</v>
      </c>
      <c r="L21" t="s">
        <v>458</v>
      </c>
      <c r="M21" t="s">
        <v>491</v>
      </c>
      <c r="N21" t="s">
        <v>491</v>
      </c>
      <c r="O21" t="s">
        <v>491</v>
      </c>
      <c r="P21" t="s">
        <v>491</v>
      </c>
      <c r="Q21" t="s">
        <v>384</v>
      </c>
      <c r="R21" t="s">
        <v>523</v>
      </c>
      <c r="S21" t="s">
        <v>478</v>
      </c>
      <c r="T21" t="s">
        <v>87</v>
      </c>
      <c r="U21" t="s">
        <v>479</v>
      </c>
      <c r="V21" t="s">
        <v>455</v>
      </c>
      <c r="W21" t="s">
        <v>538</v>
      </c>
      <c r="X21" t="s">
        <v>529</v>
      </c>
      <c r="Y21" t="s">
        <v>530</v>
      </c>
      <c r="Z21" t="s">
        <v>531</v>
      </c>
      <c r="AA21" t="s">
        <v>532</v>
      </c>
      <c r="AB21" t="s">
        <v>533</v>
      </c>
      <c r="AC21" t="s">
        <v>533</v>
      </c>
      <c r="AD21" t="s">
        <v>553</v>
      </c>
      <c r="AE21" t="s">
        <v>553</v>
      </c>
      <c r="AF21" t="s">
        <v>535</v>
      </c>
      <c r="AG21">
        <v>70</v>
      </c>
    </row>
    <row r="22" spans="1:33">
      <c r="A22" t="s">
        <v>551</v>
      </c>
      <c r="B22" t="s">
        <v>208</v>
      </c>
      <c r="C22" t="s">
        <v>523</v>
      </c>
      <c r="D22" t="s">
        <v>455</v>
      </c>
      <c r="E22" t="s">
        <v>166</v>
      </c>
      <c r="F22" t="s">
        <v>552</v>
      </c>
      <c r="G22" t="s">
        <v>476</v>
      </c>
      <c r="H22" t="s">
        <v>89</v>
      </c>
      <c r="I22" t="s">
        <v>524</v>
      </c>
      <c r="J22" t="s">
        <v>166</v>
      </c>
      <c r="K22" t="s">
        <v>525</v>
      </c>
      <c r="L22" t="s">
        <v>549</v>
      </c>
      <c r="M22" t="s">
        <v>491</v>
      </c>
      <c r="N22" t="s">
        <v>491</v>
      </c>
      <c r="O22" t="s">
        <v>491</v>
      </c>
      <c r="P22" t="s">
        <v>491</v>
      </c>
      <c r="Q22" t="s">
        <v>384</v>
      </c>
      <c r="R22" t="s">
        <v>523</v>
      </c>
      <c r="S22" t="s">
        <v>478</v>
      </c>
      <c r="T22" t="s">
        <v>87</v>
      </c>
      <c r="U22" t="s">
        <v>479</v>
      </c>
      <c r="V22" t="s">
        <v>455</v>
      </c>
      <c r="W22" t="s">
        <v>538</v>
      </c>
      <c r="X22" t="s">
        <v>529</v>
      </c>
      <c r="Y22" t="s">
        <v>530</v>
      </c>
      <c r="Z22" t="s">
        <v>531</v>
      </c>
      <c r="AA22" t="s">
        <v>532</v>
      </c>
      <c r="AB22" t="s">
        <v>533</v>
      </c>
      <c r="AC22" t="s">
        <v>533</v>
      </c>
      <c r="AD22" t="s">
        <v>553</v>
      </c>
      <c r="AE22" t="s">
        <v>553</v>
      </c>
      <c r="AF22" t="s">
        <v>535</v>
      </c>
      <c r="AG22">
        <v>71</v>
      </c>
    </row>
    <row r="23" spans="1:33">
      <c r="A23" t="s">
        <v>554</v>
      </c>
      <c r="B23" t="s">
        <v>208</v>
      </c>
      <c r="C23" t="s">
        <v>555</v>
      </c>
      <c r="D23" t="s">
        <v>455</v>
      </c>
      <c r="E23" t="s">
        <v>166</v>
      </c>
      <c r="F23" t="s">
        <v>556</v>
      </c>
      <c r="G23" t="s">
        <v>476</v>
      </c>
      <c r="H23" t="s">
        <v>89</v>
      </c>
      <c r="I23" t="s">
        <v>557</v>
      </c>
      <c r="J23" t="s">
        <v>166</v>
      </c>
      <c r="K23" t="s">
        <v>558</v>
      </c>
      <c r="L23" t="s">
        <v>559</v>
      </c>
      <c r="M23" t="s">
        <v>459</v>
      </c>
      <c r="N23" t="s">
        <v>460</v>
      </c>
      <c r="O23" t="s">
        <v>461</v>
      </c>
      <c r="P23" t="s">
        <v>462</v>
      </c>
      <c r="Q23" t="s">
        <v>384</v>
      </c>
      <c r="R23" t="s">
        <v>555</v>
      </c>
      <c r="S23" t="s">
        <v>560</v>
      </c>
      <c r="T23" t="s">
        <v>87</v>
      </c>
      <c r="U23" t="s">
        <v>479</v>
      </c>
      <c r="V23" t="s">
        <v>455</v>
      </c>
      <c r="W23" t="s">
        <v>389</v>
      </c>
      <c r="X23" t="s">
        <v>561</v>
      </c>
      <c r="Y23" t="s">
        <v>562</v>
      </c>
      <c r="Z23" t="s">
        <v>563</v>
      </c>
      <c r="AA23" t="s">
        <v>564</v>
      </c>
      <c r="AB23" t="s">
        <v>565</v>
      </c>
      <c r="AC23" t="s">
        <v>565</v>
      </c>
      <c r="AD23" t="s">
        <v>534</v>
      </c>
      <c r="AE23" t="s">
        <v>534</v>
      </c>
      <c r="AF23" t="s">
        <v>566</v>
      </c>
      <c r="AG23">
        <v>87</v>
      </c>
    </row>
    <row r="24" spans="1:33">
      <c r="A24" t="s">
        <v>567</v>
      </c>
      <c r="B24" t="s">
        <v>208</v>
      </c>
      <c r="C24" t="s">
        <v>555</v>
      </c>
      <c r="D24" t="s">
        <v>455</v>
      </c>
      <c r="E24" t="s">
        <v>166</v>
      </c>
      <c r="F24" t="s">
        <v>568</v>
      </c>
      <c r="G24" t="s">
        <v>476</v>
      </c>
      <c r="H24" t="s">
        <v>48</v>
      </c>
      <c r="I24" t="s">
        <v>568</v>
      </c>
      <c r="J24" t="s">
        <v>166</v>
      </c>
      <c r="K24" t="s">
        <v>569</v>
      </c>
      <c r="L24" t="s">
        <v>570</v>
      </c>
      <c r="M24" t="s">
        <v>459</v>
      </c>
      <c r="N24" t="s">
        <v>460</v>
      </c>
      <c r="O24" t="s">
        <v>461</v>
      </c>
      <c r="P24" t="s">
        <v>462</v>
      </c>
      <c r="Q24" t="s">
        <v>384</v>
      </c>
      <c r="R24" t="s">
        <v>555</v>
      </c>
      <c r="S24" t="s">
        <v>571</v>
      </c>
      <c r="T24" t="s">
        <v>87</v>
      </c>
      <c r="U24" t="s">
        <v>479</v>
      </c>
      <c r="V24" t="s">
        <v>455</v>
      </c>
      <c r="W24" t="s">
        <v>242</v>
      </c>
      <c r="X24" t="s">
        <v>572</v>
      </c>
      <c r="Y24" t="s">
        <v>573</v>
      </c>
      <c r="Z24" t="s">
        <v>574</v>
      </c>
      <c r="AA24" t="s">
        <v>575</v>
      </c>
      <c r="AB24" t="s">
        <v>576</v>
      </c>
      <c r="AC24" t="s">
        <v>576</v>
      </c>
      <c r="AD24" t="s">
        <v>577</v>
      </c>
      <c r="AE24" t="s">
        <v>577</v>
      </c>
      <c r="AF24" t="s">
        <v>578</v>
      </c>
      <c r="AG24">
        <v>88</v>
      </c>
    </row>
    <row r="25" spans="1:33">
      <c r="A25" t="s">
        <v>579</v>
      </c>
      <c r="B25" t="s">
        <v>208</v>
      </c>
      <c r="C25" t="s">
        <v>580</v>
      </c>
      <c r="D25" t="s">
        <v>455</v>
      </c>
      <c r="E25" t="s">
        <v>166</v>
      </c>
      <c r="F25" t="s">
        <v>581</v>
      </c>
      <c r="G25" t="s">
        <v>476</v>
      </c>
      <c r="H25" t="s">
        <v>48</v>
      </c>
      <c r="I25" t="s">
        <v>582</v>
      </c>
      <c r="J25" t="s">
        <v>166</v>
      </c>
      <c r="K25" t="s">
        <v>569</v>
      </c>
      <c r="L25" t="s">
        <v>583</v>
      </c>
      <c r="M25" t="s">
        <v>459</v>
      </c>
      <c r="N25" t="s">
        <v>460</v>
      </c>
      <c r="O25" t="s">
        <v>461</v>
      </c>
      <c r="P25" t="s">
        <v>462</v>
      </c>
      <c r="Q25" t="s">
        <v>584</v>
      </c>
      <c r="R25" t="s">
        <v>580</v>
      </c>
      <c r="S25" t="s">
        <v>585</v>
      </c>
      <c r="T25" t="s">
        <v>87</v>
      </c>
      <c r="U25" t="s">
        <v>479</v>
      </c>
      <c r="V25" t="s">
        <v>455</v>
      </c>
      <c r="W25" t="s">
        <v>240</v>
      </c>
      <c r="X25" t="s">
        <v>586</v>
      </c>
      <c r="Y25" t="s">
        <v>587</v>
      </c>
      <c r="Z25" t="s">
        <v>588</v>
      </c>
      <c r="AA25" t="s">
        <v>589</v>
      </c>
      <c r="AB25" t="s">
        <v>590</v>
      </c>
      <c r="AC25" t="s">
        <v>590</v>
      </c>
      <c r="AD25" t="s">
        <v>591</v>
      </c>
      <c r="AE25" t="s">
        <v>591</v>
      </c>
      <c r="AF25" t="s">
        <v>592</v>
      </c>
      <c r="AG25">
        <v>89</v>
      </c>
    </row>
    <row r="26" spans="1:33">
      <c r="A26" t="s">
        <v>579</v>
      </c>
      <c r="B26" t="s">
        <v>208</v>
      </c>
      <c r="C26" t="s">
        <v>580</v>
      </c>
      <c r="D26" t="s">
        <v>455</v>
      </c>
      <c r="E26" t="s">
        <v>166</v>
      </c>
      <c r="F26" t="s">
        <v>581</v>
      </c>
      <c r="G26" t="s">
        <v>476</v>
      </c>
      <c r="H26" t="s">
        <v>6</v>
      </c>
      <c r="I26" t="s">
        <v>593</v>
      </c>
      <c r="J26" t="s">
        <v>166</v>
      </c>
      <c r="K26" t="s">
        <v>594</v>
      </c>
      <c r="L26" t="s">
        <v>595</v>
      </c>
      <c r="M26" t="s">
        <v>459</v>
      </c>
      <c r="N26" t="s">
        <v>460</v>
      </c>
      <c r="O26" t="s">
        <v>461</v>
      </c>
      <c r="P26" t="s">
        <v>462</v>
      </c>
      <c r="Q26" t="s">
        <v>584</v>
      </c>
      <c r="R26" t="s">
        <v>580</v>
      </c>
      <c r="S26" t="s">
        <v>585</v>
      </c>
      <c r="T26" t="s">
        <v>87</v>
      </c>
      <c r="U26" t="s">
        <v>479</v>
      </c>
      <c r="V26" t="s">
        <v>455</v>
      </c>
      <c r="W26" t="s">
        <v>240</v>
      </c>
      <c r="X26" t="s">
        <v>586</v>
      </c>
      <c r="Y26" t="s">
        <v>587</v>
      </c>
      <c r="Z26" t="s">
        <v>588</v>
      </c>
      <c r="AA26" t="s">
        <v>589</v>
      </c>
      <c r="AB26" t="s">
        <v>590</v>
      </c>
      <c r="AC26" t="s">
        <v>590</v>
      </c>
      <c r="AD26" t="s">
        <v>591</v>
      </c>
      <c r="AE26" t="s">
        <v>591</v>
      </c>
      <c r="AF26" t="s">
        <v>592</v>
      </c>
      <c r="AG26">
        <v>90</v>
      </c>
    </row>
    <row r="27" spans="1:33">
      <c r="A27" t="s">
        <v>596</v>
      </c>
      <c r="B27" t="s">
        <v>208</v>
      </c>
      <c r="C27" t="s">
        <v>580</v>
      </c>
      <c r="D27" t="s">
        <v>455</v>
      </c>
      <c r="E27" t="s">
        <v>597</v>
      </c>
      <c r="F27" t="s">
        <v>598</v>
      </c>
      <c r="G27" t="s">
        <v>476</v>
      </c>
      <c r="H27" t="s">
        <v>48</v>
      </c>
      <c r="I27" t="s">
        <v>599</v>
      </c>
      <c r="J27" t="s">
        <v>597</v>
      </c>
      <c r="K27" t="s">
        <v>600</v>
      </c>
      <c r="L27" t="s">
        <v>601</v>
      </c>
      <c r="M27" t="s">
        <v>459</v>
      </c>
      <c r="N27" t="s">
        <v>460</v>
      </c>
      <c r="O27" t="s">
        <v>461</v>
      </c>
      <c r="P27" t="s">
        <v>462</v>
      </c>
      <c r="Q27" t="s">
        <v>584</v>
      </c>
      <c r="R27" t="s">
        <v>580</v>
      </c>
      <c r="S27" t="s">
        <v>602</v>
      </c>
      <c r="T27" t="s">
        <v>87</v>
      </c>
      <c r="U27" t="s">
        <v>479</v>
      </c>
      <c r="V27" t="s">
        <v>455</v>
      </c>
      <c r="W27" t="s">
        <v>480</v>
      </c>
      <c r="X27" t="s">
        <v>603</v>
      </c>
      <c r="Y27" t="s">
        <v>604</v>
      </c>
      <c r="Z27" t="s">
        <v>605</v>
      </c>
      <c r="AA27" t="s">
        <v>606</v>
      </c>
      <c r="AB27" t="s">
        <v>607</v>
      </c>
      <c r="AC27" t="s">
        <v>607</v>
      </c>
      <c r="AD27" t="s">
        <v>608</v>
      </c>
      <c r="AE27" t="s">
        <v>608</v>
      </c>
      <c r="AF27" t="s">
        <v>609</v>
      </c>
      <c r="AG27">
        <v>91</v>
      </c>
    </row>
    <row r="28" spans="1:33">
      <c r="A28" t="s">
        <v>596</v>
      </c>
      <c r="B28" t="s">
        <v>208</v>
      </c>
      <c r="C28" t="s">
        <v>580</v>
      </c>
      <c r="D28" t="s">
        <v>455</v>
      </c>
      <c r="E28" t="s">
        <v>597</v>
      </c>
      <c r="F28" t="s">
        <v>598</v>
      </c>
      <c r="G28" t="s">
        <v>476</v>
      </c>
      <c r="H28" t="s">
        <v>6</v>
      </c>
      <c r="I28" t="s">
        <v>610</v>
      </c>
      <c r="J28" t="s">
        <v>597</v>
      </c>
      <c r="K28" t="s">
        <v>611</v>
      </c>
      <c r="L28" t="s">
        <v>595</v>
      </c>
      <c r="M28" t="s">
        <v>459</v>
      </c>
      <c r="N28" t="s">
        <v>460</v>
      </c>
      <c r="O28" t="s">
        <v>461</v>
      </c>
      <c r="P28" t="s">
        <v>462</v>
      </c>
      <c r="Q28" t="s">
        <v>584</v>
      </c>
      <c r="R28" t="s">
        <v>580</v>
      </c>
      <c r="S28" t="s">
        <v>602</v>
      </c>
      <c r="T28" t="s">
        <v>87</v>
      </c>
      <c r="U28" t="s">
        <v>479</v>
      </c>
      <c r="V28" t="s">
        <v>455</v>
      </c>
      <c r="W28" t="s">
        <v>480</v>
      </c>
      <c r="X28" t="s">
        <v>603</v>
      </c>
      <c r="Y28" t="s">
        <v>604</v>
      </c>
      <c r="Z28" t="s">
        <v>605</v>
      </c>
      <c r="AA28" t="s">
        <v>606</v>
      </c>
      <c r="AB28" t="s">
        <v>607</v>
      </c>
      <c r="AC28" t="s">
        <v>607</v>
      </c>
      <c r="AD28" t="s">
        <v>608</v>
      </c>
      <c r="AE28" t="s">
        <v>608</v>
      </c>
      <c r="AF28" t="s">
        <v>609</v>
      </c>
      <c r="AG28">
        <v>92</v>
      </c>
    </row>
    <row r="29" spans="1:33">
      <c r="A29" t="s">
        <v>612</v>
      </c>
      <c r="B29" t="s">
        <v>208</v>
      </c>
      <c r="C29" t="s">
        <v>580</v>
      </c>
      <c r="D29" t="s">
        <v>455</v>
      </c>
      <c r="E29" t="s">
        <v>166</v>
      </c>
      <c r="F29" t="s">
        <v>613</v>
      </c>
      <c r="G29" t="s">
        <v>476</v>
      </c>
      <c r="H29" t="s">
        <v>48</v>
      </c>
      <c r="I29" t="s">
        <v>614</v>
      </c>
      <c r="J29" t="s">
        <v>166</v>
      </c>
      <c r="K29" t="s">
        <v>600</v>
      </c>
      <c r="L29" t="s">
        <v>570</v>
      </c>
      <c r="M29" t="s">
        <v>459</v>
      </c>
      <c r="N29" t="s">
        <v>460</v>
      </c>
      <c r="O29" t="s">
        <v>461</v>
      </c>
      <c r="P29" t="s">
        <v>462</v>
      </c>
      <c r="Q29" t="s">
        <v>384</v>
      </c>
      <c r="R29" t="s">
        <v>580</v>
      </c>
      <c r="S29" t="s">
        <v>615</v>
      </c>
      <c r="T29" t="s">
        <v>87</v>
      </c>
      <c r="U29" t="s">
        <v>479</v>
      </c>
      <c r="V29" t="s">
        <v>455</v>
      </c>
      <c r="W29" t="s">
        <v>382</v>
      </c>
      <c r="X29" t="s">
        <v>616</v>
      </c>
      <c r="Y29" t="s">
        <v>617</v>
      </c>
      <c r="Z29" t="s">
        <v>618</v>
      </c>
      <c r="AA29" t="s">
        <v>619</v>
      </c>
      <c r="AB29" t="s">
        <v>620</v>
      </c>
      <c r="AC29" t="s">
        <v>620</v>
      </c>
      <c r="AD29" t="s">
        <v>621</v>
      </c>
      <c r="AE29" t="s">
        <v>621</v>
      </c>
      <c r="AF29" t="s">
        <v>622</v>
      </c>
      <c r="AG29">
        <v>93</v>
      </c>
    </row>
    <row r="30" spans="1:33">
      <c r="A30" t="s">
        <v>612</v>
      </c>
      <c r="B30" t="s">
        <v>208</v>
      </c>
      <c r="C30" t="s">
        <v>580</v>
      </c>
      <c r="D30" t="s">
        <v>455</v>
      </c>
      <c r="E30" t="s">
        <v>166</v>
      </c>
      <c r="F30" t="s">
        <v>613</v>
      </c>
      <c r="G30" t="s">
        <v>476</v>
      </c>
      <c r="H30" t="s">
        <v>48</v>
      </c>
      <c r="I30" t="s">
        <v>623</v>
      </c>
      <c r="J30" t="s">
        <v>166</v>
      </c>
      <c r="K30" t="s">
        <v>600</v>
      </c>
      <c r="L30" t="s">
        <v>559</v>
      </c>
      <c r="M30" t="s">
        <v>459</v>
      </c>
      <c r="N30" t="s">
        <v>460</v>
      </c>
      <c r="O30" t="s">
        <v>461</v>
      </c>
      <c r="P30" t="s">
        <v>462</v>
      </c>
      <c r="Q30" t="s">
        <v>384</v>
      </c>
      <c r="R30" t="s">
        <v>580</v>
      </c>
      <c r="S30" t="s">
        <v>615</v>
      </c>
      <c r="T30" t="s">
        <v>87</v>
      </c>
      <c r="U30" t="s">
        <v>479</v>
      </c>
      <c r="V30" t="s">
        <v>455</v>
      </c>
      <c r="W30" t="s">
        <v>382</v>
      </c>
      <c r="X30" t="s">
        <v>616</v>
      </c>
      <c r="Y30" t="s">
        <v>617</v>
      </c>
      <c r="Z30" t="s">
        <v>618</v>
      </c>
      <c r="AA30" t="s">
        <v>619</v>
      </c>
      <c r="AB30" t="s">
        <v>620</v>
      </c>
      <c r="AC30" t="s">
        <v>620</v>
      </c>
      <c r="AD30" t="s">
        <v>621</v>
      </c>
      <c r="AE30" t="s">
        <v>621</v>
      </c>
      <c r="AF30" t="s">
        <v>622</v>
      </c>
      <c r="AG30">
        <v>94</v>
      </c>
    </row>
    <row r="31" spans="1:33">
      <c r="A31" t="s">
        <v>624</v>
      </c>
      <c r="B31" t="s">
        <v>208</v>
      </c>
      <c r="C31" t="s">
        <v>580</v>
      </c>
      <c r="D31" t="s">
        <v>455</v>
      </c>
      <c r="E31" t="s">
        <v>166</v>
      </c>
      <c r="F31" t="s">
        <v>625</v>
      </c>
      <c r="G31" t="s">
        <v>476</v>
      </c>
      <c r="H31" t="s">
        <v>48</v>
      </c>
      <c r="I31" t="s">
        <v>626</v>
      </c>
      <c r="J31" t="s">
        <v>166</v>
      </c>
      <c r="K31" t="s">
        <v>506</v>
      </c>
      <c r="L31" t="s">
        <v>601</v>
      </c>
      <c r="M31" t="s">
        <v>459</v>
      </c>
      <c r="N31" t="s">
        <v>460</v>
      </c>
      <c r="O31" t="s">
        <v>461</v>
      </c>
      <c r="P31" t="s">
        <v>462</v>
      </c>
      <c r="Q31" t="s">
        <v>384</v>
      </c>
      <c r="R31" t="s">
        <v>580</v>
      </c>
      <c r="S31" t="s">
        <v>616</v>
      </c>
      <c r="T31" t="s">
        <v>87</v>
      </c>
      <c r="U31" t="s">
        <v>479</v>
      </c>
      <c r="V31" t="s">
        <v>455</v>
      </c>
      <c r="W31" t="s">
        <v>377</v>
      </c>
      <c r="X31" t="s">
        <v>627</v>
      </c>
      <c r="Y31" t="s">
        <v>628</v>
      </c>
      <c r="Z31" t="s">
        <v>629</v>
      </c>
      <c r="AA31" t="s">
        <v>630</v>
      </c>
      <c r="AB31" t="s">
        <v>631</v>
      </c>
      <c r="AC31" t="s">
        <v>631</v>
      </c>
      <c r="AD31" t="s">
        <v>632</v>
      </c>
      <c r="AE31" t="s">
        <v>632</v>
      </c>
      <c r="AF31" t="s">
        <v>633</v>
      </c>
      <c r="AG31">
        <v>95</v>
      </c>
    </row>
    <row r="32" spans="1:33">
      <c r="A32" t="s">
        <v>624</v>
      </c>
      <c r="B32" t="s">
        <v>208</v>
      </c>
      <c r="C32" t="s">
        <v>580</v>
      </c>
      <c r="D32" t="s">
        <v>455</v>
      </c>
      <c r="E32" t="s">
        <v>166</v>
      </c>
      <c r="F32" t="s">
        <v>625</v>
      </c>
      <c r="G32" t="s">
        <v>476</v>
      </c>
      <c r="H32" t="s">
        <v>6</v>
      </c>
      <c r="I32" t="s">
        <v>634</v>
      </c>
      <c r="J32" t="s">
        <v>166</v>
      </c>
      <c r="K32" t="s">
        <v>594</v>
      </c>
      <c r="L32" t="s">
        <v>601</v>
      </c>
      <c r="M32" t="s">
        <v>459</v>
      </c>
      <c r="N32" t="s">
        <v>460</v>
      </c>
      <c r="O32" t="s">
        <v>461</v>
      </c>
      <c r="P32" t="s">
        <v>462</v>
      </c>
      <c r="Q32" t="s">
        <v>384</v>
      </c>
      <c r="R32" t="s">
        <v>580</v>
      </c>
      <c r="S32" t="s">
        <v>616</v>
      </c>
      <c r="T32" t="s">
        <v>87</v>
      </c>
      <c r="U32" t="s">
        <v>479</v>
      </c>
      <c r="V32" t="s">
        <v>455</v>
      </c>
      <c r="W32" t="s">
        <v>377</v>
      </c>
      <c r="X32" t="s">
        <v>627</v>
      </c>
      <c r="Y32" t="s">
        <v>628</v>
      </c>
      <c r="Z32" t="s">
        <v>629</v>
      </c>
      <c r="AA32" t="s">
        <v>630</v>
      </c>
      <c r="AB32" t="s">
        <v>631</v>
      </c>
      <c r="AC32" t="s">
        <v>631</v>
      </c>
      <c r="AD32" t="s">
        <v>632</v>
      </c>
      <c r="AE32" t="s">
        <v>632</v>
      </c>
      <c r="AF32" t="s">
        <v>633</v>
      </c>
      <c r="AG32">
        <v>96</v>
      </c>
    </row>
    <row r="33" spans="1:33">
      <c r="A33" t="s">
        <v>635</v>
      </c>
      <c r="B33" t="s">
        <v>208</v>
      </c>
      <c r="C33" t="s">
        <v>580</v>
      </c>
      <c r="D33" t="s">
        <v>455</v>
      </c>
      <c r="E33" t="s">
        <v>166</v>
      </c>
      <c r="F33" t="s">
        <v>636</v>
      </c>
      <c r="G33" t="s">
        <v>476</v>
      </c>
      <c r="H33" t="s">
        <v>48</v>
      </c>
      <c r="I33" t="s">
        <v>637</v>
      </c>
      <c r="J33" t="s">
        <v>166</v>
      </c>
      <c r="K33" t="s">
        <v>600</v>
      </c>
      <c r="L33" t="s">
        <v>638</v>
      </c>
      <c r="M33" t="s">
        <v>459</v>
      </c>
      <c r="N33" t="s">
        <v>460</v>
      </c>
      <c r="O33" t="s">
        <v>461</v>
      </c>
      <c r="P33" t="s">
        <v>462</v>
      </c>
      <c r="Q33" t="s">
        <v>384</v>
      </c>
      <c r="R33" t="s">
        <v>580</v>
      </c>
      <c r="S33" t="s">
        <v>639</v>
      </c>
      <c r="T33" t="s">
        <v>87</v>
      </c>
      <c r="U33" t="s">
        <v>479</v>
      </c>
      <c r="V33" t="s">
        <v>455</v>
      </c>
      <c r="W33" t="s">
        <v>377</v>
      </c>
      <c r="X33" t="s">
        <v>640</v>
      </c>
      <c r="Y33" t="s">
        <v>641</v>
      </c>
      <c r="Z33" t="s">
        <v>642</v>
      </c>
      <c r="AA33" t="s">
        <v>643</v>
      </c>
      <c r="AB33" t="s">
        <v>644</v>
      </c>
      <c r="AC33" t="s">
        <v>644</v>
      </c>
      <c r="AD33" t="s">
        <v>645</v>
      </c>
      <c r="AE33" t="s">
        <v>645</v>
      </c>
      <c r="AF33" t="s">
        <v>646</v>
      </c>
      <c r="AG33">
        <v>97</v>
      </c>
    </row>
    <row r="34" spans="1:33">
      <c r="A34" t="s">
        <v>647</v>
      </c>
      <c r="B34" t="s">
        <v>208</v>
      </c>
      <c r="C34" t="s">
        <v>580</v>
      </c>
      <c r="D34" t="s">
        <v>455</v>
      </c>
      <c r="E34" t="s">
        <v>597</v>
      </c>
      <c r="F34" t="s">
        <v>648</v>
      </c>
      <c r="G34" t="s">
        <v>476</v>
      </c>
      <c r="H34" t="s">
        <v>6</v>
      </c>
      <c r="I34" t="s">
        <v>600</v>
      </c>
      <c r="J34" t="s">
        <v>597</v>
      </c>
      <c r="K34" t="s">
        <v>649</v>
      </c>
      <c r="L34" t="s">
        <v>650</v>
      </c>
      <c r="M34" t="s">
        <v>491</v>
      </c>
      <c r="N34" t="s">
        <v>491</v>
      </c>
      <c r="O34" t="s">
        <v>491</v>
      </c>
      <c r="P34" t="s">
        <v>491</v>
      </c>
      <c r="Q34" t="s">
        <v>215</v>
      </c>
      <c r="R34" t="s">
        <v>580</v>
      </c>
      <c r="S34" t="s">
        <v>651</v>
      </c>
      <c r="T34" t="s">
        <v>86</v>
      </c>
      <c r="U34" t="s">
        <v>479</v>
      </c>
      <c r="V34" t="s">
        <v>455</v>
      </c>
      <c r="W34" t="s">
        <v>210</v>
      </c>
      <c r="X34" t="s">
        <v>652</v>
      </c>
      <c r="Y34" t="s">
        <v>653</v>
      </c>
      <c r="Z34" t="s">
        <v>654</v>
      </c>
      <c r="AA34" t="s">
        <v>655</v>
      </c>
      <c r="AB34" t="s">
        <v>656</v>
      </c>
      <c r="AC34" t="s">
        <v>656</v>
      </c>
      <c r="AD34" t="s">
        <v>657</v>
      </c>
      <c r="AE34" t="s">
        <v>657</v>
      </c>
      <c r="AF34" t="s">
        <v>658</v>
      </c>
      <c r="AG34">
        <v>98</v>
      </c>
    </row>
    <row r="35" spans="1:33">
      <c r="A35" t="s">
        <v>659</v>
      </c>
      <c r="B35" t="s">
        <v>208</v>
      </c>
      <c r="C35" t="s">
        <v>660</v>
      </c>
      <c r="D35" t="s">
        <v>455</v>
      </c>
      <c r="E35" t="s">
        <v>166</v>
      </c>
      <c r="F35" t="s">
        <v>661</v>
      </c>
      <c r="G35" t="s">
        <v>476</v>
      </c>
      <c r="H35" t="s">
        <v>6</v>
      </c>
      <c r="I35" t="s">
        <v>662</v>
      </c>
      <c r="J35" t="s">
        <v>166</v>
      </c>
      <c r="K35" t="s">
        <v>663</v>
      </c>
      <c r="L35" t="s">
        <v>570</v>
      </c>
      <c r="M35" t="s">
        <v>491</v>
      </c>
      <c r="N35" t="s">
        <v>491</v>
      </c>
      <c r="O35" t="s">
        <v>491</v>
      </c>
      <c r="P35" t="s">
        <v>491</v>
      </c>
      <c r="Q35" t="s">
        <v>492</v>
      </c>
      <c r="R35" t="s">
        <v>660</v>
      </c>
      <c r="S35" t="s">
        <v>664</v>
      </c>
      <c r="T35" t="s">
        <v>86</v>
      </c>
      <c r="U35" t="s">
        <v>479</v>
      </c>
      <c r="V35" t="s">
        <v>455</v>
      </c>
      <c r="W35" t="s">
        <v>241</v>
      </c>
      <c r="X35" t="s">
        <v>665</v>
      </c>
      <c r="Y35" t="s">
        <v>666</v>
      </c>
      <c r="Z35" t="s">
        <v>667</v>
      </c>
      <c r="AA35" t="s">
        <v>668</v>
      </c>
      <c r="AB35" t="s">
        <v>669</v>
      </c>
      <c r="AC35" t="s">
        <v>669</v>
      </c>
      <c r="AD35" t="s">
        <v>670</v>
      </c>
      <c r="AE35" t="s">
        <v>670</v>
      </c>
      <c r="AF35" t="s">
        <v>671</v>
      </c>
      <c r="AG35">
        <v>100</v>
      </c>
    </row>
    <row r="36" spans="1:33">
      <c r="A36" t="s">
        <v>659</v>
      </c>
      <c r="B36" t="s">
        <v>208</v>
      </c>
      <c r="C36" t="s">
        <v>660</v>
      </c>
      <c r="D36" t="s">
        <v>455</v>
      </c>
      <c r="E36" t="s">
        <v>166</v>
      </c>
      <c r="F36" t="s">
        <v>661</v>
      </c>
      <c r="G36" t="s">
        <v>476</v>
      </c>
      <c r="H36" t="s">
        <v>6</v>
      </c>
      <c r="I36" t="s">
        <v>672</v>
      </c>
      <c r="J36" t="s">
        <v>166</v>
      </c>
      <c r="K36" t="s">
        <v>611</v>
      </c>
      <c r="L36" t="s">
        <v>601</v>
      </c>
      <c r="M36" t="s">
        <v>491</v>
      </c>
      <c r="N36" t="s">
        <v>491</v>
      </c>
      <c r="O36" t="s">
        <v>491</v>
      </c>
      <c r="P36" t="s">
        <v>491</v>
      </c>
      <c r="Q36" t="s">
        <v>492</v>
      </c>
      <c r="R36" t="s">
        <v>660</v>
      </c>
      <c r="S36" t="s">
        <v>664</v>
      </c>
      <c r="T36" t="s">
        <v>86</v>
      </c>
      <c r="U36" t="s">
        <v>479</v>
      </c>
      <c r="V36" t="s">
        <v>455</v>
      </c>
      <c r="W36" t="s">
        <v>241</v>
      </c>
      <c r="X36" t="s">
        <v>665</v>
      </c>
      <c r="Y36" t="s">
        <v>666</v>
      </c>
      <c r="Z36" t="s">
        <v>667</v>
      </c>
      <c r="AA36" t="s">
        <v>668</v>
      </c>
      <c r="AB36" t="s">
        <v>669</v>
      </c>
      <c r="AC36" t="s">
        <v>669</v>
      </c>
      <c r="AD36" t="s">
        <v>670</v>
      </c>
      <c r="AE36" t="s">
        <v>670</v>
      </c>
      <c r="AF36" t="s">
        <v>671</v>
      </c>
      <c r="AG36">
        <v>101</v>
      </c>
    </row>
    <row r="37" spans="1:33">
      <c r="A37" t="s">
        <v>673</v>
      </c>
      <c r="B37" t="s">
        <v>208</v>
      </c>
      <c r="C37" t="s">
        <v>660</v>
      </c>
      <c r="D37" t="s">
        <v>455</v>
      </c>
      <c r="E37" t="s">
        <v>166</v>
      </c>
      <c r="F37" t="s">
        <v>674</v>
      </c>
      <c r="G37" t="s">
        <v>476</v>
      </c>
      <c r="H37" t="s">
        <v>6</v>
      </c>
      <c r="I37" t="s">
        <v>675</v>
      </c>
      <c r="J37" t="s">
        <v>166</v>
      </c>
      <c r="K37" t="s">
        <v>676</v>
      </c>
      <c r="L37" t="s">
        <v>601</v>
      </c>
      <c r="M37" t="s">
        <v>491</v>
      </c>
      <c r="N37" t="s">
        <v>491</v>
      </c>
      <c r="O37" t="s">
        <v>491</v>
      </c>
      <c r="P37" t="s">
        <v>491</v>
      </c>
      <c r="Q37" t="s">
        <v>492</v>
      </c>
      <c r="R37" t="s">
        <v>660</v>
      </c>
      <c r="S37" t="s">
        <v>677</v>
      </c>
      <c r="T37" t="s">
        <v>86</v>
      </c>
      <c r="U37" t="s">
        <v>479</v>
      </c>
      <c r="V37" t="s">
        <v>455</v>
      </c>
      <c r="W37" t="s">
        <v>209</v>
      </c>
      <c r="X37" t="s">
        <v>678</v>
      </c>
      <c r="Y37" t="s">
        <v>679</v>
      </c>
      <c r="Z37" t="s">
        <v>680</v>
      </c>
      <c r="AA37" t="s">
        <v>681</v>
      </c>
      <c r="AB37" t="s">
        <v>682</v>
      </c>
      <c r="AC37" t="s">
        <v>682</v>
      </c>
      <c r="AD37" t="s">
        <v>683</v>
      </c>
      <c r="AE37" t="s">
        <v>683</v>
      </c>
      <c r="AF37" t="s">
        <v>684</v>
      </c>
      <c r="AG37">
        <v>102</v>
      </c>
    </row>
    <row r="38" spans="1:33">
      <c r="A38" t="s">
        <v>673</v>
      </c>
      <c r="B38" t="s">
        <v>208</v>
      </c>
      <c r="C38" t="s">
        <v>660</v>
      </c>
      <c r="D38" t="s">
        <v>455</v>
      </c>
      <c r="E38" t="s">
        <v>166</v>
      </c>
      <c r="F38" t="s">
        <v>674</v>
      </c>
      <c r="G38" t="s">
        <v>476</v>
      </c>
      <c r="H38" t="s">
        <v>6</v>
      </c>
      <c r="I38" t="s">
        <v>685</v>
      </c>
      <c r="J38" t="s">
        <v>166</v>
      </c>
      <c r="K38" t="s">
        <v>611</v>
      </c>
      <c r="L38" t="s">
        <v>686</v>
      </c>
      <c r="M38" t="s">
        <v>491</v>
      </c>
      <c r="N38" t="s">
        <v>491</v>
      </c>
      <c r="O38" t="s">
        <v>491</v>
      </c>
      <c r="P38" t="s">
        <v>491</v>
      </c>
      <c r="Q38" t="s">
        <v>492</v>
      </c>
      <c r="R38" t="s">
        <v>660</v>
      </c>
      <c r="S38" t="s">
        <v>677</v>
      </c>
      <c r="T38" t="s">
        <v>86</v>
      </c>
      <c r="U38" t="s">
        <v>479</v>
      </c>
      <c r="V38" t="s">
        <v>455</v>
      </c>
      <c r="W38" t="s">
        <v>209</v>
      </c>
      <c r="X38" t="s">
        <v>678</v>
      </c>
      <c r="Y38" t="s">
        <v>679</v>
      </c>
      <c r="Z38" t="s">
        <v>680</v>
      </c>
      <c r="AA38" t="s">
        <v>681</v>
      </c>
      <c r="AB38" t="s">
        <v>682</v>
      </c>
      <c r="AC38" t="s">
        <v>682</v>
      </c>
      <c r="AD38" t="s">
        <v>683</v>
      </c>
      <c r="AE38" t="s">
        <v>683</v>
      </c>
      <c r="AF38" t="s">
        <v>684</v>
      </c>
      <c r="AG38">
        <v>103</v>
      </c>
    </row>
    <row r="39" spans="1:33">
      <c r="A39" t="s">
        <v>687</v>
      </c>
      <c r="B39" t="s">
        <v>208</v>
      </c>
      <c r="C39" t="s">
        <v>660</v>
      </c>
      <c r="D39" t="s">
        <v>455</v>
      </c>
      <c r="E39" t="s">
        <v>166</v>
      </c>
      <c r="F39" t="s">
        <v>688</v>
      </c>
      <c r="G39" t="s">
        <v>476</v>
      </c>
      <c r="H39" t="s">
        <v>6</v>
      </c>
      <c r="I39" t="s">
        <v>689</v>
      </c>
      <c r="J39" t="s">
        <v>166</v>
      </c>
      <c r="K39" t="s">
        <v>690</v>
      </c>
      <c r="L39" t="s">
        <v>691</v>
      </c>
      <c r="M39" t="s">
        <v>459</v>
      </c>
      <c r="N39" t="s">
        <v>460</v>
      </c>
      <c r="O39" t="s">
        <v>461</v>
      </c>
      <c r="P39" t="s">
        <v>462</v>
      </c>
      <c r="Q39" t="s">
        <v>492</v>
      </c>
      <c r="R39" t="s">
        <v>660</v>
      </c>
      <c r="S39" t="s">
        <v>692</v>
      </c>
      <c r="T39" t="s">
        <v>86</v>
      </c>
      <c r="U39" t="s">
        <v>479</v>
      </c>
      <c r="V39" t="s">
        <v>455</v>
      </c>
      <c r="W39" t="s">
        <v>209</v>
      </c>
      <c r="X39" t="s">
        <v>693</v>
      </c>
      <c r="Y39" t="s">
        <v>694</v>
      </c>
      <c r="Z39" t="s">
        <v>695</v>
      </c>
      <c r="AA39" t="s">
        <v>696</v>
      </c>
      <c r="AB39" t="s">
        <v>697</v>
      </c>
      <c r="AC39" t="s">
        <v>697</v>
      </c>
      <c r="AD39" t="s">
        <v>698</v>
      </c>
      <c r="AE39" t="s">
        <v>698</v>
      </c>
      <c r="AF39" t="s">
        <v>699</v>
      </c>
      <c r="AG39">
        <v>104</v>
      </c>
    </row>
    <row r="40" spans="1:33">
      <c r="A40" t="s">
        <v>700</v>
      </c>
      <c r="B40" t="s">
        <v>208</v>
      </c>
      <c r="C40" t="s">
        <v>660</v>
      </c>
      <c r="D40" t="s">
        <v>455</v>
      </c>
      <c r="E40" t="s">
        <v>166</v>
      </c>
      <c r="F40" t="s">
        <v>701</v>
      </c>
      <c r="G40" t="s">
        <v>476</v>
      </c>
      <c r="H40" t="s">
        <v>48</v>
      </c>
      <c r="I40" t="s">
        <v>702</v>
      </c>
      <c r="J40" t="s">
        <v>166</v>
      </c>
      <c r="K40" t="s">
        <v>703</v>
      </c>
      <c r="L40" t="s">
        <v>686</v>
      </c>
      <c r="M40" t="s">
        <v>459</v>
      </c>
      <c r="N40" t="s">
        <v>460</v>
      </c>
      <c r="O40" t="s">
        <v>461</v>
      </c>
      <c r="P40" t="s">
        <v>462</v>
      </c>
      <c r="Q40" t="s">
        <v>492</v>
      </c>
      <c r="R40" t="s">
        <v>660</v>
      </c>
      <c r="S40" t="s">
        <v>704</v>
      </c>
      <c r="T40" t="s">
        <v>86</v>
      </c>
      <c r="U40" t="s">
        <v>479</v>
      </c>
      <c r="V40" t="s">
        <v>455</v>
      </c>
      <c r="W40" t="s">
        <v>241</v>
      </c>
      <c r="X40" t="s">
        <v>705</v>
      </c>
      <c r="Y40" t="s">
        <v>706</v>
      </c>
      <c r="Z40" t="s">
        <v>707</v>
      </c>
      <c r="AA40" t="s">
        <v>557</v>
      </c>
      <c r="AB40" t="s">
        <v>708</v>
      </c>
      <c r="AC40" t="s">
        <v>708</v>
      </c>
      <c r="AD40" t="s">
        <v>709</v>
      </c>
      <c r="AE40" t="s">
        <v>709</v>
      </c>
      <c r="AF40" t="s">
        <v>710</v>
      </c>
      <c r="AG40">
        <v>105</v>
      </c>
    </row>
    <row r="41" spans="1:33">
      <c r="A41" t="s">
        <v>711</v>
      </c>
      <c r="B41" t="s">
        <v>208</v>
      </c>
      <c r="C41" t="s">
        <v>660</v>
      </c>
      <c r="D41" t="s">
        <v>455</v>
      </c>
      <c r="E41" t="s">
        <v>166</v>
      </c>
      <c r="F41" t="s">
        <v>712</v>
      </c>
      <c r="G41" t="s">
        <v>476</v>
      </c>
      <c r="H41" t="s">
        <v>48</v>
      </c>
      <c r="I41" t="s">
        <v>527</v>
      </c>
      <c r="J41" t="s">
        <v>166</v>
      </c>
      <c r="K41" t="s">
        <v>466</v>
      </c>
      <c r="L41" t="s">
        <v>458</v>
      </c>
      <c r="M41" t="s">
        <v>459</v>
      </c>
      <c r="N41" t="s">
        <v>460</v>
      </c>
      <c r="O41" t="s">
        <v>461</v>
      </c>
      <c r="P41" t="s">
        <v>462</v>
      </c>
      <c r="Q41" t="s">
        <v>492</v>
      </c>
      <c r="R41" t="s">
        <v>660</v>
      </c>
      <c r="S41" t="s">
        <v>478</v>
      </c>
      <c r="T41" t="s">
        <v>86</v>
      </c>
      <c r="U41" t="s">
        <v>479</v>
      </c>
      <c r="V41" t="s">
        <v>455</v>
      </c>
      <c r="W41" t="s">
        <v>383</v>
      </c>
      <c r="X41" t="s">
        <v>693</v>
      </c>
      <c r="Y41" t="s">
        <v>694</v>
      </c>
      <c r="Z41" t="s">
        <v>695</v>
      </c>
      <c r="AA41" t="s">
        <v>668</v>
      </c>
      <c r="AB41" t="s">
        <v>669</v>
      </c>
      <c r="AC41" t="s">
        <v>669</v>
      </c>
      <c r="AD41" t="s">
        <v>512</v>
      </c>
      <c r="AE41" t="s">
        <v>512</v>
      </c>
      <c r="AF41" t="s">
        <v>671</v>
      </c>
      <c r="AG41">
        <v>107</v>
      </c>
    </row>
    <row r="42" spans="1:33">
      <c r="A42" t="s">
        <v>713</v>
      </c>
      <c r="B42" t="s">
        <v>208</v>
      </c>
      <c r="C42" t="s">
        <v>660</v>
      </c>
      <c r="D42" t="s">
        <v>455</v>
      </c>
      <c r="E42" t="s">
        <v>597</v>
      </c>
      <c r="F42" t="s">
        <v>714</v>
      </c>
      <c r="G42" t="s">
        <v>715</v>
      </c>
      <c r="H42" t="s">
        <v>89</v>
      </c>
      <c r="I42" t="s">
        <v>455</v>
      </c>
      <c r="J42" t="s">
        <v>597</v>
      </c>
      <c r="K42" t="s">
        <v>500</v>
      </c>
      <c r="L42" t="s">
        <v>716</v>
      </c>
      <c r="M42" t="s">
        <v>491</v>
      </c>
      <c r="N42" t="s">
        <v>491</v>
      </c>
      <c r="O42" t="s">
        <v>491</v>
      </c>
      <c r="P42" t="s">
        <v>491</v>
      </c>
      <c r="Q42" t="s">
        <v>384</v>
      </c>
      <c r="R42" t="s">
        <v>660</v>
      </c>
      <c r="S42" t="s">
        <v>714</v>
      </c>
      <c r="T42" t="s">
        <v>87</v>
      </c>
      <c r="U42" t="s">
        <v>717</v>
      </c>
      <c r="V42" t="s">
        <v>455</v>
      </c>
      <c r="W42" t="s">
        <v>242</v>
      </c>
      <c r="X42" t="s">
        <v>718</v>
      </c>
      <c r="Y42" t="s">
        <v>718</v>
      </c>
      <c r="Z42" t="s">
        <v>719</v>
      </c>
      <c r="AA42" t="s">
        <v>388</v>
      </c>
      <c r="AB42" t="s">
        <v>720</v>
      </c>
      <c r="AC42" t="s">
        <v>720</v>
      </c>
      <c r="AD42" t="s">
        <v>721</v>
      </c>
      <c r="AE42" t="s">
        <v>721</v>
      </c>
      <c r="AF42" t="s">
        <v>388</v>
      </c>
      <c r="AG42">
        <v>108</v>
      </c>
    </row>
    <row r="43" spans="1:33">
      <c r="A43" t="s">
        <v>722</v>
      </c>
      <c r="B43" t="s">
        <v>208</v>
      </c>
      <c r="C43" t="s">
        <v>660</v>
      </c>
      <c r="D43" t="s">
        <v>455</v>
      </c>
      <c r="E43" t="s">
        <v>166</v>
      </c>
      <c r="F43" t="s">
        <v>723</v>
      </c>
      <c r="G43" t="s">
        <v>715</v>
      </c>
      <c r="H43" t="s">
        <v>89</v>
      </c>
      <c r="I43" t="s">
        <v>455</v>
      </c>
      <c r="J43" t="s">
        <v>166</v>
      </c>
      <c r="K43" t="s">
        <v>600</v>
      </c>
      <c r="L43" t="s">
        <v>724</v>
      </c>
      <c r="M43" t="s">
        <v>459</v>
      </c>
      <c r="N43" t="s">
        <v>460</v>
      </c>
      <c r="O43" t="s">
        <v>461</v>
      </c>
      <c r="P43" t="s">
        <v>462</v>
      </c>
      <c r="Q43" t="s">
        <v>584</v>
      </c>
      <c r="R43" t="s">
        <v>660</v>
      </c>
      <c r="S43" t="s">
        <v>725</v>
      </c>
      <c r="T43" t="s">
        <v>87</v>
      </c>
      <c r="U43" t="s">
        <v>717</v>
      </c>
      <c r="V43" t="s">
        <v>455</v>
      </c>
      <c r="W43" t="s">
        <v>520</v>
      </c>
      <c r="X43" t="s">
        <v>341</v>
      </c>
      <c r="Y43" t="s">
        <v>342</v>
      </c>
      <c r="Z43" t="s">
        <v>455</v>
      </c>
      <c r="AA43" t="s">
        <v>391</v>
      </c>
      <c r="AB43" t="s">
        <v>726</v>
      </c>
      <c r="AC43" t="s">
        <v>726</v>
      </c>
      <c r="AD43" t="s">
        <v>727</v>
      </c>
      <c r="AE43" t="s">
        <v>727</v>
      </c>
      <c r="AF43" t="s">
        <v>391</v>
      </c>
      <c r="AG43">
        <v>119</v>
      </c>
    </row>
    <row r="44" spans="1:33">
      <c r="A44" t="s">
        <v>728</v>
      </c>
      <c r="B44" t="s">
        <v>208</v>
      </c>
      <c r="C44" t="s">
        <v>660</v>
      </c>
      <c r="D44" t="s">
        <v>455</v>
      </c>
      <c r="E44" t="s">
        <v>166</v>
      </c>
      <c r="F44" t="s">
        <v>729</v>
      </c>
      <c r="G44" t="s">
        <v>715</v>
      </c>
      <c r="H44" t="s">
        <v>89</v>
      </c>
      <c r="I44" t="s">
        <v>455</v>
      </c>
      <c r="J44" t="s">
        <v>166</v>
      </c>
      <c r="K44" t="s">
        <v>506</v>
      </c>
      <c r="L44" t="s">
        <v>730</v>
      </c>
      <c r="M44" t="s">
        <v>459</v>
      </c>
      <c r="N44" t="s">
        <v>460</v>
      </c>
      <c r="O44" t="s">
        <v>461</v>
      </c>
      <c r="P44" t="s">
        <v>462</v>
      </c>
      <c r="Q44" t="s">
        <v>584</v>
      </c>
      <c r="R44" t="s">
        <v>660</v>
      </c>
      <c r="S44" t="s">
        <v>731</v>
      </c>
      <c r="T44" t="s">
        <v>87</v>
      </c>
      <c r="U44" t="s">
        <v>717</v>
      </c>
      <c r="V44" t="s">
        <v>455</v>
      </c>
      <c r="W44" t="s">
        <v>520</v>
      </c>
      <c r="X44" t="s">
        <v>385</v>
      </c>
      <c r="Y44" t="s">
        <v>386</v>
      </c>
      <c r="Z44" t="s">
        <v>732</v>
      </c>
      <c r="AA44" t="s">
        <v>733</v>
      </c>
      <c r="AB44" t="s">
        <v>734</v>
      </c>
      <c r="AC44" t="s">
        <v>734</v>
      </c>
      <c r="AD44" t="s">
        <v>455</v>
      </c>
      <c r="AE44" t="s">
        <v>455</v>
      </c>
      <c r="AF44" t="s">
        <v>733</v>
      </c>
      <c r="AG44">
        <v>128</v>
      </c>
    </row>
    <row r="45" spans="1:33">
      <c r="A45" t="s">
        <v>735</v>
      </c>
      <c r="B45" t="s">
        <v>208</v>
      </c>
      <c r="C45" t="s">
        <v>660</v>
      </c>
      <c r="D45" t="s">
        <v>455</v>
      </c>
      <c r="E45" t="s">
        <v>166</v>
      </c>
      <c r="F45" t="s">
        <v>501</v>
      </c>
      <c r="G45" t="s">
        <v>476</v>
      </c>
      <c r="H45" t="s">
        <v>48</v>
      </c>
      <c r="I45" t="s">
        <v>458</v>
      </c>
      <c r="J45" t="s">
        <v>166</v>
      </c>
      <c r="K45" t="s">
        <v>703</v>
      </c>
      <c r="L45" t="s">
        <v>458</v>
      </c>
      <c r="M45" t="s">
        <v>491</v>
      </c>
      <c r="N45" t="s">
        <v>491</v>
      </c>
      <c r="O45" t="s">
        <v>491</v>
      </c>
      <c r="P45" t="s">
        <v>491</v>
      </c>
      <c r="Q45" t="s">
        <v>492</v>
      </c>
      <c r="R45" t="s">
        <v>660</v>
      </c>
      <c r="S45" t="s">
        <v>501</v>
      </c>
      <c r="T45" t="s">
        <v>86</v>
      </c>
      <c r="U45" t="s">
        <v>479</v>
      </c>
      <c r="V45" t="s">
        <v>455</v>
      </c>
      <c r="W45" t="s">
        <v>383</v>
      </c>
      <c r="X45"/>
      <c r="Y45"/>
      <c r="Z45"/>
      <c r="AA45"/>
      <c r="AB45"/>
      <c r="AC45"/>
      <c r="AD45"/>
      <c r="AE45"/>
      <c r="AF45"/>
      <c r="AG45">
        <v>132</v>
      </c>
    </row>
    <row r="46" spans="1:33">
      <c r="A46" t="s">
        <v>735</v>
      </c>
      <c r="B46" t="s">
        <v>208</v>
      </c>
      <c r="C46" t="s">
        <v>660</v>
      </c>
      <c r="D46" t="s">
        <v>455</v>
      </c>
      <c r="E46" t="s">
        <v>166</v>
      </c>
      <c r="F46" t="s">
        <v>501</v>
      </c>
      <c r="G46" t="s">
        <v>476</v>
      </c>
      <c r="H46" t="s">
        <v>89</v>
      </c>
      <c r="I46" t="s">
        <v>526</v>
      </c>
      <c r="J46" t="s">
        <v>166</v>
      </c>
      <c r="K46" t="s">
        <v>457</v>
      </c>
      <c r="L46" t="s">
        <v>458</v>
      </c>
      <c r="M46" t="s">
        <v>491</v>
      </c>
      <c r="N46" t="s">
        <v>491</v>
      </c>
      <c r="O46" t="s">
        <v>491</v>
      </c>
      <c r="P46" t="s">
        <v>491</v>
      </c>
      <c r="Q46" t="s">
        <v>492</v>
      </c>
      <c r="R46" t="s">
        <v>660</v>
      </c>
      <c r="S46" t="s">
        <v>501</v>
      </c>
      <c r="T46" t="s">
        <v>86</v>
      </c>
      <c r="U46" t="s">
        <v>479</v>
      </c>
      <c r="V46" t="s">
        <v>455</v>
      </c>
      <c r="W46" t="s">
        <v>383</v>
      </c>
      <c r="X46"/>
      <c r="Y46"/>
      <c r="Z46"/>
      <c r="AA46"/>
      <c r="AB46"/>
      <c r="AC46"/>
      <c r="AD46"/>
      <c r="AE46"/>
      <c r="AF46"/>
      <c r="AG46">
        <v>133</v>
      </c>
    </row>
    <row r="47" spans="1:33">
      <c r="A47" t="s">
        <v>735</v>
      </c>
      <c r="B47" t="s">
        <v>208</v>
      </c>
      <c r="C47" t="s">
        <v>660</v>
      </c>
      <c r="D47" t="s">
        <v>455</v>
      </c>
      <c r="E47" t="s">
        <v>166</v>
      </c>
      <c r="F47" t="s">
        <v>501</v>
      </c>
      <c r="G47" t="s">
        <v>476</v>
      </c>
      <c r="H47" t="s">
        <v>89</v>
      </c>
      <c r="I47" t="s">
        <v>736</v>
      </c>
      <c r="J47" t="s">
        <v>166</v>
      </c>
      <c r="K47" t="s">
        <v>737</v>
      </c>
      <c r="L47" t="s">
        <v>537</v>
      </c>
      <c r="M47" t="s">
        <v>491</v>
      </c>
      <c r="N47" t="s">
        <v>491</v>
      </c>
      <c r="O47" t="s">
        <v>491</v>
      </c>
      <c r="P47" t="s">
        <v>491</v>
      </c>
      <c r="Q47" t="s">
        <v>492</v>
      </c>
      <c r="R47" t="s">
        <v>660</v>
      </c>
      <c r="S47" t="s">
        <v>501</v>
      </c>
      <c r="T47" t="s">
        <v>86</v>
      </c>
      <c r="U47" t="s">
        <v>479</v>
      </c>
      <c r="V47" t="s">
        <v>455</v>
      </c>
      <c r="W47" t="s">
        <v>383</v>
      </c>
      <c r="X47"/>
      <c r="Y47"/>
      <c r="Z47"/>
      <c r="AA47"/>
      <c r="AB47"/>
      <c r="AC47"/>
      <c r="AD47"/>
      <c r="AE47"/>
      <c r="AF47"/>
      <c r="AG47">
        <v>134</v>
      </c>
    </row>
    <row r="48" spans="1:33">
      <c r="A48" t="s">
        <v>738</v>
      </c>
      <c r="B48" t="s">
        <v>208</v>
      </c>
      <c r="C48" t="s">
        <v>660</v>
      </c>
      <c r="D48" t="s">
        <v>455</v>
      </c>
      <c r="E48" t="s">
        <v>166</v>
      </c>
      <c r="F48" t="s">
        <v>739</v>
      </c>
      <c r="G48" t="s">
        <v>715</v>
      </c>
      <c r="H48" t="s">
        <v>48</v>
      </c>
      <c r="I48" t="s">
        <v>455</v>
      </c>
      <c r="J48" t="s">
        <v>166</v>
      </c>
      <c r="K48" t="s">
        <v>506</v>
      </c>
      <c r="L48" t="s">
        <v>595</v>
      </c>
      <c r="M48" t="s">
        <v>491</v>
      </c>
      <c r="N48" t="s">
        <v>491</v>
      </c>
      <c r="O48" t="s">
        <v>491</v>
      </c>
      <c r="P48" t="s">
        <v>491</v>
      </c>
      <c r="Q48" t="s">
        <v>384</v>
      </c>
      <c r="R48" t="s">
        <v>660</v>
      </c>
      <c r="S48" t="s">
        <v>740</v>
      </c>
      <c r="T48" t="s">
        <v>87</v>
      </c>
      <c r="U48" t="s">
        <v>717</v>
      </c>
      <c r="V48" t="s">
        <v>455</v>
      </c>
      <c r="W48" t="s">
        <v>242</v>
      </c>
      <c r="X48" t="s">
        <v>378</v>
      </c>
      <c r="Y48" t="s">
        <v>378</v>
      </c>
      <c r="Z48" t="s">
        <v>741</v>
      </c>
      <c r="AA48" t="s">
        <v>410</v>
      </c>
      <c r="AB48" t="s">
        <v>742</v>
      </c>
      <c r="AC48" t="s">
        <v>742</v>
      </c>
      <c r="AD48" t="s">
        <v>743</v>
      </c>
      <c r="AE48" t="s">
        <v>743</v>
      </c>
      <c r="AF48" t="s">
        <v>410</v>
      </c>
      <c r="AG48">
        <v>146</v>
      </c>
    </row>
    <row r="49" spans="1:33">
      <c r="A49" t="s">
        <v>744</v>
      </c>
      <c r="B49" t="s">
        <v>208</v>
      </c>
      <c r="C49" t="s">
        <v>660</v>
      </c>
      <c r="D49" t="s">
        <v>455</v>
      </c>
      <c r="E49" t="s">
        <v>597</v>
      </c>
      <c r="F49" t="s">
        <v>745</v>
      </c>
      <c r="G49" t="s">
        <v>715</v>
      </c>
      <c r="H49" t="s">
        <v>89</v>
      </c>
      <c r="I49" t="s">
        <v>526</v>
      </c>
      <c r="J49" t="s">
        <v>597</v>
      </c>
      <c r="K49" t="s">
        <v>457</v>
      </c>
      <c r="L49" t="s">
        <v>746</v>
      </c>
      <c r="M49" t="s">
        <v>459</v>
      </c>
      <c r="N49" t="s">
        <v>460</v>
      </c>
      <c r="O49" t="s">
        <v>461</v>
      </c>
      <c r="P49" t="s">
        <v>462</v>
      </c>
      <c r="Q49" t="s">
        <v>584</v>
      </c>
      <c r="R49" t="s">
        <v>660</v>
      </c>
      <c r="S49" t="s">
        <v>747</v>
      </c>
      <c r="T49" t="s">
        <v>87</v>
      </c>
      <c r="U49" t="s">
        <v>717</v>
      </c>
      <c r="V49" t="s">
        <v>455</v>
      </c>
      <c r="W49" t="s">
        <v>240</v>
      </c>
      <c r="X49" t="s">
        <v>718</v>
      </c>
      <c r="Y49" t="s">
        <v>718</v>
      </c>
      <c r="Z49" t="s">
        <v>719</v>
      </c>
      <c r="AA49" t="s">
        <v>409</v>
      </c>
      <c r="AB49" t="s">
        <v>748</v>
      </c>
      <c r="AC49" t="s">
        <v>748</v>
      </c>
      <c r="AD49" t="s">
        <v>749</v>
      </c>
      <c r="AE49" t="s">
        <v>749</v>
      </c>
      <c r="AF49" t="s">
        <v>409</v>
      </c>
      <c r="AG49">
        <v>161</v>
      </c>
    </row>
    <row r="50" spans="1:33">
      <c r="A50" t="s">
        <v>750</v>
      </c>
      <c r="B50" t="s">
        <v>208</v>
      </c>
      <c r="C50" t="s">
        <v>660</v>
      </c>
      <c r="D50" t="s">
        <v>455</v>
      </c>
      <c r="E50" t="s">
        <v>597</v>
      </c>
      <c r="F50" t="s">
        <v>751</v>
      </c>
      <c r="G50" t="s">
        <v>715</v>
      </c>
      <c r="H50" t="s">
        <v>48</v>
      </c>
      <c r="I50" t="s">
        <v>455</v>
      </c>
      <c r="J50" t="s">
        <v>597</v>
      </c>
      <c r="K50" t="s">
        <v>506</v>
      </c>
      <c r="L50" t="s">
        <v>601</v>
      </c>
      <c r="M50" t="s">
        <v>459</v>
      </c>
      <c r="N50" t="s">
        <v>460</v>
      </c>
      <c r="O50" t="s">
        <v>461</v>
      </c>
      <c r="P50" t="s">
        <v>462</v>
      </c>
      <c r="Q50" t="s">
        <v>584</v>
      </c>
      <c r="R50" t="s">
        <v>660</v>
      </c>
      <c r="S50" t="s">
        <v>752</v>
      </c>
      <c r="T50" t="s">
        <v>87</v>
      </c>
      <c r="U50" t="s">
        <v>717</v>
      </c>
      <c r="V50" t="s">
        <v>455</v>
      </c>
      <c r="W50" t="s">
        <v>210</v>
      </c>
      <c r="X50" t="s">
        <v>718</v>
      </c>
      <c r="Y50" t="s">
        <v>718</v>
      </c>
      <c r="Z50" t="s">
        <v>719</v>
      </c>
      <c r="AA50" t="s">
        <v>413</v>
      </c>
      <c r="AB50" t="s">
        <v>753</v>
      </c>
      <c r="AC50" t="s">
        <v>753</v>
      </c>
      <c r="AD50" t="s">
        <v>754</v>
      </c>
      <c r="AE50" t="s">
        <v>754</v>
      </c>
      <c r="AF50" t="s">
        <v>413</v>
      </c>
      <c r="AG50">
        <v>167</v>
      </c>
    </row>
    <row r="51" spans="1:33">
      <c r="A51" t="s">
        <v>750</v>
      </c>
      <c r="B51" t="s">
        <v>208</v>
      </c>
      <c r="C51" t="s">
        <v>660</v>
      </c>
      <c r="D51" t="s">
        <v>455</v>
      </c>
      <c r="E51" t="s">
        <v>597</v>
      </c>
      <c r="F51" t="s">
        <v>751</v>
      </c>
      <c r="G51" t="s">
        <v>715</v>
      </c>
      <c r="H51" t="s">
        <v>48</v>
      </c>
      <c r="I51" t="s">
        <v>455</v>
      </c>
      <c r="J51" t="s">
        <v>597</v>
      </c>
      <c r="K51" t="s">
        <v>506</v>
      </c>
      <c r="L51" t="s">
        <v>755</v>
      </c>
      <c r="M51" t="s">
        <v>459</v>
      </c>
      <c r="N51" t="s">
        <v>460</v>
      </c>
      <c r="O51" t="s">
        <v>461</v>
      </c>
      <c r="P51" t="s">
        <v>462</v>
      </c>
      <c r="Q51" t="s">
        <v>584</v>
      </c>
      <c r="R51" t="s">
        <v>660</v>
      </c>
      <c r="S51" t="s">
        <v>752</v>
      </c>
      <c r="T51" t="s">
        <v>87</v>
      </c>
      <c r="U51" t="s">
        <v>717</v>
      </c>
      <c r="V51" t="s">
        <v>455</v>
      </c>
      <c r="W51" t="s">
        <v>210</v>
      </c>
      <c r="X51" t="s">
        <v>718</v>
      </c>
      <c r="Y51" t="s">
        <v>718</v>
      </c>
      <c r="Z51" t="s">
        <v>719</v>
      </c>
      <c r="AA51" t="s">
        <v>413</v>
      </c>
      <c r="AB51" t="s">
        <v>753</v>
      </c>
      <c r="AC51" t="s">
        <v>753</v>
      </c>
      <c r="AD51" t="s">
        <v>754</v>
      </c>
      <c r="AE51" t="s">
        <v>754</v>
      </c>
      <c r="AF51" t="s">
        <v>413</v>
      </c>
      <c r="AG51">
        <v>168</v>
      </c>
    </row>
    <row r="52" spans="1:33">
      <c r="A52" t="s">
        <v>756</v>
      </c>
      <c r="B52" t="s">
        <v>208</v>
      </c>
      <c r="C52" t="s">
        <v>660</v>
      </c>
      <c r="D52" t="s">
        <v>455</v>
      </c>
      <c r="E52" t="s">
        <v>166</v>
      </c>
      <c r="F52" t="s">
        <v>757</v>
      </c>
      <c r="G52" t="s">
        <v>715</v>
      </c>
      <c r="H52" t="s">
        <v>89</v>
      </c>
      <c r="I52" t="s">
        <v>526</v>
      </c>
      <c r="J52" t="s">
        <v>166</v>
      </c>
      <c r="K52" t="s">
        <v>457</v>
      </c>
      <c r="L52" t="s">
        <v>758</v>
      </c>
      <c r="M52" t="s">
        <v>459</v>
      </c>
      <c r="N52" t="s">
        <v>460</v>
      </c>
      <c r="O52" t="s">
        <v>461</v>
      </c>
      <c r="P52" t="s">
        <v>462</v>
      </c>
      <c r="Q52" t="s">
        <v>584</v>
      </c>
      <c r="R52" t="s">
        <v>660</v>
      </c>
      <c r="S52" t="s">
        <v>759</v>
      </c>
      <c r="T52" t="s">
        <v>87</v>
      </c>
      <c r="U52" t="s">
        <v>717</v>
      </c>
      <c r="V52" t="s">
        <v>455</v>
      </c>
      <c r="W52" t="s">
        <v>480</v>
      </c>
      <c r="X52" t="s">
        <v>385</v>
      </c>
      <c r="Y52" t="s">
        <v>386</v>
      </c>
      <c r="Z52" t="s">
        <v>732</v>
      </c>
      <c r="AA52" t="s">
        <v>390</v>
      </c>
      <c r="AB52" t="s">
        <v>760</v>
      </c>
      <c r="AC52" t="s">
        <v>760</v>
      </c>
      <c r="AD52" t="s">
        <v>761</v>
      </c>
      <c r="AE52" t="s">
        <v>761</v>
      </c>
      <c r="AF52" t="s">
        <v>390</v>
      </c>
      <c r="AG52">
        <v>171</v>
      </c>
    </row>
    <row r="53" spans="1:33">
      <c r="A53" t="s">
        <v>762</v>
      </c>
      <c r="B53" t="s">
        <v>208</v>
      </c>
      <c r="C53" t="s">
        <v>660</v>
      </c>
      <c r="D53" t="s">
        <v>455</v>
      </c>
      <c r="E53" t="s">
        <v>166</v>
      </c>
      <c r="F53" t="s">
        <v>619</v>
      </c>
      <c r="G53" t="s">
        <v>715</v>
      </c>
      <c r="H53" t="s">
        <v>89</v>
      </c>
      <c r="I53" t="s">
        <v>455</v>
      </c>
      <c r="J53" t="s">
        <v>166</v>
      </c>
      <c r="K53" t="s">
        <v>500</v>
      </c>
      <c r="L53" t="s">
        <v>595</v>
      </c>
      <c r="M53" t="s">
        <v>459</v>
      </c>
      <c r="N53" t="s">
        <v>460</v>
      </c>
      <c r="O53" t="s">
        <v>461</v>
      </c>
      <c r="P53" t="s">
        <v>462</v>
      </c>
      <c r="Q53" t="s">
        <v>584</v>
      </c>
      <c r="R53" t="s">
        <v>660</v>
      </c>
      <c r="S53" t="s">
        <v>763</v>
      </c>
      <c r="T53" t="s">
        <v>87</v>
      </c>
      <c r="U53" t="s">
        <v>717</v>
      </c>
      <c r="V53" t="s">
        <v>455</v>
      </c>
      <c r="W53" t="s">
        <v>480</v>
      </c>
      <c r="X53" t="s">
        <v>376</v>
      </c>
      <c r="Y53" t="s">
        <v>376</v>
      </c>
      <c r="Z53" t="s">
        <v>455</v>
      </c>
      <c r="AA53" t="s">
        <v>390</v>
      </c>
      <c r="AB53" t="s">
        <v>760</v>
      </c>
      <c r="AC53" t="s">
        <v>760</v>
      </c>
      <c r="AD53" t="s">
        <v>764</v>
      </c>
      <c r="AE53" t="s">
        <v>764</v>
      </c>
      <c r="AF53" t="s">
        <v>390</v>
      </c>
      <c r="AG53">
        <v>172</v>
      </c>
    </row>
    <row r="54" spans="1:33">
      <c r="A54" t="s">
        <v>765</v>
      </c>
      <c r="B54" t="s">
        <v>208</v>
      </c>
      <c r="C54" t="s">
        <v>660</v>
      </c>
      <c r="D54" t="s">
        <v>455</v>
      </c>
      <c r="E54" t="s">
        <v>166</v>
      </c>
      <c r="F54" t="s">
        <v>455</v>
      </c>
      <c r="G54" t="s">
        <v>715</v>
      </c>
      <c r="H54" t="s">
        <v>89</v>
      </c>
      <c r="I54" t="s">
        <v>526</v>
      </c>
      <c r="J54" t="s">
        <v>166</v>
      </c>
      <c r="K54" t="s">
        <v>457</v>
      </c>
      <c r="L54" t="s">
        <v>730</v>
      </c>
      <c r="M54" t="s">
        <v>459</v>
      </c>
      <c r="N54" t="s">
        <v>460</v>
      </c>
      <c r="O54" t="s">
        <v>461</v>
      </c>
      <c r="P54" t="s">
        <v>462</v>
      </c>
      <c r="Q54" t="s">
        <v>584</v>
      </c>
      <c r="R54" t="s">
        <v>660</v>
      </c>
      <c r="S54" t="s">
        <v>455</v>
      </c>
      <c r="T54" t="s">
        <v>87</v>
      </c>
      <c r="U54" t="s">
        <v>717</v>
      </c>
      <c r="V54" t="s">
        <v>455</v>
      </c>
      <c r="W54" t="s">
        <v>520</v>
      </c>
      <c r="X54" t="s">
        <v>144</v>
      </c>
      <c r="Y54" t="s">
        <v>144</v>
      </c>
      <c r="Z54" t="s">
        <v>455</v>
      </c>
      <c r="AA54" t="s">
        <v>411</v>
      </c>
      <c r="AB54" t="s">
        <v>766</v>
      </c>
      <c r="AC54" t="s">
        <v>766</v>
      </c>
      <c r="AD54" t="s">
        <v>767</v>
      </c>
      <c r="AE54" t="s">
        <v>767</v>
      </c>
      <c r="AF54" t="s">
        <v>411</v>
      </c>
      <c r="AG54">
        <v>173</v>
      </c>
    </row>
    <row r="55" spans="1:33">
      <c r="A55" t="s">
        <v>768</v>
      </c>
      <c r="B55" t="s">
        <v>208</v>
      </c>
      <c r="C55" t="s">
        <v>660</v>
      </c>
      <c r="D55" t="s">
        <v>455</v>
      </c>
      <c r="E55" t="s">
        <v>166</v>
      </c>
      <c r="F55" t="s">
        <v>769</v>
      </c>
      <c r="G55" t="s">
        <v>715</v>
      </c>
      <c r="H55" t="s">
        <v>89</v>
      </c>
      <c r="I55" t="s">
        <v>524</v>
      </c>
      <c r="J55" t="s">
        <v>166</v>
      </c>
      <c r="K55" t="s">
        <v>525</v>
      </c>
      <c r="L55" t="s">
        <v>770</v>
      </c>
      <c r="M55" t="s">
        <v>459</v>
      </c>
      <c r="N55" t="s">
        <v>460</v>
      </c>
      <c r="O55" t="s">
        <v>461</v>
      </c>
      <c r="P55" t="s">
        <v>462</v>
      </c>
      <c r="Q55" t="s">
        <v>584</v>
      </c>
      <c r="R55" t="s">
        <v>660</v>
      </c>
      <c r="S55" t="s">
        <v>771</v>
      </c>
      <c r="T55" t="s">
        <v>87</v>
      </c>
      <c r="U55" t="s">
        <v>717</v>
      </c>
      <c r="V55" t="s">
        <v>455</v>
      </c>
      <c r="W55" t="s">
        <v>538</v>
      </c>
      <c r="X55" t="s">
        <v>718</v>
      </c>
      <c r="Y55" t="s">
        <v>718</v>
      </c>
      <c r="Z55" t="s">
        <v>719</v>
      </c>
      <c r="AA55" t="s">
        <v>410</v>
      </c>
      <c r="AB55" t="s">
        <v>742</v>
      </c>
      <c r="AC55" t="s">
        <v>742</v>
      </c>
      <c r="AD55" t="s">
        <v>772</v>
      </c>
      <c r="AE55" t="s">
        <v>772</v>
      </c>
      <c r="AF55" t="s">
        <v>410</v>
      </c>
      <c r="AG55">
        <v>175</v>
      </c>
    </row>
    <row r="56" spans="1:33">
      <c r="A56" t="s">
        <v>773</v>
      </c>
      <c r="B56" t="s">
        <v>208</v>
      </c>
      <c r="C56" t="s">
        <v>660</v>
      </c>
      <c r="D56" t="s">
        <v>455</v>
      </c>
      <c r="E56" t="s">
        <v>166</v>
      </c>
      <c r="F56" t="s">
        <v>774</v>
      </c>
      <c r="G56" t="s">
        <v>715</v>
      </c>
      <c r="H56" t="s">
        <v>89</v>
      </c>
      <c r="I56" t="s">
        <v>524</v>
      </c>
      <c r="J56" t="s">
        <v>166</v>
      </c>
      <c r="K56" t="s">
        <v>525</v>
      </c>
      <c r="L56" t="s">
        <v>775</v>
      </c>
      <c r="M56" t="s">
        <v>459</v>
      </c>
      <c r="N56" t="s">
        <v>460</v>
      </c>
      <c r="O56" t="s">
        <v>461</v>
      </c>
      <c r="P56" t="s">
        <v>462</v>
      </c>
      <c r="Q56" t="s">
        <v>584</v>
      </c>
      <c r="R56" t="s">
        <v>660</v>
      </c>
      <c r="S56" t="s">
        <v>776</v>
      </c>
      <c r="T56" t="s">
        <v>87</v>
      </c>
      <c r="U56" t="s">
        <v>717</v>
      </c>
      <c r="V56" t="s">
        <v>455</v>
      </c>
      <c r="W56" t="s">
        <v>383</v>
      </c>
      <c r="X56" t="s">
        <v>380</v>
      </c>
      <c r="Y56" t="s">
        <v>380</v>
      </c>
      <c r="Z56" t="s">
        <v>777</v>
      </c>
      <c r="AA56" t="s">
        <v>412</v>
      </c>
      <c r="AB56" t="s">
        <v>778</v>
      </c>
      <c r="AC56" t="s">
        <v>778</v>
      </c>
      <c r="AD56" t="s">
        <v>779</v>
      </c>
      <c r="AE56" t="s">
        <v>779</v>
      </c>
      <c r="AF56" t="s">
        <v>412</v>
      </c>
      <c r="AG56">
        <v>176</v>
      </c>
    </row>
    <row r="57" spans="1:33">
      <c r="A57" t="s">
        <v>780</v>
      </c>
      <c r="B57" t="s">
        <v>208</v>
      </c>
      <c r="C57" t="s">
        <v>781</v>
      </c>
      <c r="D57" t="s">
        <v>455</v>
      </c>
      <c r="E57" t="s">
        <v>166</v>
      </c>
      <c r="F57" t="s">
        <v>782</v>
      </c>
      <c r="G57" t="s">
        <v>381</v>
      </c>
      <c r="H57" t="s">
        <v>89</v>
      </c>
      <c r="I57" t="s">
        <v>783</v>
      </c>
      <c r="J57" t="s">
        <v>166</v>
      </c>
      <c r="K57" t="s">
        <v>500</v>
      </c>
      <c r="L57" t="s">
        <v>784</v>
      </c>
      <c r="M57" t="s">
        <v>491</v>
      </c>
      <c r="N57" t="s">
        <v>491</v>
      </c>
      <c r="O57" t="s">
        <v>491</v>
      </c>
      <c r="P57" t="s">
        <v>491</v>
      </c>
      <c r="Q57" t="s">
        <v>584</v>
      </c>
      <c r="R57" t="s">
        <v>781</v>
      </c>
      <c r="S57" t="s">
        <v>785</v>
      </c>
      <c r="T57" t="s">
        <v>87</v>
      </c>
      <c r="U57" t="s">
        <v>786</v>
      </c>
      <c r="V57" t="s">
        <v>455</v>
      </c>
      <c r="W57" t="s">
        <v>377</v>
      </c>
      <c r="X57" t="s">
        <v>341</v>
      </c>
      <c r="Y57" t="s">
        <v>342</v>
      </c>
      <c r="Z57" t="s">
        <v>787</v>
      </c>
      <c r="AA57" t="s">
        <v>393</v>
      </c>
      <c r="AB57" t="s">
        <v>788</v>
      </c>
      <c r="AC57" t="s">
        <v>788</v>
      </c>
      <c r="AD57" t="s">
        <v>789</v>
      </c>
      <c r="AE57" t="s">
        <v>789</v>
      </c>
      <c r="AF57" t="s">
        <v>393</v>
      </c>
      <c r="AG57">
        <v>189</v>
      </c>
    </row>
    <row r="58" spans="1:33">
      <c r="A58" t="s">
        <v>780</v>
      </c>
      <c r="B58" t="s">
        <v>208</v>
      </c>
      <c r="C58" t="s">
        <v>781</v>
      </c>
      <c r="D58" t="s">
        <v>455</v>
      </c>
      <c r="E58" t="s">
        <v>166</v>
      </c>
      <c r="F58" t="s">
        <v>782</v>
      </c>
      <c r="G58" t="s">
        <v>381</v>
      </c>
      <c r="H58" t="s">
        <v>6</v>
      </c>
      <c r="I58" t="s">
        <v>790</v>
      </c>
      <c r="J58" t="s">
        <v>166</v>
      </c>
      <c r="K58" t="s">
        <v>649</v>
      </c>
      <c r="L58" t="s">
        <v>791</v>
      </c>
      <c r="M58" t="s">
        <v>491</v>
      </c>
      <c r="N58" t="s">
        <v>491</v>
      </c>
      <c r="O58" t="s">
        <v>491</v>
      </c>
      <c r="P58" t="s">
        <v>491</v>
      </c>
      <c r="Q58" t="s">
        <v>584</v>
      </c>
      <c r="R58" t="s">
        <v>781</v>
      </c>
      <c r="S58" t="s">
        <v>785</v>
      </c>
      <c r="T58" t="s">
        <v>87</v>
      </c>
      <c r="U58" t="s">
        <v>786</v>
      </c>
      <c r="V58" t="s">
        <v>455</v>
      </c>
      <c r="W58" t="s">
        <v>377</v>
      </c>
      <c r="X58" t="s">
        <v>341</v>
      </c>
      <c r="Y58" t="s">
        <v>342</v>
      </c>
      <c r="Z58" t="s">
        <v>787</v>
      </c>
      <c r="AA58" t="s">
        <v>393</v>
      </c>
      <c r="AB58" t="s">
        <v>788</v>
      </c>
      <c r="AC58" t="s">
        <v>788</v>
      </c>
      <c r="AD58" t="s">
        <v>789</v>
      </c>
      <c r="AE58" t="s">
        <v>789</v>
      </c>
      <c r="AF58" t="s">
        <v>393</v>
      </c>
      <c r="AG58">
        <v>190</v>
      </c>
    </row>
    <row r="59" spans="1:33">
      <c r="A59" t="s">
        <v>792</v>
      </c>
      <c r="B59" t="s">
        <v>208</v>
      </c>
      <c r="C59" t="s">
        <v>781</v>
      </c>
      <c r="D59" t="s">
        <v>455</v>
      </c>
      <c r="E59" t="s">
        <v>166</v>
      </c>
      <c r="F59" t="s">
        <v>793</v>
      </c>
      <c r="G59" t="s">
        <v>381</v>
      </c>
      <c r="H59" t="s">
        <v>48</v>
      </c>
      <c r="I59" t="s">
        <v>794</v>
      </c>
      <c r="J59" t="s">
        <v>166</v>
      </c>
      <c r="K59" t="s">
        <v>600</v>
      </c>
      <c r="L59" t="s">
        <v>795</v>
      </c>
      <c r="M59" t="s">
        <v>459</v>
      </c>
      <c r="N59" t="s">
        <v>460</v>
      </c>
      <c r="O59" t="s">
        <v>461</v>
      </c>
      <c r="P59" t="s">
        <v>462</v>
      </c>
      <c r="Q59" t="s">
        <v>584</v>
      </c>
      <c r="R59" t="s">
        <v>781</v>
      </c>
      <c r="S59" t="s">
        <v>796</v>
      </c>
      <c r="T59" t="s">
        <v>87</v>
      </c>
      <c r="U59" t="s">
        <v>786</v>
      </c>
      <c r="V59" t="s">
        <v>455</v>
      </c>
      <c r="W59" t="s">
        <v>340</v>
      </c>
      <c r="X59" t="s">
        <v>797</v>
      </c>
      <c r="Y59" t="s">
        <v>798</v>
      </c>
      <c r="Z59" t="s">
        <v>799</v>
      </c>
      <c r="AA59" t="s">
        <v>800</v>
      </c>
      <c r="AB59" t="s">
        <v>801</v>
      </c>
      <c r="AC59" t="s">
        <v>801</v>
      </c>
      <c r="AD59" t="s">
        <v>802</v>
      </c>
      <c r="AE59" t="s">
        <v>802</v>
      </c>
      <c r="AF59" t="s">
        <v>803</v>
      </c>
      <c r="AG59">
        <v>191</v>
      </c>
    </row>
    <row r="60" spans="1:33">
      <c r="A60" t="s">
        <v>804</v>
      </c>
      <c r="B60" t="s">
        <v>208</v>
      </c>
      <c r="C60" t="s">
        <v>781</v>
      </c>
      <c r="D60" t="s">
        <v>455</v>
      </c>
      <c r="E60" t="s">
        <v>597</v>
      </c>
      <c r="F60" t="s">
        <v>805</v>
      </c>
      <c r="G60" t="s">
        <v>715</v>
      </c>
      <c r="H60" t="s">
        <v>89</v>
      </c>
      <c r="I60" t="s">
        <v>526</v>
      </c>
      <c r="J60" t="s">
        <v>597</v>
      </c>
      <c r="K60" t="s">
        <v>457</v>
      </c>
      <c r="L60" t="s">
        <v>730</v>
      </c>
      <c r="M60" t="s">
        <v>459</v>
      </c>
      <c r="N60" t="s">
        <v>460</v>
      </c>
      <c r="O60" t="s">
        <v>461</v>
      </c>
      <c r="P60" t="s">
        <v>462</v>
      </c>
      <c r="Q60" t="s">
        <v>584</v>
      </c>
      <c r="R60" t="s">
        <v>781</v>
      </c>
      <c r="S60" t="s">
        <v>806</v>
      </c>
      <c r="T60" t="s">
        <v>87</v>
      </c>
      <c r="U60" t="s">
        <v>717</v>
      </c>
      <c r="V60" t="s">
        <v>455</v>
      </c>
      <c r="W60" t="s">
        <v>240</v>
      </c>
      <c r="X60" t="s">
        <v>341</v>
      </c>
      <c r="Y60" t="s">
        <v>342</v>
      </c>
      <c r="Z60" t="s">
        <v>455</v>
      </c>
      <c r="AA60" t="s">
        <v>387</v>
      </c>
      <c r="AB60" t="s">
        <v>720</v>
      </c>
      <c r="AC60" t="s">
        <v>720</v>
      </c>
      <c r="AD60" t="s">
        <v>807</v>
      </c>
      <c r="AE60" t="s">
        <v>807</v>
      </c>
      <c r="AF60" t="s">
        <v>387</v>
      </c>
      <c r="AG60">
        <v>192</v>
      </c>
    </row>
    <row r="61" spans="1:33">
      <c r="A61" t="s">
        <v>808</v>
      </c>
      <c r="B61" t="s">
        <v>208</v>
      </c>
      <c r="C61" t="s">
        <v>781</v>
      </c>
      <c r="D61" t="s">
        <v>455</v>
      </c>
      <c r="E61" t="s">
        <v>166</v>
      </c>
      <c r="F61" t="s">
        <v>809</v>
      </c>
      <c r="G61" t="s">
        <v>381</v>
      </c>
      <c r="H61" t="s">
        <v>89</v>
      </c>
      <c r="I61" t="s">
        <v>810</v>
      </c>
      <c r="J61" t="s">
        <v>166</v>
      </c>
      <c r="K61" t="s">
        <v>490</v>
      </c>
      <c r="L61" t="s">
        <v>483</v>
      </c>
      <c r="M61" t="s">
        <v>459</v>
      </c>
      <c r="N61" t="s">
        <v>460</v>
      </c>
      <c r="O61" t="s">
        <v>461</v>
      </c>
      <c r="P61" t="s">
        <v>462</v>
      </c>
      <c r="Q61" t="s">
        <v>584</v>
      </c>
      <c r="R61" t="s">
        <v>781</v>
      </c>
      <c r="S61" t="s">
        <v>811</v>
      </c>
      <c r="T61" t="s">
        <v>87</v>
      </c>
      <c r="U61" t="s">
        <v>786</v>
      </c>
      <c r="V61" t="s">
        <v>455</v>
      </c>
      <c r="W61" t="s">
        <v>538</v>
      </c>
      <c r="X61" t="s">
        <v>812</v>
      </c>
      <c r="Y61" t="s">
        <v>813</v>
      </c>
      <c r="Z61" t="s">
        <v>814</v>
      </c>
      <c r="AA61" t="s">
        <v>815</v>
      </c>
      <c r="AB61" t="s">
        <v>816</v>
      </c>
      <c r="AC61" t="s">
        <v>816</v>
      </c>
      <c r="AD61" t="s">
        <v>817</v>
      </c>
      <c r="AE61" t="s">
        <v>817</v>
      </c>
      <c r="AF61" t="s">
        <v>818</v>
      </c>
      <c r="AG61">
        <v>195</v>
      </c>
    </row>
    <row r="62" spans="1:33">
      <c r="A62" t="s">
        <v>819</v>
      </c>
      <c r="B62" t="s">
        <v>208</v>
      </c>
      <c r="C62" t="s">
        <v>781</v>
      </c>
      <c r="D62" t="s">
        <v>455</v>
      </c>
      <c r="E62" t="s">
        <v>166</v>
      </c>
      <c r="F62" t="s">
        <v>820</v>
      </c>
      <c r="G62" t="s">
        <v>381</v>
      </c>
      <c r="H62" t="s">
        <v>89</v>
      </c>
      <c r="I62" t="s">
        <v>736</v>
      </c>
      <c r="J62" t="s">
        <v>166</v>
      </c>
      <c r="K62" t="s">
        <v>737</v>
      </c>
      <c r="L62" t="s">
        <v>821</v>
      </c>
      <c r="M62" t="s">
        <v>459</v>
      </c>
      <c r="N62" t="s">
        <v>460</v>
      </c>
      <c r="O62" t="s">
        <v>461</v>
      </c>
      <c r="P62" t="s">
        <v>462</v>
      </c>
      <c r="Q62" t="s">
        <v>584</v>
      </c>
      <c r="R62" t="s">
        <v>781</v>
      </c>
      <c r="S62" t="s">
        <v>822</v>
      </c>
      <c r="T62" t="s">
        <v>87</v>
      </c>
      <c r="U62" t="s">
        <v>786</v>
      </c>
      <c r="V62" t="s">
        <v>455</v>
      </c>
      <c r="W62" t="s">
        <v>520</v>
      </c>
      <c r="X62" t="s">
        <v>823</v>
      </c>
      <c r="Y62" t="s">
        <v>824</v>
      </c>
      <c r="Z62" t="s">
        <v>825</v>
      </c>
      <c r="AA62" t="s">
        <v>815</v>
      </c>
      <c r="AB62" t="s">
        <v>816</v>
      </c>
      <c r="AC62" t="s">
        <v>816</v>
      </c>
      <c r="AD62" t="s">
        <v>826</v>
      </c>
      <c r="AE62" t="s">
        <v>826</v>
      </c>
      <c r="AF62" t="s">
        <v>818</v>
      </c>
      <c r="AG62">
        <v>196</v>
      </c>
    </row>
    <row r="63" spans="1:33">
      <c r="A63" t="s">
        <v>827</v>
      </c>
      <c r="B63" t="s">
        <v>208</v>
      </c>
      <c r="C63" t="s">
        <v>781</v>
      </c>
      <c r="D63" t="s">
        <v>455</v>
      </c>
      <c r="E63" t="s">
        <v>166</v>
      </c>
      <c r="F63" t="s">
        <v>809</v>
      </c>
      <c r="G63" t="s">
        <v>381</v>
      </c>
      <c r="H63" t="s">
        <v>89</v>
      </c>
      <c r="I63" t="s">
        <v>828</v>
      </c>
      <c r="J63" t="s">
        <v>166</v>
      </c>
      <c r="K63" t="s">
        <v>506</v>
      </c>
      <c r="L63" t="s">
        <v>829</v>
      </c>
      <c r="M63" t="s">
        <v>459</v>
      </c>
      <c r="N63" t="s">
        <v>460</v>
      </c>
      <c r="O63" t="s">
        <v>461</v>
      </c>
      <c r="P63" t="s">
        <v>462</v>
      </c>
      <c r="Q63" t="s">
        <v>584</v>
      </c>
      <c r="R63" t="s">
        <v>781</v>
      </c>
      <c r="S63" t="s">
        <v>830</v>
      </c>
      <c r="T63" t="s">
        <v>87</v>
      </c>
      <c r="U63" t="s">
        <v>786</v>
      </c>
      <c r="V63" t="s">
        <v>455</v>
      </c>
      <c r="W63" t="s">
        <v>538</v>
      </c>
      <c r="X63" t="s">
        <v>831</v>
      </c>
      <c r="Y63" t="s">
        <v>832</v>
      </c>
      <c r="Z63" t="s">
        <v>833</v>
      </c>
      <c r="AA63" t="s">
        <v>815</v>
      </c>
      <c r="AB63" t="s">
        <v>816</v>
      </c>
      <c r="AC63" t="s">
        <v>816</v>
      </c>
      <c r="AD63" t="s">
        <v>834</v>
      </c>
      <c r="AE63" t="s">
        <v>834</v>
      </c>
      <c r="AF63" t="s">
        <v>818</v>
      </c>
      <c r="AG63">
        <v>200</v>
      </c>
    </row>
    <row r="64" spans="1:33">
      <c r="A64" t="s">
        <v>827</v>
      </c>
      <c r="B64" t="s">
        <v>208</v>
      </c>
      <c r="C64" t="s">
        <v>781</v>
      </c>
      <c r="D64" t="s">
        <v>455</v>
      </c>
      <c r="E64" t="s">
        <v>166</v>
      </c>
      <c r="F64" t="s">
        <v>809</v>
      </c>
      <c r="G64" t="s">
        <v>381</v>
      </c>
      <c r="H64" t="s">
        <v>89</v>
      </c>
      <c r="I64" t="s">
        <v>835</v>
      </c>
      <c r="J64" t="s">
        <v>166</v>
      </c>
      <c r="K64" t="s">
        <v>490</v>
      </c>
      <c r="L64" t="s">
        <v>483</v>
      </c>
      <c r="M64" t="s">
        <v>459</v>
      </c>
      <c r="N64" t="s">
        <v>460</v>
      </c>
      <c r="O64" t="s">
        <v>461</v>
      </c>
      <c r="P64" t="s">
        <v>462</v>
      </c>
      <c r="Q64" t="s">
        <v>584</v>
      </c>
      <c r="R64" t="s">
        <v>781</v>
      </c>
      <c r="S64" t="s">
        <v>830</v>
      </c>
      <c r="T64" t="s">
        <v>87</v>
      </c>
      <c r="U64" t="s">
        <v>786</v>
      </c>
      <c r="V64" t="s">
        <v>455</v>
      </c>
      <c r="W64" t="s">
        <v>538</v>
      </c>
      <c r="X64" t="s">
        <v>831</v>
      </c>
      <c r="Y64" t="s">
        <v>832</v>
      </c>
      <c r="Z64" t="s">
        <v>833</v>
      </c>
      <c r="AA64" t="s">
        <v>815</v>
      </c>
      <c r="AB64" t="s">
        <v>816</v>
      </c>
      <c r="AC64" t="s">
        <v>816</v>
      </c>
      <c r="AD64" t="s">
        <v>834</v>
      </c>
      <c r="AE64" t="s">
        <v>834</v>
      </c>
      <c r="AF64" t="s">
        <v>818</v>
      </c>
      <c r="AG64">
        <v>201</v>
      </c>
    </row>
    <row r="65" spans="1:33">
      <c r="A65" t="s">
        <v>827</v>
      </c>
      <c r="B65" t="s">
        <v>208</v>
      </c>
      <c r="C65" t="s">
        <v>781</v>
      </c>
      <c r="D65" t="s">
        <v>455</v>
      </c>
      <c r="E65" t="s">
        <v>166</v>
      </c>
      <c r="F65" t="s">
        <v>809</v>
      </c>
      <c r="G65" t="s">
        <v>381</v>
      </c>
      <c r="H65" t="s">
        <v>48</v>
      </c>
      <c r="I65" t="s">
        <v>836</v>
      </c>
      <c r="J65" t="s">
        <v>166</v>
      </c>
      <c r="K65" t="s">
        <v>600</v>
      </c>
      <c r="L65" t="s">
        <v>514</v>
      </c>
      <c r="M65" t="s">
        <v>459</v>
      </c>
      <c r="N65" t="s">
        <v>460</v>
      </c>
      <c r="O65" t="s">
        <v>461</v>
      </c>
      <c r="P65" t="s">
        <v>462</v>
      </c>
      <c r="Q65" t="s">
        <v>584</v>
      </c>
      <c r="R65" t="s">
        <v>781</v>
      </c>
      <c r="S65" t="s">
        <v>830</v>
      </c>
      <c r="T65" t="s">
        <v>87</v>
      </c>
      <c r="U65" t="s">
        <v>786</v>
      </c>
      <c r="V65" t="s">
        <v>455</v>
      </c>
      <c r="W65" t="s">
        <v>538</v>
      </c>
      <c r="X65" t="s">
        <v>831</v>
      </c>
      <c r="Y65" t="s">
        <v>832</v>
      </c>
      <c r="Z65" t="s">
        <v>833</v>
      </c>
      <c r="AA65" t="s">
        <v>815</v>
      </c>
      <c r="AB65" t="s">
        <v>816</v>
      </c>
      <c r="AC65" t="s">
        <v>816</v>
      </c>
      <c r="AD65" t="s">
        <v>834</v>
      </c>
      <c r="AE65" t="s">
        <v>834</v>
      </c>
      <c r="AF65" t="s">
        <v>818</v>
      </c>
      <c r="AG65">
        <v>202</v>
      </c>
    </row>
    <row r="66" spans="1:33">
      <c r="A66" t="s">
        <v>827</v>
      </c>
      <c r="B66" t="s">
        <v>208</v>
      </c>
      <c r="C66" t="s">
        <v>781</v>
      </c>
      <c r="D66" t="s">
        <v>455</v>
      </c>
      <c r="E66" t="s">
        <v>166</v>
      </c>
      <c r="F66" t="s">
        <v>809</v>
      </c>
      <c r="G66" t="s">
        <v>381</v>
      </c>
      <c r="H66" t="s">
        <v>48</v>
      </c>
      <c r="I66" t="s">
        <v>837</v>
      </c>
      <c r="J66" t="s">
        <v>166</v>
      </c>
      <c r="K66" t="s">
        <v>506</v>
      </c>
      <c r="L66" t="s">
        <v>483</v>
      </c>
      <c r="M66" t="s">
        <v>459</v>
      </c>
      <c r="N66" t="s">
        <v>460</v>
      </c>
      <c r="O66" t="s">
        <v>461</v>
      </c>
      <c r="P66" t="s">
        <v>462</v>
      </c>
      <c r="Q66" t="s">
        <v>584</v>
      </c>
      <c r="R66" t="s">
        <v>781</v>
      </c>
      <c r="S66" t="s">
        <v>830</v>
      </c>
      <c r="T66" t="s">
        <v>87</v>
      </c>
      <c r="U66" t="s">
        <v>786</v>
      </c>
      <c r="V66" t="s">
        <v>455</v>
      </c>
      <c r="W66" t="s">
        <v>538</v>
      </c>
      <c r="X66" t="s">
        <v>831</v>
      </c>
      <c r="Y66" t="s">
        <v>832</v>
      </c>
      <c r="Z66" t="s">
        <v>833</v>
      </c>
      <c r="AA66" t="s">
        <v>815</v>
      </c>
      <c r="AB66" t="s">
        <v>816</v>
      </c>
      <c r="AC66" t="s">
        <v>816</v>
      </c>
      <c r="AD66" t="s">
        <v>834</v>
      </c>
      <c r="AE66" t="s">
        <v>834</v>
      </c>
      <c r="AF66" t="s">
        <v>818</v>
      </c>
      <c r="AG66">
        <v>204</v>
      </c>
    </row>
    <row r="67" spans="1:33">
      <c r="A67" t="s">
        <v>838</v>
      </c>
      <c r="B67" t="s">
        <v>208</v>
      </c>
      <c r="C67" t="s">
        <v>781</v>
      </c>
      <c r="D67" t="s">
        <v>455</v>
      </c>
      <c r="E67" t="s">
        <v>166</v>
      </c>
      <c r="F67" t="s">
        <v>839</v>
      </c>
      <c r="G67" t="s">
        <v>715</v>
      </c>
      <c r="H67" t="s">
        <v>48</v>
      </c>
      <c r="I67" t="s">
        <v>455</v>
      </c>
      <c r="J67" t="s">
        <v>166</v>
      </c>
      <c r="K67" t="s">
        <v>600</v>
      </c>
      <c r="L67" t="s">
        <v>758</v>
      </c>
      <c r="M67" t="s">
        <v>459</v>
      </c>
      <c r="N67" t="s">
        <v>460</v>
      </c>
      <c r="O67" t="s">
        <v>461</v>
      </c>
      <c r="P67" t="s">
        <v>462</v>
      </c>
      <c r="Q67" t="s">
        <v>384</v>
      </c>
      <c r="R67" t="s">
        <v>781</v>
      </c>
      <c r="S67" t="s">
        <v>840</v>
      </c>
      <c r="T67" t="s">
        <v>87</v>
      </c>
      <c r="U67" t="s">
        <v>717</v>
      </c>
      <c r="V67" t="s">
        <v>455</v>
      </c>
      <c r="W67" t="s">
        <v>538</v>
      </c>
      <c r="X67" t="s">
        <v>379</v>
      </c>
      <c r="Y67" t="s">
        <v>379</v>
      </c>
      <c r="Z67" t="s">
        <v>841</v>
      </c>
      <c r="AA67" t="s">
        <v>392</v>
      </c>
      <c r="AB67" t="s">
        <v>842</v>
      </c>
      <c r="AC67" t="s">
        <v>842</v>
      </c>
      <c r="AD67" t="s">
        <v>843</v>
      </c>
      <c r="AE67" t="s">
        <v>843</v>
      </c>
      <c r="AF67" t="s">
        <v>392</v>
      </c>
      <c r="AG67">
        <v>206</v>
      </c>
    </row>
    <row r="2123" spans="22:22">
      <c r="V2123" s="324"/>
    </row>
    <row r="2124" spans="22:22">
      <c r="V2124" s="324"/>
    </row>
    <row r="2527" spans="1:32">
      <c r="A2527" s="127"/>
      <c r="B2527" s="127"/>
      <c r="C2527" s="127"/>
      <c r="D2527" s="127"/>
      <c r="E2527" s="127"/>
      <c r="F2527" s="127"/>
      <c r="G2527" s="127"/>
      <c r="H2527" s="127"/>
      <c r="I2527" s="127"/>
      <c r="J2527" s="127"/>
      <c r="K2527" s="127"/>
      <c r="L2527" s="127"/>
      <c r="M2527" s="127"/>
      <c r="N2527" s="127"/>
      <c r="O2527" s="127"/>
      <c r="P2527" s="127"/>
      <c r="Q2527" s="127"/>
      <c r="R2527" s="127"/>
      <c r="S2527" s="127"/>
      <c r="T2527" s="127"/>
      <c r="U2527" s="127"/>
      <c r="V2527" s="127"/>
      <c r="W2527" s="127"/>
      <c r="X2527" s="127"/>
      <c r="Y2527" s="127"/>
      <c r="Z2527" s="127"/>
      <c r="AA2527" s="127"/>
      <c r="AB2527" s="127"/>
      <c r="AC2527" s="127"/>
      <c r="AD2527" s="127"/>
      <c r="AE2527" s="127"/>
      <c r="AF2527" s="127"/>
    </row>
  </sheetData>
  <autoFilter ref="A1:AF195">
    <filterColumn colId="2">
      <filters>
        <filter val="Oct"/>
      </filters>
    </filterColumn>
  </autoFilter>
  <dataConsolidate/>
  <mergeCells count="1">
    <mergeCell ref="V2123:V2124"/>
  </mergeCells>
  <dataValidations count="9">
    <dataValidation type="list" showInputMessage="1" showErrorMessage="1" errorTitle="Invalid Entry" error="Please choose from the Drop Box" sqref="I2424 H223:H2424 H165:H195 JD3:JD60 SZ3:SZ60 ACV3:ACV60 AMR3:AMR60 AWN3:AWN60 BGJ3:BGJ60 BQF3:BQF60 CAB3:CAB60 CJX3:CJX60 CTT3:CTT60 DDP3:DDP60 DNL3:DNL60 DXH3:DXH60 EHD3:EHD60 EQZ3:EQZ60 FAV3:FAV60 FKR3:FKR60 FUN3:FUN60 GEJ3:GEJ60 GOF3:GOF60 GYB3:GYB60 HHX3:HHX60 HRT3:HRT60 IBP3:IBP60 ILL3:ILL60 IVH3:IVH60 JFD3:JFD60 JOZ3:JOZ60 JYV3:JYV60 KIR3:KIR60 KSN3:KSN60 LCJ3:LCJ60 LMF3:LMF60 LWB3:LWB60 MFX3:MFX60 MPT3:MPT60 MZP3:MZP60 NJL3:NJL60 NTH3:NTH60 ODD3:ODD60 OMZ3:OMZ60 OWV3:OWV60 PGR3:PGR60 PQN3:PQN60 QAJ3:QAJ60 QKF3:QKF60 QUB3:QUB60 RDX3:RDX60 RNT3:RNT60 RXP3:RXP60 SHL3:SHL60 SRH3:SRH60 TBD3:TBD60 TKZ3:TKZ60 TUV3:TUV60 UER3:UER60 UON3:UON60 UYJ3:UYJ60 VIF3:VIF60 VSB3:VSB60 WBX3:WBX60 WLT3:WLT60 WVP3:WVP60 H3:H163">
      <formula1>"MTU,PERKINS,VOLVO,MAXFORCE"</formula1>
    </dataValidation>
    <dataValidation type="list" showInputMessage="1" showErrorMessage="1" errorTitle="Invalid Entry" error="Please Select From the Drop Box" sqref="D223:D2424 WLP22:WLP60 WBT22:WBT60 VRX22:VRX60 VIB22:VIB60 UYF22:UYF60 UOJ22:UOJ60 UEN22:UEN60 TUR22:TUR60 TKV22:TKV60 TAZ22:TAZ60 SRD22:SRD60 SHH22:SHH60 RXL22:RXL60 RNP22:RNP60 RDT22:RDT60 QTX22:QTX60 QKB22:QKB60 QAF22:QAF60 PQJ22:PQJ60 PGN22:PGN60 OWR22:OWR60 OMV22:OMV60 OCZ22:OCZ60 NTD22:NTD60 NJH22:NJH60 MZL22:MZL60 MPP22:MPP60 MFT22:MFT60 LVX22:LVX60 LMB22:LMB60 LCF22:LCF60 KSJ22:KSJ60 KIN22:KIN60 JYR22:JYR60 JOV22:JOV60 JEZ22:JEZ60 IVD22:IVD60 ILH22:ILH60 IBL22:IBL60 HRP22:HRP60 HHT22:HHT60 GXX22:GXX60 GOB22:GOB60 GEF22:GEF60 FUJ22:FUJ60 FKN22:FKN60 FAR22:FAR60 EQV22:EQV60 EGZ22:EGZ60 DXD22:DXD60 DNH22:DNH60 DDL22:DDL60 CTP22:CTP60 CJT22:CJT60 BZX22:BZX60 BQB22:BQB60 BGF22:BGF60 AWJ22:AWJ60 AMN22:AMN60 ACR22:ACR60 SV22:SV60 IZ22:IZ60 WVL22:WVL60 WVL3:WVL8 WLP3:WLP8 WBT3:WBT8 VRX3:VRX8 VIB3:VIB8 UYF3:UYF8 UOJ3:UOJ8 UEN3:UEN8 TUR3:TUR8 TKV3:TKV8 TAZ3:TAZ8 SRD3:SRD8 SHH3:SHH8 RXL3:RXL8 RNP3:RNP8 RDT3:RDT8 QTX3:QTX8 QKB3:QKB8 QAF3:QAF8 PQJ3:PQJ8 PGN3:PGN8 OWR3:OWR8 OMV3:OMV8 OCZ3:OCZ8 NTD3:NTD8 NJH3:NJH8 MZL3:MZL8 MPP3:MPP8 MFT3:MFT8 LVX3:LVX8 LMB3:LMB8 LCF3:LCF8 KSJ3:KSJ8 KIN3:KIN8 JYR3:JYR8 JOV3:JOV8 JEZ3:JEZ8 IVD3:IVD8 ILH3:ILH8 IBL3:IBL8 HRP3:HRP8 HHT3:HHT8 GXX3:GXX8 GOB3:GOB8 GEF3:GEF8 FUJ3:FUJ8 FKN3:FKN8 FAR3:FAR8 EQV3:EQV8 EGZ3:EGZ8 DXD3:DXD8 DNH3:DNH8 DDL3:DDL8 CTP3:CTP8 CJT3:CJT8 BZX3:BZX8 BQB3:BQB8 BGF3:BGF8 AWJ3:AWJ8 AMN3:AMN8 ACR3:ACR8 SV3:SV8 IZ3:IZ8 D3:D8 D22:D159">
      <formula1>"1,2,3,4,5,6,7,8,9,10,11,12,13,14,15,16,17,18,19,20,21,22,23,24,25,26,27,28,29,30,31"</formula1>
    </dataValidation>
    <dataValidation showInputMessage="1" showErrorMessage="1" errorTitle="Invalid Entry" error="Please choose from the Drop Box" sqref="I223:I2423 WVQ3:WVQ60 JE3:JE60 TA3:TA60 ACW3:ACW60 AMS3:AMS60 AWO3:AWO60 BGK3:BGK60 BQG3:BQG60 CAC3:CAC60 CJY3:CJY60 CTU3:CTU60 DDQ3:DDQ60 DNM3:DNM60 DXI3:DXI60 EHE3:EHE60 ERA3:ERA60 FAW3:FAW60 FKS3:FKS60 FUO3:FUO60 GEK3:GEK60 GOG3:GOG60 GYC3:GYC60 HHY3:HHY60 HRU3:HRU60 IBQ3:IBQ60 ILM3:ILM60 IVI3:IVI60 JFE3:JFE60 JPA3:JPA60 JYW3:JYW60 KIS3:KIS60 KSO3:KSO60 LCK3:LCK60 LMG3:LMG60 LWC3:LWC60 MFY3:MFY60 MPU3:MPU60 MZQ3:MZQ60 NJM3:NJM60 NTI3:NTI60 ODE3:ODE60 ONA3:ONA60 OWW3:OWW60 PGS3:PGS60 PQO3:PQO60 QAK3:QAK60 QKG3:QKG60 QUC3:QUC60 RDY3:RDY60 RNU3:RNU60 RXQ3:RXQ60 SHM3:SHM60 SRI3:SRI60 TBE3:TBE60 TLA3:TLA60 TUW3:TUW60 UES3:UES60 UOO3:UOO60 UYK3:UYK60 VIG3:VIG60 VSC3:VSC60 WBY3:WBY60 WLU3:WLU60 I165:I195 I3:I163"/>
    <dataValidation type="list" showInputMessage="1" showErrorMessage="1" errorTitle="Invalid Entry" error="Please select From the Drop Box" promptTitle="Enter Month of Quote" sqref="C223:C2424 R223:R2424 WVZ22:WVZ60 WMD22:WMD60 WCH22:WCH60 VSL22:VSL60 VIP22:VIP60 UYT22:UYT60 UOX22:UOX60 UFB22:UFB60 TVF22:TVF60 TLJ22:TLJ60 TBN22:TBN60 SRR22:SRR60 SHV22:SHV60 RXZ22:RXZ60 ROD22:ROD60 REH22:REH60 QUL22:QUL60 QKP22:QKP60 QAT22:QAT60 PQX22:PQX60 PHB22:PHB60 OXF22:OXF60 ONJ22:ONJ60 ODN22:ODN60 NTR22:NTR60 NJV22:NJV60 MZZ22:MZZ60 MQD22:MQD60 MGH22:MGH60 LWL22:LWL60 LMP22:LMP60 LCT22:LCT60 KSX22:KSX60 KJB22:KJB60 JZF22:JZF60 JPJ22:JPJ60 JFN22:JFN60 IVR22:IVR60 ILV22:ILV60 IBZ22:IBZ60 HSD22:HSD60 HIH22:HIH60 GYL22:GYL60 GOP22:GOP60 GET22:GET60 FUX22:FUX60 FLB22:FLB60 FBF22:FBF60 ERJ22:ERJ60 EHN22:EHN60 DXR22:DXR60 DNV22:DNV60 DDZ22:DDZ60 CUD22:CUD60 CKH22:CKH60 CAL22:CAL60 BQP22:BQP60 BGT22:BGT60 AWX22:AWX60 ANB22:ANB60 ADF22:ADF60 TJ22:TJ60 JN22:JN60 R22:R60 WVK3:WVK60 IY3:IY60 SU3:SU60 ACQ3:ACQ60 AMM3:AMM60 AWI3:AWI60 BGE3:BGE60 BQA3:BQA60 BZW3:BZW60 CJS3:CJS60 CTO3:CTO60 DDK3:DDK60 DNG3:DNG60 DXC3:DXC60 EGY3:EGY60 EQU3:EQU60 FAQ3:FAQ60 FKM3:FKM60 FUI3:FUI60 GEE3:GEE60 GOA3:GOA60 GXW3:GXW60 HHS3:HHS60 HRO3:HRO60 IBK3:IBK60 ILG3:ILG60 IVC3:IVC60 JEY3:JEY60 JOU3:JOU60 JYQ3:JYQ60 KIM3:KIM60 KSI3:KSI60 LCE3:LCE60 LMA3:LMA60 LVW3:LVW60 MFS3:MFS60 MPO3:MPO60 MZK3:MZK60 NJG3:NJG60 NTC3:NTC60 OCY3:OCY60 OMU3:OMU60 OWQ3:OWQ60 PGM3:PGM60 PQI3:PQI60 QAE3:QAE60 QKA3:QKA60 QTW3:QTW60 RDS3:RDS60 RNO3:RNO60 RXK3:RXK60 SHG3:SHG60 SRC3:SRC60 TAY3:TAY60 TKU3:TKU60 TUQ3:TUQ60 UEM3:UEM60 UOI3:UOI60 UYE3:UYE60 VIA3:VIA60 VRW3:VRW60 WBS3:WBS60 WLO3:WLO60 R98 R64 C3:C165">
      <formula1>"Apr,May,Jun,Jul,Aug,Sept,Oct,Nov,Dec,Jan,Feb,Mar"</formula1>
    </dataValidation>
    <dataValidation type="list" showInputMessage="1" showErrorMessage="1" errorTitle="Invalid Entry" error="Please select from the Drop Box" sqref="K223:K2424 WLW11:WLW60 WCA11:WCA60 VSE11:VSE60 VII11:VII60 UYM11:UYM60 UOQ11:UOQ60 UEU11:UEU60 TUY11:TUY60 TLC11:TLC60 TBG11:TBG60 SRK11:SRK60 SHO11:SHO60 RXS11:RXS60 RNW11:RNW60 REA11:REA60 QUE11:QUE60 QKI11:QKI60 QAM11:QAM60 PQQ11:PQQ60 PGU11:PGU60 OWY11:OWY60 ONC11:ONC60 ODG11:ODG60 NTK11:NTK60 NJO11:NJO60 MZS11:MZS60 MPW11:MPW60 MGA11:MGA60 LWE11:LWE60 LMI11:LMI60 LCM11:LCM60 KSQ11:KSQ60 KIU11:KIU60 JYY11:JYY60 JPC11:JPC60 JFG11:JFG60 IVK11:IVK60 ILO11:ILO60 IBS11:IBS60 HRW11:HRW60 HIA11:HIA60 GYE11:GYE60 GOI11:GOI60 GEM11:GEM60 FUQ11:FUQ60 FKU11:FKU60 FAY11:FAY60 ERC11:ERC60 EHG11:EHG60 DXK11:DXK60 DNO11:DNO60 DDS11:DDS60 CTW11:CTW60 CKA11:CKA60 CAE11:CAE60 BQI11:BQI60 BGM11:BGM60 AWQ11:AWQ60 AMU11:AMU60 ACY11:ACY60 TC11:TC60 JG11:JG60 WVS11:WVS60 WVS3:WVS9 WLW3:WLW9 WCA3:WCA9 VSE3:VSE9 VII3:VII9 UYM3:UYM9 UOQ3:UOQ9 UEU3:UEU9 TUY3:TUY9 TLC3:TLC9 TBG3:TBG9 SRK3:SRK9 SHO3:SHO9 RXS3:RXS9 RNW3:RNW9 REA3:REA9 QUE3:QUE9 QKI3:QKI9 QAM3:QAM9 PQQ3:PQQ9 PGU3:PGU9 OWY3:OWY9 ONC3:ONC9 ODG3:ODG9 NTK3:NTK9 NJO3:NJO9 MZS3:MZS9 MPW3:MPW9 MGA3:MGA9 LWE3:LWE9 LMI3:LMI9 LCM3:LCM9 KSQ3:KSQ9 KIU3:KIU9 JYY3:JYY9 JPC3:JPC9 JFG3:JFG9 IVK3:IVK9 ILO3:ILO9 IBS3:IBS9 HRW3:HRW9 HIA3:HIA9 GYE3:GYE9 GOI3:GOI9 GEM3:GEM9 FUQ3:FUQ9 FKU3:FKU9 FAY3:FAY9 ERC3:ERC9 EHG3:EHG9 DXK3:DXK9 DNO3:DNO9 DDS3:DDS9 CTW3:CTW9 CKA3:CKA9 CAE3:CAE9 BQI3:BQI9 BGM3:BGM9 AWQ3:AWQ9 AMU3:AMU9 ACY3:ACY9 TC3:TC9 JG3:JG9 K3:K9 K11:K163 K165:K195">
      <formula1>"125,140,160,180,200,250,275,300,320,350,360,380,400,450,500,590,600,630,650,750,1010,1250,1500,1650,1850,2000,2250,2500,2750,3000"</formula1>
    </dataValidation>
    <dataValidation type="list" showInputMessage="1" showErrorMessage="1" errorTitle="Invalid Entry" error="Please Select From the Drop Box" sqref="J223:J2424 WVR3:WVR60 JF3:JF60 TB3:TB60 ACX3:ACX60 AMT3:AMT60 AWP3:AWP60 BGL3:BGL60 BQH3:BQH60 CAD3:CAD60 CJZ3:CJZ60 CTV3:CTV60 DDR3:DDR60 DNN3:DNN60 DXJ3:DXJ60 EHF3:EHF60 ERB3:ERB60 FAX3:FAX60 FKT3:FKT60 FUP3:FUP60 GEL3:GEL60 GOH3:GOH60 GYD3:GYD60 HHZ3:HHZ60 HRV3:HRV60 IBR3:IBR60 ILN3:ILN60 IVJ3:IVJ60 JFF3:JFF60 JPB3:JPB60 JYX3:JYX60 KIT3:KIT60 KSP3:KSP60 LCL3:LCL60 LMH3:LMH60 LWD3:LWD60 MFZ3:MFZ60 MPV3:MPV60 MZR3:MZR60 NJN3:NJN60 NTJ3:NTJ60 ODF3:ODF60 ONB3:ONB60 OWX3:OWX60 PGT3:PGT60 PQP3:PQP60 QAL3:QAL60 QKH3:QKH60 QUD3:QUD60 RDZ3:RDZ60 RNV3:RNV60 RXR3:RXR60 SHN3:SHN60 SRJ3:SRJ60 TBF3:TBF60 TLB3:TLB60 TUX3:TUX60 UET3:UET60 UOP3:UOP60 UYL3:UYL60 VIH3:VIH60 VSD3:VSD60 WBZ3:WBZ60 WLV3:WLV60 J3:J163 J165:J195">
      <formula1>"R,P"</formula1>
    </dataValidation>
    <dataValidation type="list" showInputMessage="1" showErrorMessage="1" errorTitle="Invalid Entry" error="Please Select From the Drop Box" sqref="T223:T2424 WWB3:WWB60 JP3:JP60 TL3:TL60 ADH3:ADH60 AND3:AND60 AWZ3:AWZ60 BGV3:BGV60 BQR3:BQR60 CAN3:CAN60 CKJ3:CKJ60 CUF3:CUF60 DEB3:DEB60 DNX3:DNX60 DXT3:DXT60 EHP3:EHP60 ERL3:ERL60 FBH3:FBH60 FLD3:FLD60 FUZ3:FUZ60 GEV3:GEV60 GOR3:GOR60 GYN3:GYN60 HIJ3:HIJ60 HSF3:HSF60 ICB3:ICB60 ILX3:ILX60 IVT3:IVT60 JFP3:JFP60 JPL3:JPL60 JZH3:JZH60 KJD3:KJD60 KSZ3:KSZ60 LCV3:LCV60 LMR3:LMR60 LWN3:LWN60 MGJ3:MGJ60 MQF3:MQF60 NAB3:NAB60 NJX3:NJX60 NTT3:NTT60 ODP3:ODP60 ONL3:ONL60 OXH3:OXH60 PHD3:PHD60 PQZ3:PQZ60 QAV3:QAV60 QKR3:QKR60 QUN3:QUN60 REJ3:REJ60 ROF3:ROF60 RYB3:RYB60 SHX3:SHX60 SRT3:SRT60 TBP3:TBP60 TLL3:TLL60 TVH3:TVH60 UFD3:UFD60 UOZ3:UOZ60 UYV3:UYV60 VIR3:VIR60 VSN3:VSN60 WCJ3:WCJ60 WMF3:WMF60 T3:T195">
      <formula1>"R,Y,G"</formula1>
    </dataValidation>
    <dataValidation type="list" showInputMessage="1" showErrorMessage="1" errorTitle="Invalid Entry" error="Please Select From the Drop Box" sqref="Q223:Q2424 WVY3:WVY60 JM3:JM60 TI3:TI60 ADE3:ADE60 ANA3:ANA60 AWW3:AWW60 BGS3:BGS60 BQO3:BQO60 CAK3:CAK60 CKG3:CKG60 CUC3:CUC60 DDY3:DDY60 DNU3:DNU60 DXQ3:DXQ60 EHM3:EHM60 ERI3:ERI60 FBE3:FBE60 FLA3:FLA60 FUW3:FUW60 GES3:GES60 GOO3:GOO60 GYK3:GYK60 HIG3:HIG60 HSC3:HSC60 IBY3:IBY60 ILU3:ILU60 IVQ3:IVQ60 JFM3:JFM60 JPI3:JPI60 JZE3:JZE60 KJA3:KJA60 KSW3:KSW60 LCS3:LCS60 LMO3:LMO60 LWK3:LWK60 MGG3:MGG60 MQC3:MQC60 MZY3:MZY60 NJU3:NJU60 NTQ3:NTQ60 ODM3:ODM60 ONI3:ONI60 OXE3:OXE60 PHA3:PHA60 PQW3:PQW60 QAS3:QAS60 QKO3:QKO60 QUK3:QUK60 REG3:REG60 ROC3:ROC60 RXY3:RXY60 SHU3:SHU60 SRQ3:SRQ60 TBM3:TBM60 TLI3:TLI60 TVE3:TVE60 UFA3:UFA60 UOW3:UOW60 UYS3:UYS60 VIO3:VIO60 VSK3:VSK60 WCG3:WCG60 WMC3:WMC60 Q3:Q163 Q165:Q195">
      <formula1>"Pending,Won,Lost"</formula1>
    </dataValidation>
    <dataValidation type="list" showInputMessage="1" showErrorMessage="1" errorTitle="Invalid Entry" error="Please select From the Drop Box" promptTitle="Enter Month of Quote" sqref="WVZ3:WVZ21 WMD3:WMD21 WCH3:WCH21 VSL3:VSL21 VIP3:VIP21 UYT3:UYT21 UOX3:UOX21 UFB3:UFB21 TVF3:TVF21 TLJ3:TLJ21 TBN3:TBN21 SRR3:SRR21 SHV3:SHV21 RXZ3:RXZ21 ROD3:ROD21 REH3:REH21 QUL3:QUL21 QKP3:QKP21 QAT3:QAT21 PQX3:PQX21 PHB3:PHB21 OXF3:OXF21 ONJ3:ONJ21 ODN3:ODN21 NTR3:NTR21 NJV3:NJV21 MZZ3:MZZ21 MQD3:MQD21 MGH3:MGH21 LWL3:LWL21 LMP3:LMP21 LCT3:LCT21 KSX3:KSX21 KJB3:KJB21 JZF3:JZF21 JPJ3:JPJ21 JFN3:JFN21 IVR3:IVR21 ILV3:ILV21 IBZ3:IBZ21 HSD3:HSD21 HIH3:HIH21 GYL3:GYL21 GOP3:GOP21 GET3:GET21 FUX3:FUX21 FLB3:FLB21 FBF3:FBF21 ERJ3:ERJ21 EHN3:EHN21 DXR3:DXR21 DNV3:DNV21 DDZ3:DDZ21 CUD3:CUD21 CKH3:CKH21 CAL3:CAL21 BQP3:BQP21 BGT3:BGT21 AWX3:AWX21 ANB3:ANB21 ADF3:ADF21 TJ3:TJ21 JN3:JN21 R3:R21">
      <formula1>"APR,MAY,JUN,JUL,AUG,SEPT,OCT,NOV,DEC,JAN,FEB,MAR"</formula1>
    </dataValidation>
  </dataValidations>
  <pageMargins left="0.16" right="0.42" top="0.48" bottom="0.4" header="0.23" footer="0.2"/>
  <pageSetup paperSize="8" orientation="landscape" r:id="rId1"/>
  <headerFooter alignWithMargins="0"/>
  <rowBreaks count="1" manualBreakCount="1">
    <brk id="2348" max="22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3"/>
  <dimension ref="A1:AG2973"/>
  <sheetViews>
    <sheetView view="pageBreakPreview" zoomScale="85" zoomScaleSheetLayoutView="85" workbookViewId="0">
      <pane xSplit="5" ySplit="1" topLeftCell="F2" activePane="bottomRight" state="frozen"/>
      <selection activeCell="Q89" sqref="Q89"/>
      <selection pane="topRight" activeCell="Q89" sqref="Q89"/>
      <selection pane="bottomLeft" activeCell="Q89" sqref="Q89"/>
      <selection pane="bottomRight" activeCell="C1" sqref="C1:C1048576"/>
    </sheetView>
  </sheetViews>
  <sheetFormatPr defaultRowHeight="12.75"/>
  <cols>
    <col min="1" max="1" width="12.42578125" style="310" bestFit="1" customWidth="1" collapsed="1"/>
    <col min="2" max="2" width="12.7109375" style="100" bestFit="1" customWidth="1" collapsed="1"/>
    <col min="3" max="3" width="12.28515625" style="310" bestFit="1" customWidth="1" collapsed="1"/>
    <col min="4" max="4" width="9.28515625" style="310" bestFit="1" customWidth="1" collapsed="1"/>
    <col min="5" max="5" width="43.5703125" style="97" customWidth="1" collapsed="1"/>
    <col min="6" max="6" width="26.7109375" style="98" customWidth="1" collapsed="1"/>
    <col min="7" max="7" width="15.140625" style="97" bestFit="1" customWidth="1" collapsed="1"/>
    <col min="8" max="8" width="12.42578125" style="78" bestFit="1" customWidth="1" collapsed="1"/>
    <col min="9" max="9" width="18.140625" style="98" bestFit="1" customWidth="1" collapsed="1"/>
    <col min="10" max="10" width="20.140625" style="98" bestFit="1" customWidth="1" collapsed="1"/>
    <col min="11" max="11" width="13.85546875" style="78" customWidth="1" collapsed="1"/>
    <col min="12" max="12" width="9.28515625" style="78" bestFit="1" customWidth="1" collapsed="1"/>
    <col min="13" max="13" width="15" style="153" bestFit="1" customWidth="1" collapsed="1"/>
    <col min="14" max="14" width="17.28515625" style="153" bestFit="1" customWidth="1" collapsed="1"/>
    <col min="15" max="15" width="14.140625" style="300" bestFit="1" customWidth="1" collapsed="1"/>
    <col min="16" max="16" width="17.42578125" style="78" bestFit="1" customWidth="1" collapsed="1"/>
    <col min="17" max="17" width="13" style="98" bestFit="1" customWidth="1" collapsed="1"/>
    <col min="18" max="18" width="15.42578125" style="100" bestFit="1" customWidth="1" collapsed="1"/>
    <col min="19" max="19" width="18" style="98" bestFit="1" customWidth="1" collapsed="1"/>
    <col min="20" max="20" width="27.85546875" style="98" bestFit="1" customWidth="1" collapsed="1"/>
    <col min="21" max="21" width="12.5703125" style="19" bestFit="1" customWidth="1" collapsed="1"/>
    <col min="22" max="22" width="14.7109375" style="100" bestFit="1" customWidth="1" collapsed="1"/>
    <col min="23" max="23" width="16.42578125" style="19" bestFit="1" customWidth="1" collapsed="1"/>
    <col min="24" max="24" width="18.28515625" style="19" bestFit="1" customWidth="1" collapsed="1"/>
    <col min="25" max="25" width="14.42578125" style="19" bestFit="1" customWidth="1" collapsed="1"/>
    <col min="26" max="26" width="17.85546875" style="19" bestFit="1" customWidth="1" collapsed="1"/>
    <col min="27" max="27" width="13.5703125" style="19" bestFit="1" customWidth="1" collapsed="1"/>
    <col min="28" max="29" width="14.42578125" style="19" bestFit="1" customWidth="1" collapsed="1"/>
    <col min="30" max="31" width="16" style="19" bestFit="1" customWidth="1" collapsed="1"/>
    <col min="32" max="32" width="14.42578125" style="19" bestFit="1" customWidth="1" collapsed="1"/>
    <col min="33" max="16384" width="9.140625" style="19" collapsed="1"/>
  </cols>
  <sheetData>
    <row r="1" spans="1:33" s="87" customFormat="1" ht="38.25">
      <c r="A1" s="86" t="s">
        <v>366</v>
      </c>
      <c r="B1" s="86" t="s">
        <v>188</v>
      </c>
      <c r="C1" s="86" t="s">
        <v>84</v>
      </c>
      <c r="D1" s="86" t="s">
        <v>83</v>
      </c>
      <c r="E1" s="151" t="s">
        <v>82</v>
      </c>
      <c r="F1" s="86" t="s">
        <v>70</v>
      </c>
      <c r="G1" s="86" t="s">
        <v>176</v>
      </c>
      <c r="H1" s="86" t="s">
        <v>22</v>
      </c>
      <c r="I1" s="86" t="s">
        <v>189</v>
      </c>
      <c r="J1" s="86" t="s">
        <v>367</v>
      </c>
      <c r="K1" s="86" t="s">
        <v>21</v>
      </c>
      <c r="L1" s="86" t="s">
        <v>10</v>
      </c>
      <c r="M1" s="159" t="s">
        <v>177</v>
      </c>
      <c r="N1" s="159" t="s">
        <v>184</v>
      </c>
      <c r="O1" s="299" t="s">
        <v>185</v>
      </c>
      <c r="P1" s="86" t="s">
        <v>186</v>
      </c>
      <c r="Q1" s="86" t="s">
        <v>19</v>
      </c>
      <c r="R1" s="86" t="s">
        <v>205</v>
      </c>
      <c r="S1" s="86" t="s">
        <v>191</v>
      </c>
      <c r="T1" s="86" t="s">
        <v>155</v>
      </c>
      <c r="U1" s="86" t="s">
        <v>148</v>
      </c>
      <c r="V1" s="86" t="s">
        <v>20</v>
      </c>
      <c r="W1" s="86" t="s">
        <v>76</v>
      </c>
      <c r="X1" s="86" t="s">
        <v>9</v>
      </c>
      <c r="Y1" s="86" t="s">
        <v>71</v>
      </c>
      <c r="Z1" s="86" t="s">
        <v>77</v>
      </c>
      <c r="AA1" s="86" t="s">
        <v>72</v>
      </c>
      <c r="AB1" s="86" t="s">
        <v>78</v>
      </c>
      <c r="AC1" s="86" t="s">
        <v>77</v>
      </c>
      <c r="AD1" s="86" t="s">
        <v>79</v>
      </c>
      <c r="AE1" s="86" t="s">
        <v>80</v>
      </c>
      <c r="AF1" s="86" t="s">
        <v>77</v>
      </c>
    </row>
    <row r="2" spans="1:33">
      <c r="A2" t="s">
        <v>453</v>
      </c>
      <c r="B2" t="s">
        <v>208</v>
      </c>
      <c r="C2" t="s">
        <v>454</v>
      </c>
      <c r="D2" t="s">
        <v>455</v>
      </c>
      <c r="E2" t="s">
        <v>166</v>
      </c>
      <c r="F2" t="s">
        <v>456</v>
      </c>
      <c r="G2" t="s">
        <v>214</v>
      </c>
      <c r="H2" t="s">
        <v>89</v>
      </c>
      <c r="I2"/>
      <c r="J2" t="s">
        <v>166</v>
      </c>
      <c r="K2" t="s">
        <v>457</v>
      </c>
      <c r="L2" t="s">
        <v>458</v>
      </c>
      <c r="M2" t="s">
        <v>459</v>
      </c>
      <c r="N2" t="s">
        <v>460</v>
      </c>
      <c r="O2" t="s">
        <v>461</v>
      </c>
      <c r="P2" t="s">
        <v>462</v>
      </c>
      <c r="Q2" t="s">
        <v>215</v>
      </c>
      <c r="R2" t="s">
        <v>454</v>
      </c>
      <c r="S2" t="s">
        <v>463</v>
      </c>
      <c r="T2" t="s">
        <v>88</v>
      </c>
      <c r="U2" t="s">
        <v>464</v>
      </c>
      <c r="V2" t="s">
        <v>455</v>
      </c>
      <c r="W2" t="s">
        <v>383</v>
      </c>
      <c r="X2"/>
      <c r="Y2"/>
      <c r="Z2"/>
      <c r="AA2"/>
      <c r="AB2"/>
      <c r="AC2"/>
      <c r="AD2"/>
      <c r="AE2"/>
      <c r="AF2"/>
      <c r="AG2">
        <v>35</v>
      </c>
    </row>
    <row r="3" spans="1:33">
      <c r="A3" t="s">
        <v>465</v>
      </c>
      <c r="B3" t="s">
        <v>208</v>
      </c>
      <c r="C3" t="s">
        <v>454</v>
      </c>
      <c r="D3" t="s">
        <v>455</v>
      </c>
      <c r="E3" t="s">
        <v>166</v>
      </c>
      <c r="F3" t="s">
        <v>456</v>
      </c>
      <c r="G3" t="s">
        <v>214</v>
      </c>
      <c r="H3" t="s">
        <v>48</v>
      </c>
      <c r="I3"/>
      <c r="J3" t="s">
        <v>166</v>
      </c>
      <c r="K3" t="s">
        <v>466</v>
      </c>
      <c r="L3" t="s">
        <v>458</v>
      </c>
      <c r="M3" t="s">
        <v>459</v>
      </c>
      <c r="N3" t="s">
        <v>460</v>
      </c>
      <c r="O3" t="s">
        <v>461</v>
      </c>
      <c r="P3" t="s">
        <v>462</v>
      </c>
      <c r="Q3" t="s">
        <v>215</v>
      </c>
      <c r="R3" t="s">
        <v>454</v>
      </c>
      <c r="S3" t="s">
        <v>456</v>
      </c>
      <c r="T3" t="s">
        <v>86</v>
      </c>
      <c r="U3" t="s">
        <v>464</v>
      </c>
      <c r="V3" t="s">
        <v>455</v>
      </c>
      <c r="W3" t="s">
        <v>383</v>
      </c>
      <c r="X3" t="s">
        <v>467</v>
      </c>
      <c r="Y3" t="s">
        <v>468</v>
      </c>
      <c r="Z3" t="s">
        <v>469</v>
      </c>
      <c r="AA3" t="s">
        <v>470</v>
      </c>
      <c r="AB3" t="s">
        <v>471</v>
      </c>
      <c r="AC3" t="s">
        <v>471</v>
      </c>
      <c r="AD3" t="s">
        <v>472</v>
      </c>
      <c r="AE3" t="s">
        <v>472</v>
      </c>
      <c r="AF3" t="s">
        <v>473</v>
      </c>
      <c r="AG3">
        <v>45</v>
      </c>
    </row>
    <row r="4" spans="1:33">
      <c r="A4" t="s">
        <v>474</v>
      </c>
      <c r="B4" t="s">
        <v>208</v>
      </c>
      <c r="C4" t="s">
        <v>475</v>
      </c>
      <c r="D4" t="s">
        <v>455</v>
      </c>
      <c r="E4" t="s">
        <v>166</v>
      </c>
      <c r="F4" t="s">
        <v>456</v>
      </c>
      <c r="G4" t="s">
        <v>476</v>
      </c>
      <c r="H4" t="s">
        <v>89</v>
      </c>
      <c r="I4"/>
      <c r="J4" t="s">
        <v>166</v>
      </c>
      <c r="K4" t="s">
        <v>457</v>
      </c>
      <c r="L4" t="s">
        <v>477</v>
      </c>
      <c r="M4" t="s">
        <v>459</v>
      </c>
      <c r="N4" t="s">
        <v>460</v>
      </c>
      <c r="O4" t="s">
        <v>461</v>
      </c>
      <c r="P4" t="s">
        <v>462</v>
      </c>
      <c r="Q4" t="s">
        <v>384</v>
      </c>
      <c r="R4" t="s">
        <v>475</v>
      </c>
      <c r="S4" t="s">
        <v>478</v>
      </c>
      <c r="T4" t="s">
        <v>86</v>
      </c>
      <c r="U4" t="s">
        <v>479</v>
      </c>
      <c r="V4" t="s">
        <v>455</v>
      </c>
      <c r="W4" t="s">
        <v>480</v>
      </c>
      <c r="X4" t="s">
        <v>481</v>
      </c>
      <c r="Y4" t="s">
        <v>482</v>
      </c>
      <c r="Z4" t="s">
        <v>483</v>
      </c>
      <c r="AA4" t="s">
        <v>484</v>
      </c>
      <c r="AB4" t="s">
        <v>483</v>
      </c>
      <c r="AC4" t="s">
        <v>483</v>
      </c>
      <c r="AD4" t="s">
        <v>485</v>
      </c>
      <c r="AE4" t="s">
        <v>485</v>
      </c>
      <c r="AF4" t="s">
        <v>486</v>
      </c>
      <c r="AG4">
        <v>51</v>
      </c>
    </row>
    <row r="5" spans="1:33">
      <c r="A5" t="s">
        <v>487</v>
      </c>
      <c r="B5" t="s">
        <v>208</v>
      </c>
      <c r="C5" t="s">
        <v>488</v>
      </c>
      <c r="D5" t="s">
        <v>455</v>
      </c>
      <c r="E5" t="s">
        <v>166</v>
      </c>
      <c r="F5" t="s">
        <v>489</v>
      </c>
      <c r="G5" t="s">
        <v>476</v>
      </c>
      <c r="H5" t="s">
        <v>89</v>
      </c>
      <c r="I5" t="s">
        <v>456</v>
      </c>
      <c r="J5" t="s">
        <v>166</v>
      </c>
      <c r="K5" t="s">
        <v>490</v>
      </c>
      <c r="L5" t="s">
        <v>477</v>
      </c>
      <c r="M5" t="s">
        <v>491</v>
      </c>
      <c r="N5" t="s">
        <v>491</v>
      </c>
      <c r="O5" t="s">
        <v>491</v>
      </c>
      <c r="P5" t="s">
        <v>491</v>
      </c>
      <c r="Q5" t="s">
        <v>492</v>
      </c>
      <c r="R5" t="s">
        <v>488</v>
      </c>
      <c r="S5" t="s">
        <v>478</v>
      </c>
      <c r="T5" t="s">
        <v>86</v>
      </c>
      <c r="U5" t="s">
        <v>479</v>
      </c>
      <c r="V5" t="s">
        <v>455</v>
      </c>
      <c r="W5" t="s">
        <v>242</v>
      </c>
      <c r="X5" t="s">
        <v>493</v>
      </c>
      <c r="Y5" t="s">
        <v>493</v>
      </c>
      <c r="Z5" t="s">
        <v>494</v>
      </c>
      <c r="AA5" t="s">
        <v>493</v>
      </c>
      <c r="AB5" t="s">
        <v>483</v>
      </c>
      <c r="AC5" t="s">
        <v>483</v>
      </c>
      <c r="AD5" t="s">
        <v>495</v>
      </c>
      <c r="AE5" t="s">
        <v>495</v>
      </c>
      <c r="AF5" t="s">
        <v>493</v>
      </c>
      <c r="AG5">
        <v>52</v>
      </c>
    </row>
    <row r="6" spans="1:33">
      <c r="A6" t="s">
        <v>487</v>
      </c>
      <c r="B6" t="s">
        <v>208</v>
      </c>
      <c r="C6" t="s">
        <v>488</v>
      </c>
      <c r="D6" t="s">
        <v>455</v>
      </c>
      <c r="E6" t="s">
        <v>166</v>
      </c>
      <c r="F6" t="s">
        <v>489</v>
      </c>
      <c r="G6" t="s">
        <v>476</v>
      </c>
      <c r="H6" t="s">
        <v>89</v>
      </c>
      <c r="I6" t="s">
        <v>456</v>
      </c>
      <c r="J6" t="s">
        <v>166</v>
      </c>
      <c r="K6" t="s">
        <v>496</v>
      </c>
      <c r="L6" t="s">
        <v>477</v>
      </c>
      <c r="M6" t="s">
        <v>491</v>
      </c>
      <c r="N6" t="s">
        <v>491</v>
      </c>
      <c r="O6" t="s">
        <v>491</v>
      </c>
      <c r="P6" t="s">
        <v>491</v>
      </c>
      <c r="Q6" t="s">
        <v>492</v>
      </c>
      <c r="R6" t="s">
        <v>488</v>
      </c>
      <c r="S6" t="s">
        <v>478</v>
      </c>
      <c r="T6" t="s">
        <v>86</v>
      </c>
      <c r="U6" t="s">
        <v>479</v>
      </c>
      <c r="V6" t="s">
        <v>455</v>
      </c>
      <c r="W6" t="s">
        <v>242</v>
      </c>
      <c r="X6" t="s">
        <v>493</v>
      </c>
      <c r="Y6" t="s">
        <v>493</v>
      </c>
      <c r="Z6" t="s">
        <v>494</v>
      </c>
      <c r="AA6" t="s">
        <v>493</v>
      </c>
      <c r="AB6" t="s">
        <v>483</v>
      </c>
      <c r="AC6" t="s">
        <v>483</v>
      </c>
      <c r="AD6" t="s">
        <v>495</v>
      </c>
      <c r="AE6" t="s">
        <v>495</v>
      </c>
      <c r="AF6" t="s">
        <v>493</v>
      </c>
      <c r="AG6">
        <v>53</v>
      </c>
    </row>
    <row r="7" spans="1:33">
      <c r="A7" t="s">
        <v>497</v>
      </c>
      <c r="B7" t="s">
        <v>208</v>
      </c>
      <c r="C7" t="s">
        <v>488</v>
      </c>
      <c r="D7" t="s">
        <v>455</v>
      </c>
      <c r="E7" t="s">
        <v>166</v>
      </c>
      <c r="F7" t="s">
        <v>498</v>
      </c>
      <c r="G7" t="s">
        <v>476</v>
      </c>
      <c r="H7" t="s">
        <v>89</v>
      </c>
      <c r="I7" t="s">
        <v>499</v>
      </c>
      <c r="J7" t="s">
        <v>166</v>
      </c>
      <c r="K7" t="s">
        <v>500</v>
      </c>
      <c r="L7" t="s">
        <v>477</v>
      </c>
      <c r="M7" t="s">
        <v>491</v>
      </c>
      <c r="N7" t="s">
        <v>491</v>
      </c>
      <c r="O7" t="s">
        <v>491</v>
      </c>
      <c r="P7" t="s">
        <v>491</v>
      </c>
      <c r="Q7" t="s">
        <v>492</v>
      </c>
      <c r="R7" t="s">
        <v>488</v>
      </c>
      <c r="S7" t="s">
        <v>501</v>
      </c>
      <c r="T7" t="s">
        <v>86</v>
      </c>
      <c r="U7" t="s">
        <v>479</v>
      </c>
      <c r="V7" t="s">
        <v>455</v>
      </c>
      <c r="W7" t="s">
        <v>383</v>
      </c>
      <c r="X7"/>
      <c r="Y7"/>
      <c r="Z7"/>
      <c r="AA7"/>
      <c r="AB7"/>
      <c r="AC7"/>
      <c r="AD7"/>
      <c r="AE7"/>
      <c r="AF7"/>
      <c r="AG7">
        <v>54</v>
      </c>
    </row>
    <row r="8" spans="1:33">
      <c r="A8" t="s">
        <v>502</v>
      </c>
      <c r="B8" t="s">
        <v>208</v>
      </c>
      <c r="C8" t="s">
        <v>503</v>
      </c>
      <c r="D8" t="s">
        <v>455</v>
      </c>
      <c r="E8" t="s">
        <v>166</v>
      </c>
      <c r="F8" t="s">
        <v>504</v>
      </c>
      <c r="G8" t="s">
        <v>476</v>
      </c>
      <c r="H8" t="s">
        <v>89</v>
      </c>
      <c r="I8" t="s">
        <v>505</v>
      </c>
      <c r="J8" t="s">
        <v>166</v>
      </c>
      <c r="K8" t="s">
        <v>506</v>
      </c>
      <c r="L8" t="s">
        <v>507</v>
      </c>
      <c r="M8" t="s">
        <v>508</v>
      </c>
      <c r="N8" t="s">
        <v>460</v>
      </c>
      <c r="O8" t="s">
        <v>461</v>
      </c>
      <c r="P8" t="s">
        <v>462</v>
      </c>
      <c r="Q8" t="s">
        <v>384</v>
      </c>
      <c r="R8" t="s">
        <v>503</v>
      </c>
      <c r="S8" t="s">
        <v>509</v>
      </c>
      <c r="T8" t="s">
        <v>87</v>
      </c>
      <c r="U8" t="s">
        <v>479</v>
      </c>
      <c r="V8" t="s">
        <v>455</v>
      </c>
      <c r="W8" t="s">
        <v>240</v>
      </c>
      <c r="X8" t="s">
        <v>510</v>
      </c>
      <c r="Y8" t="s">
        <v>511</v>
      </c>
      <c r="Z8" t="s">
        <v>512</v>
      </c>
      <c r="AA8" t="s">
        <v>513</v>
      </c>
      <c r="AB8" t="s">
        <v>514</v>
      </c>
      <c r="AC8" t="s">
        <v>514</v>
      </c>
      <c r="AD8" t="s">
        <v>514</v>
      </c>
      <c r="AE8" t="s">
        <v>514</v>
      </c>
      <c r="AF8" t="s">
        <v>515</v>
      </c>
      <c r="AG8">
        <v>55</v>
      </c>
    </row>
    <row r="9" spans="1:33">
      <c r="A9" t="s">
        <v>516</v>
      </c>
      <c r="B9" t="s">
        <v>208</v>
      </c>
      <c r="C9" t="s">
        <v>517</v>
      </c>
      <c r="D9" t="s">
        <v>455</v>
      </c>
      <c r="E9" t="s">
        <v>166</v>
      </c>
      <c r="F9" t="s">
        <v>518</v>
      </c>
      <c r="G9" t="s">
        <v>476</v>
      </c>
      <c r="H9" t="s">
        <v>89</v>
      </c>
      <c r="I9" t="s">
        <v>519</v>
      </c>
      <c r="J9" t="s">
        <v>166</v>
      </c>
      <c r="K9" t="s">
        <v>506</v>
      </c>
      <c r="L9" t="s">
        <v>477</v>
      </c>
      <c r="M9" t="s">
        <v>459</v>
      </c>
      <c r="N9" t="s">
        <v>460</v>
      </c>
      <c r="O9" t="s">
        <v>461</v>
      </c>
      <c r="P9" t="s">
        <v>462</v>
      </c>
      <c r="Q9" t="s">
        <v>215</v>
      </c>
      <c r="R9" t="s">
        <v>517</v>
      </c>
      <c r="S9" t="s">
        <v>501</v>
      </c>
      <c r="T9" t="s">
        <v>86</v>
      </c>
      <c r="U9" t="s">
        <v>479</v>
      </c>
      <c r="V9" t="s">
        <v>455</v>
      </c>
      <c r="W9" t="s">
        <v>520</v>
      </c>
      <c r="X9" t="s">
        <v>455</v>
      </c>
      <c r="Y9" t="s">
        <v>455</v>
      </c>
      <c r="Z9" t="s">
        <v>455</v>
      </c>
      <c r="AA9" t="s">
        <v>455</v>
      </c>
      <c r="AB9" t="s">
        <v>455</v>
      </c>
      <c r="AC9" t="s">
        <v>455</v>
      </c>
      <c r="AD9" t="s">
        <v>512</v>
      </c>
      <c r="AE9" t="s">
        <v>512</v>
      </c>
      <c r="AF9" t="s">
        <v>455</v>
      </c>
      <c r="AG9">
        <v>56</v>
      </c>
    </row>
    <row r="10" spans="1:33">
      <c r="A10" t="s">
        <v>516</v>
      </c>
      <c r="B10" t="s">
        <v>208</v>
      </c>
      <c r="C10" t="s">
        <v>517</v>
      </c>
      <c r="D10" t="s">
        <v>455</v>
      </c>
      <c r="E10" t="s">
        <v>166</v>
      </c>
      <c r="F10" t="s">
        <v>518</v>
      </c>
      <c r="G10" t="s">
        <v>476</v>
      </c>
      <c r="H10" t="s">
        <v>89</v>
      </c>
      <c r="I10" t="s">
        <v>521</v>
      </c>
      <c r="J10" t="s">
        <v>166</v>
      </c>
      <c r="K10" t="s">
        <v>490</v>
      </c>
      <c r="L10" t="s">
        <v>477</v>
      </c>
      <c r="M10" t="s">
        <v>459</v>
      </c>
      <c r="N10" t="s">
        <v>460</v>
      </c>
      <c r="O10" t="s">
        <v>461</v>
      </c>
      <c r="P10" t="s">
        <v>462</v>
      </c>
      <c r="Q10" t="s">
        <v>215</v>
      </c>
      <c r="R10" t="s">
        <v>517</v>
      </c>
      <c r="S10" t="s">
        <v>501</v>
      </c>
      <c r="T10" t="s">
        <v>86</v>
      </c>
      <c r="U10" t="s">
        <v>479</v>
      </c>
      <c r="V10" t="s">
        <v>455</v>
      </c>
      <c r="W10" t="s">
        <v>520</v>
      </c>
      <c r="X10" t="s">
        <v>455</v>
      </c>
      <c r="Y10" t="s">
        <v>455</v>
      </c>
      <c r="Z10" t="s">
        <v>455</v>
      </c>
      <c r="AA10" t="s">
        <v>455</v>
      </c>
      <c r="AB10" t="s">
        <v>455</v>
      </c>
      <c r="AC10" t="s">
        <v>455</v>
      </c>
      <c r="AD10" t="s">
        <v>512</v>
      </c>
      <c r="AE10" t="s">
        <v>512</v>
      </c>
      <c r="AF10" t="s">
        <v>455</v>
      </c>
      <c r="AG10">
        <v>57</v>
      </c>
    </row>
    <row r="11" spans="1:33">
      <c r="A11" t="s">
        <v>522</v>
      </c>
      <c r="B11" t="s">
        <v>208</v>
      </c>
      <c r="C11" t="s">
        <v>523</v>
      </c>
      <c r="D11" t="s">
        <v>455</v>
      </c>
      <c r="E11" t="s">
        <v>166</v>
      </c>
      <c r="F11" t="s">
        <v>456</v>
      </c>
      <c r="G11" t="s">
        <v>476</v>
      </c>
      <c r="H11" t="s">
        <v>89</v>
      </c>
      <c r="I11" t="s">
        <v>524</v>
      </c>
      <c r="J11" t="s">
        <v>166</v>
      </c>
      <c r="K11" t="s">
        <v>525</v>
      </c>
      <c r="L11" t="s">
        <v>507</v>
      </c>
      <c r="M11" t="s">
        <v>491</v>
      </c>
      <c r="N11" t="s">
        <v>491</v>
      </c>
      <c r="O11" t="s">
        <v>491</v>
      </c>
      <c r="P11" t="s">
        <v>491</v>
      </c>
      <c r="Q11" t="s">
        <v>492</v>
      </c>
      <c r="R11" t="s">
        <v>523</v>
      </c>
      <c r="S11" t="s">
        <v>478</v>
      </c>
      <c r="T11" t="s">
        <v>86</v>
      </c>
      <c r="U11" t="s">
        <v>479</v>
      </c>
      <c r="V11" t="s">
        <v>455</v>
      </c>
      <c r="W11" t="s">
        <v>383</v>
      </c>
      <c r="X11"/>
      <c r="Y11"/>
      <c r="Z11"/>
      <c r="AA11"/>
      <c r="AB11"/>
      <c r="AC11"/>
      <c r="AD11"/>
      <c r="AE11"/>
      <c r="AF11"/>
      <c r="AG11">
        <v>58</v>
      </c>
    </row>
    <row r="12" spans="1:33">
      <c r="A12" t="s">
        <v>522</v>
      </c>
      <c r="B12" t="s">
        <v>208</v>
      </c>
      <c r="C12" t="s">
        <v>523</v>
      </c>
      <c r="D12" t="s">
        <v>455</v>
      </c>
      <c r="E12" t="s">
        <v>166</v>
      </c>
      <c r="F12" t="s">
        <v>456</v>
      </c>
      <c r="G12" t="s">
        <v>476</v>
      </c>
      <c r="H12" t="s">
        <v>89</v>
      </c>
      <c r="I12" t="s">
        <v>526</v>
      </c>
      <c r="J12" t="s">
        <v>166</v>
      </c>
      <c r="K12" t="s">
        <v>457</v>
      </c>
      <c r="L12" t="s">
        <v>477</v>
      </c>
      <c r="M12" t="s">
        <v>491</v>
      </c>
      <c r="N12" t="s">
        <v>491</v>
      </c>
      <c r="O12" t="s">
        <v>491</v>
      </c>
      <c r="P12" t="s">
        <v>491</v>
      </c>
      <c r="Q12" t="s">
        <v>492</v>
      </c>
      <c r="R12" t="s">
        <v>523</v>
      </c>
      <c r="S12" t="s">
        <v>478</v>
      </c>
      <c r="T12" t="s">
        <v>86</v>
      </c>
      <c r="U12" t="s">
        <v>479</v>
      </c>
      <c r="V12" t="s">
        <v>455</v>
      </c>
      <c r="W12" t="s">
        <v>383</v>
      </c>
      <c r="X12"/>
      <c r="Y12"/>
      <c r="Z12"/>
      <c r="AA12"/>
      <c r="AB12"/>
      <c r="AC12"/>
      <c r="AD12"/>
      <c r="AE12"/>
      <c r="AF12"/>
      <c r="AG12">
        <v>59</v>
      </c>
    </row>
    <row r="13" spans="1:33">
      <c r="A13" t="s">
        <v>522</v>
      </c>
      <c r="B13" t="s">
        <v>208</v>
      </c>
      <c r="C13" t="s">
        <v>523</v>
      </c>
      <c r="D13" t="s">
        <v>455</v>
      </c>
      <c r="E13" t="s">
        <v>166</v>
      </c>
      <c r="F13" t="s">
        <v>456</v>
      </c>
      <c r="G13" t="s">
        <v>476</v>
      </c>
      <c r="H13" t="s">
        <v>48</v>
      </c>
      <c r="I13" t="s">
        <v>527</v>
      </c>
      <c r="J13" t="s">
        <v>166</v>
      </c>
      <c r="K13" t="s">
        <v>466</v>
      </c>
      <c r="L13" t="s">
        <v>477</v>
      </c>
      <c r="M13" t="s">
        <v>491</v>
      </c>
      <c r="N13" t="s">
        <v>491</v>
      </c>
      <c r="O13" t="s">
        <v>491</v>
      </c>
      <c r="P13" t="s">
        <v>491</v>
      </c>
      <c r="Q13" t="s">
        <v>492</v>
      </c>
      <c r="R13" t="s">
        <v>523</v>
      </c>
      <c r="S13" t="s">
        <v>478</v>
      </c>
      <c r="T13" t="s">
        <v>86</v>
      </c>
      <c r="U13" t="s">
        <v>479</v>
      </c>
      <c r="V13" t="s">
        <v>455</v>
      </c>
      <c r="W13" t="s">
        <v>383</v>
      </c>
      <c r="X13"/>
      <c r="Y13"/>
      <c r="Z13"/>
      <c r="AA13"/>
      <c r="AB13"/>
      <c r="AC13"/>
      <c r="AD13"/>
      <c r="AE13"/>
      <c r="AF13"/>
      <c r="AG13">
        <v>60</v>
      </c>
    </row>
    <row r="14" spans="1:33">
      <c r="A14" t="s">
        <v>528</v>
      </c>
      <c r="B14" t="s">
        <v>208</v>
      </c>
      <c r="C14" t="s">
        <v>523</v>
      </c>
      <c r="D14" t="s">
        <v>455</v>
      </c>
      <c r="E14" t="s">
        <v>166</v>
      </c>
      <c r="F14" t="s">
        <v>501</v>
      </c>
      <c r="G14" t="s">
        <v>476</v>
      </c>
      <c r="H14" t="s">
        <v>89</v>
      </c>
      <c r="I14" t="s">
        <v>524</v>
      </c>
      <c r="J14" t="s">
        <v>166</v>
      </c>
      <c r="K14" t="s">
        <v>525</v>
      </c>
      <c r="L14" t="s">
        <v>458</v>
      </c>
      <c r="M14" t="s">
        <v>491</v>
      </c>
      <c r="N14" t="s">
        <v>491</v>
      </c>
      <c r="O14" t="s">
        <v>491</v>
      </c>
      <c r="P14" t="s">
        <v>491</v>
      </c>
      <c r="Q14" t="s">
        <v>492</v>
      </c>
      <c r="R14" t="s">
        <v>523</v>
      </c>
      <c r="S14" t="s">
        <v>478</v>
      </c>
      <c r="T14" t="s">
        <v>86</v>
      </c>
      <c r="U14" t="s">
        <v>479</v>
      </c>
      <c r="V14" t="s">
        <v>455</v>
      </c>
      <c r="W14" t="s">
        <v>480</v>
      </c>
      <c r="X14" t="s">
        <v>529</v>
      </c>
      <c r="Y14" t="s">
        <v>530</v>
      </c>
      <c r="Z14" t="s">
        <v>531</v>
      </c>
      <c r="AA14" t="s">
        <v>532</v>
      </c>
      <c r="AB14" t="s">
        <v>533</v>
      </c>
      <c r="AC14" t="s">
        <v>533</v>
      </c>
      <c r="AD14" t="s">
        <v>534</v>
      </c>
      <c r="AE14" t="s">
        <v>534</v>
      </c>
      <c r="AF14" t="s">
        <v>535</v>
      </c>
      <c r="AG14">
        <v>62</v>
      </c>
    </row>
    <row r="15" spans="1:33">
      <c r="A15" t="s">
        <v>536</v>
      </c>
      <c r="B15" t="s">
        <v>208</v>
      </c>
      <c r="C15" t="s">
        <v>523</v>
      </c>
      <c r="D15" t="s">
        <v>455</v>
      </c>
      <c r="E15" t="s">
        <v>166</v>
      </c>
      <c r="F15" t="s">
        <v>456</v>
      </c>
      <c r="G15" t="s">
        <v>476</v>
      </c>
      <c r="H15" t="s">
        <v>89</v>
      </c>
      <c r="I15" t="s">
        <v>526</v>
      </c>
      <c r="J15" t="s">
        <v>166</v>
      </c>
      <c r="K15" t="s">
        <v>457</v>
      </c>
      <c r="L15" t="s">
        <v>537</v>
      </c>
      <c r="M15" t="s">
        <v>491</v>
      </c>
      <c r="N15" t="s">
        <v>491</v>
      </c>
      <c r="O15" t="s">
        <v>491</v>
      </c>
      <c r="P15" t="s">
        <v>491</v>
      </c>
      <c r="Q15" t="s">
        <v>492</v>
      </c>
      <c r="R15" t="s">
        <v>523</v>
      </c>
      <c r="S15" t="s">
        <v>478</v>
      </c>
      <c r="T15" t="s">
        <v>86</v>
      </c>
      <c r="U15" t="s">
        <v>479</v>
      </c>
      <c r="V15" t="s">
        <v>455</v>
      </c>
      <c r="W15" t="s">
        <v>538</v>
      </c>
      <c r="X15" t="s">
        <v>529</v>
      </c>
      <c r="Y15" t="s">
        <v>530</v>
      </c>
      <c r="Z15" t="s">
        <v>531</v>
      </c>
      <c r="AA15" t="s">
        <v>539</v>
      </c>
      <c r="AB15" t="s">
        <v>540</v>
      </c>
      <c r="AC15" t="s">
        <v>540</v>
      </c>
      <c r="AD15" t="s">
        <v>541</v>
      </c>
      <c r="AE15" t="s">
        <v>541</v>
      </c>
      <c r="AF15" t="s">
        <v>542</v>
      </c>
      <c r="AG15">
        <v>63</v>
      </c>
    </row>
    <row r="16" spans="1:33">
      <c r="A16" t="s">
        <v>536</v>
      </c>
      <c r="B16" t="s">
        <v>208</v>
      </c>
      <c r="C16" t="s">
        <v>523</v>
      </c>
      <c r="D16" t="s">
        <v>455</v>
      </c>
      <c r="E16" t="s">
        <v>166</v>
      </c>
      <c r="F16" t="s">
        <v>456</v>
      </c>
      <c r="G16" t="s">
        <v>476</v>
      </c>
      <c r="H16" t="s">
        <v>89</v>
      </c>
      <c r="I16" t="s">
        <v>524</v>
      </c>
      <c r="J16" t="s">
        <v>166</v>
      </c>
      <c r="K16" t="s">
        <v>525</v>
      </c>
      <c r="L16" t="s">
        <v>543</v>
      </c>
      <c r="M16" t="s">
        <v>491</v>
      </c>
      <c r="N16" t="s">
        <v>491</v>
      </c>
      <c r="O16" t="s">
        <v>491</v>
      </c>
      <c r="P16" t="s">
        <v>491</v>
      </c>
      <c r="Q16" t="s">
        <v>492</v>
      </c>
      <c r="R16" t="s">
        <v>523</v>
      </c>
      <c r="S16" t="s">
        <v>478</v>
      </c>
      <c r="T16" t="s">
        <v>86</v>
      </c>
      <c r="U16" t="s">
        <v>479</v>
      </c>
      <c r="V16" t="s">
        <v>455</v>
      </c>
      <c r="W16" t="s">
        <v>538</v>
      </c>
      <c r="X16" t="s">
        <v>529</v>
      </c>
      <c r="Y16" t="s">
        <v>530</v>
      </c>
      <c r="Z16" t="s">
        <v>531</v>
      </c>
      <c r="AA16" t="s">
        <v>539</v>
      </c>
      <c r="AB16" t="s">
        <v>540</v>
      </c>
      <c r="AC16" t="s">
        <v>540</v>
      </c>
      <c r="AD16" t="s">
        <v>541</v>
      </c>
      <c r="AE16" t="s">
        <v>541</v>
      </c>
      <c r="AF16" t="s">
        <v>542</v>
      </c>
      <c r="AG16">
        <v>64</v>
      </c>
    </row>
    <row r="17" spans="1:33">
      <c r="A17" t="s">
        <v>544</v>
      </c>
      <c r="B17" t="s">
        <v>208</v>
      </c>
      <c r="C17" t="s">
        <v>523</v>
      </c>
      <c r="D17" t="s">
        <v>455</v>
      </c>
      <c r="E17" t="s">
        <v>166</v>
      </c>
      <c r="F17" t="s">
        <v>545</v>
      </c>
      <c r="G17" t="s">
        <v>476</v>
      </c>
      <c r="H17" t="s">
        <v>89</v>
      </c>
      <c r="I17" t="s">
        <v>526</v>
      </c>
      <c r="J17" t="s">
        <v>166</v>
      </c>
      <c r="K17" t="s">
        <v>457</v>
      </c>
      <c r="L17" t="s">
        <v>458</v>
      </c>
      <c r="M17" t="s">
        <v>491</v>
      </c>
      <c r="N17" t="s">
        <v>491</v>
      </c>
      <c r="O17" t="s">
        <v>491</v>
      </c>
      <c r="P17" t="s">
        <v>491</v>
      </c>
      <c r="Q17" t="s">
        <v>492</v>
      </c>
      <c r="R17" t="s">
        <v>523</v>
      </c>
      <c r="S17" t="s">
        <v>478</v>
      </c>
      <c r="T17" t="s">
        <v>86</v>
      </c>
      <c r="U17" t="s">
        <v>479</v>
      </c>
      <c r="V17" t="s">
        <v>455</v>
      </c>
      <c r="W17" t="s">
        <v>240</v>
      </c>
      <c r="X17" t="s">
        <v>529</v>
      </c>
      <c r="Y17" t="s">
        <v>530</v>
      </c>
      <c r="Z17" t="s">
        <v>531</v>
      </c>
      <c r="AA17" t="s">
        <v>539</v>
      </c>
      <c r="AB17" t="s">
        <v>540</v>
      </c>
      <c r="AC17" t="s">
        <v>540</v>
      </c>
      <c r="AD17" t="s">
        <v>546</v>
      </c>
      <c r="AE17" t="s">
        <v>546</v>
      </c>
      <c r="AF17" t="s">
        <v>542</v>
      </c>
      <c r="AG17">
        <v>65</v>
      </c>
    </row>
    <row r="18" spans="1:33">
      <c r="A18" t="s">
        <v>547</v>
      </c>
      <c r="B18" t="s">
        <v>208</v>
      </c>
      <c r="C18" t="s">
        <v>523</v>
      </c>
      <c r="D18" t="s">
        <v>455</v>
      </c>
      <c r="E18" t="s">
        <v>166</v>
      </c>
      <c r="F18" t="s">
        <v>548</v>
      </c>
      <c r="G18" t="s">
        <v>476</v>
      </c>
      <c r="H18" t="s">
        <v>89</v>
      </c>
      <c r="I18" t="s">
        <v>524</v>
      </c>
      <c r="J18" t="s">
        <v>166</v>
      </c>
      <c r="K18" t="s">
        <v>525</v>
      </c>
      <c r="L18" t="s">
        <v>537</v>
      </c>
      <c r="M18" t="s">
        <v>491</v>
      </c>
      <c r="N18" t="s">
        <v>491</v>
      </c>
      <c r="O18" t="s">
        <v>491</v>
      </c>
      <c r="P18" t="s">
        <v>491</v>
      </c>
      <c r="Q18" t="s">
        <v>492</v>
      </c>
      <c r="R18" t="s">
        <v>523</v>
      </c>
      <c r="S18" t="s">
        <v>478</v>
      </c>
      <c r="T18" t="s">
        <v>86</v>
      </c>
      <c r="U18" t="s">
        <v>479</v>
      </c>
      <c r="V18" t="s">
        <v>455</v>
      </c>
      <c r="W18" t="s">
        <v>520</v>
      </c>
      <c r="X18" t="s">
        <v>529</v>
      </c>
      <c r="Y18" t="s">
        <v>530</v>
      </c>
      <c r="Z18" t="s">
        <v>531</v>
      </c>
      <c r="AA18" t="s">
        <v>539</v>
      </c>
      <c r="AB18" t="s">
        <v>540</v>
      </c>
      <c r="AC18" t="s">
        <v>540</v>
      </c>
      <c r="AD18" t="s">
        <v>514</v>
      </c>
      <c r="AE18" t="s">
        <v>514</v>
      </c>
      <c r="AF18" t="s">
        <v>542</v>
      </c>
      <c r="AG18">
        <v>66</v>
      </c>
    </row>
    <row r="19" spans="1:33">
      <c r="A19" t="s">
        <v>547</v>
      </c>
      <c r="B19" t="s">
        <v>208</v>
      </c>
      <c r="C19" t="s">
        <v>523</v>
      </c>
      <c r="D19" t="s">
        <v>455</v>
      </c>
      <c r="E19" t="s">
        <v>166</v>
      </c>
      <c r="F19" t="s">
        <v>548</v>
      </c>
      <c r="G19" t="s">
        <v>476</v>
      </c>
      <c r="H19" t="s">
        <v>89</v>
      </c>
      <c r="I19" t="s">
        <v>526</v>
      </c>
      <c r="J19" t="s">
        <v>166</v>
      </c>
      <c r="K19" t="s">
        <v>457</v>
      </c>
      <c r="L19" t="s">
        <v>549</v>
      </c>
      <c r="M19" t="s">
        <v>491</v>
      </c>
      <c r="N19" t="s">
        <v>491</v>
      </c>
      <c r="O19" t="s">
        <v>491</v>
      </c>
      <c r="P19" t="s">
        <v>491</v>
      </c>
      <c r="Q19" t="s">
        <v>492</v>
      </c>
      <c r="R19" t="s">
        <v>523</v>
      </c>
      <c r="S19" t="s">
        <v>478</v>
      </c>
      <c r="T19" t="s">
        <v>86</v>
      </c>
      <c r="U19" t="s">
        <v>479</v>
      </c>
      <c r="V19" t="s">
        <v>455</v>
      </c>
      <c r="W19" t="s">
        <v>520</v>
      </c>
      <c r="X19" t="s">
        <v>529</v>
      </c>
      <c r="Y19" t="s">
        <v>530</v>
      </c>
      <c r="Z19" t="s">
        <v>531</v>
      </c>
      <c r="AA19" t="s">
        <v>539</v>
      </c>
      <c r="AB19" t="s">
        <v>540</v>
      </c>
      <c r="AC19" t="s">
        <v>540</v>
      </c>
      <c r="AD19" t="s">
        <v>514</v>
      </c>
      <c r="AE19" t="s">
        <v>514</v>
      </c>
      <c r="AF19" t="s">
        <v>542</v>
      </c>
      <c r="AG19">
        <v>67</v>
      </c>
    </row>
    <row r="20" spans="1:33">
      <c r="A20" t="s">
        <v>550</v>
      </c>
      <c r="B20" t="s">
        <v>208</v>
      </c>
      <c r="C20" t="s">
        <v>523</v>
      </c>
      <c r="D20" t="s">
        <v>455</v>
      </c>
      <c r="E20" t="s">
        <v>166</v>
      </c>
      <c r="F20" t="s">
        <v>513</v>
      </c>
      <c r="G20" t="s">
        <v>476</v>
      </c>
      <c r="H20" t="s">
        <v>89</v>
      </c>
      <c r="I20" t="s">
        <v>526</v>
      </c>
      <c r="J20" t="s">
        <v>166</v>
      </c>
      <c r="K20" t="s">
        <v>457</v>
      </c>
      <c r="L20" t="s">
        <v>549</v>
      </c>
      <c r="M20" t="s">
        <v>491</v>
      </c>
      <c r="N20" t="s">
        <v>491</v>
      </c>
      <c r="O20" t="s">
        <v>491</v>
      </c>
      <c r="P20" t="s">
        <v>491</v>
      </c>
      <c r="Q20" t="s">
        <v>492</v>
      </c>
      <c r="R20" t="s">
        <v>523</v>
      </c>
      <c r="S20" t="s">
        <v>478</v>
      </c>
      <c r="T20" t="s">
        <v>86</v>
      </c>
      <c r="U20" t="s">
        <v>479</v>
      </c>
      <c r="V20" t="s">
        <v>455</v>
      </c>
      <c r="W20" t="s">
        <v>480</v>
      </c>
      <c r="X20" t="s">
        <v>529</v>
      </c>
      <c r="Y20" t="s">
        <v>530</v>
      </c>
      <c r="Z20" t="s">
        <v>531</v>
      </c>
      <c r="AA20" t="s">
        <v>539</v>
      </c>
      <c r="AB20" t="s">
        <v>540</v>
      </c>
      <c r="AC20" t="s">
        <v>540</v>
      </c>
      <c r="AD20" t="s">
        <v>494</v>
      </c>
      <c r="AE20" t="s">
        <v>494</v>
      </c>
      <c r="AF20" t="s">
        <v>542</v>
      </c>
      <c r="AG20">
        <v>68</v>
      </c>
    </row>
    <row r="21" spans="1:33">
      <c r="A21" t="s">
        <v>551</v>
      </c>
      <c r="B21" t="s">
        <v>208</v>
      </c>
      <c r="C21" t="s">
        <v>523</v>
      </c>
      <c r="D21" t="s">
        <v>455</v>
      </c>
      <c r="E21" t="s">
        <v>166</v>
      </c>
      <c r="F21" t="s">
        <v>552</v>
      </c>
      <c r="G21" t="s">
        <v>476</v>
      </c>
      <c r="H21" t="s">
        <v>89</v>
      </c>
      <c r="I21" t="s">
        <v>524</v>
      </c>
      <c r="J21" t="s">
        <v>166</v>
      </c>
      <c r="K21" t="s">
        <v>525</v>
      </c>
      <c r="L21" t="s">
        <v>458</v>
      </c>
      <c r="M21" t="s">
        <v>491</v>
      </c>
      <c r="N21" t="s">
        <v>491</v>
      </c>
      <c r="O21" t="s">
        <v>491</v>
      </c>
      <c r="P21" t="s">
        <v>491</v>
      </c>
      <c r="Q21" t="s">
        <v>384</v>
      </c>
      <c r="R21" t="s">
        <v>523</v>
      </c>
      <c r="S21" t="s">
        <v>478</v>
      </c>
      <c r="T21" t="s">
        <v>87</v>
      </c>
      <c r="U21" t="s">
        <v>479</v>
      </c>
      <c r="V21" t="s">
        <v>455</v>
      </c>
      <c r="W21" t="s">
        <v>538</v>
      </c>
      <c r="X21" t="s">
        <v>529</v>
      </c>
      <c r="Y21" t="s">
        <v>530</v>
      </c>
      <c r="Z21" t="s">
        <v>531</v>
      </c>
      <c r="AA21" t="s">
        <v>532</v>
      </c>
      <c r="AB21" t="s">
        <v>533</v>
      </c>
      <c r="AC21" t="s">
        <v>533</v>
      </c>
      <c r="AD21" t="s">
        <v>553</v>
      </c>
      <c r="AE21" t="s">
        <v>553</v>
      </c>
      <c r="AF21" t="s">
        <v>535</v>
      </c>
      <c r="AG21">
        <v>70</v>
      </c>
    </row>
    <row r="22" spans="1:33">
      <c r="A22" t="s">
        <v>551</v>
      </c>
      <c r="B22" t="s">
        <v>208</v>
      </c>
      <c r="C22" t="s">
        <v>523</v>
      </c>
      <c r="D22" t="s">
        <v>455</v>
      </c>
      <c r="E22" t="s">
        <v>166</v>
      </c>
      <c r="F22" t="s">
        <v>552</v>
      </c>
      <c r="G22" t="s">
        <v>476</v>
      </c>
      <c r="H22" t="s">
        <v>89</v>
      </c>
      <c r="I22" t="s">
        <v>524</v>
      </c>
      <c r="J22" t="s">
        <v>166</v>
      </c>
      <c r="K22" t="s">
        <v>525</v>
      </c>
      <c r="L22" t="s">
        <v>549</v>
      </c>
      <c r="M22" t="s">
        <v>491</v>
      </c>
      <c r="N22" t="s">
        <v>491</v>
      </c>
      <c r="O22" t="s">
        <v>491</v>
      </c>
      <c r="P22" t="s">
        <v>491</v>
      </c>
      <c r="Q22" t="s">
        <v>384</v>
      </c>
      <c r="R22" t="s">
        <v>523</v>
      </c>
      <c r="S22" t="s">
        <v>478</v>
      </c>
      <c r="T22" t="s">
        <v>87</v>
      </c>
      <c r="U22" t="s">
        <v>479</v>
      </c>
      <c r="V22" t="s">
        <v>455</v>
      </c>
      <c r="W22" t="s">
        <v>538</v>
      </c>
      <c r="X22" t="s">
        <v>529</v>
      </c>
      <c r="Y22" t="s">
        <v>530</v>
      </c>
      <c r="Z22" t="s">
        <v>531</v>
      </c>
      <c r="AA22" t="s">
        <v>532</v>
      </c>
      <c r="AB22" t="s">
        <v>533</v>
      </c>
      <c r="AC22" t="s">
        <v>533</v>
      </c>
      <c r="AD22" t="s">
        <v>553</v>
      </c>
      <c r="AE22" t="s">
        <v>553</v>
      </c>
      <c r="AF22" t="s">
        <v>535</v>
      </c>
      <c r="AG22">
        <v>71</v>
      </c>
    </row>
    <row r="23" spans="1:33">
      <c r="A23" t="s">
        <v>554</v>
      </c>
      <c r="B23" t="s">
        <v>208</v>
      </c>
      <c r="C23" t="s">
        <v>555</v>
      </c>
      <c r="D23" t="s">
        <v>455</v>
      </c>
      <c r="E23" t="s">
        <v>166</v>
      </c>
      <c r="F23" t="s">
        <v>556</v>
      </c>
      <c r="G23" t="s">
        <v>476</v>
      </c>
      <c r="H23" t="s">
        <v>89</v>
      </c>
      <c r="I23" t="s">
        <v>557</v>
      </c>
      <c r="J23" t="s">
        <v>166</v>
      </c>
      <c r="K23" t="s">
        <v>558</v>
      </c>
      <c r="L23" t="s">
        <v>559</v>
      </c>
      <c r="M23" t="s">
        <v>459</v>
      </c>
      <c r="N23" t="s">
        <v>460</v>
      </c>
      <c r="O23" t="s">
        <v>461</v>
      </c>
      <c r="P23" t="s">
        <v>462</v>
      </c>
      <c r="Q23" t="s">
        <v>384</v>
      </c>
      <c r="R23" t="s">
        <v>555</v>
      </c>
      <c r="S23" t="s">
        <v>560</v>
      </c>
      <c r="T23" t="s">
        <v>87</v>
      </c>
      <c r="U23" t="s">
        <v>479</v>
      </c>
      <c r="V23" t="s">
        <v>455</v>
      </c>
      <c r="W23" t="s">
        <v>389</v>
      </c>
      <c r="X23" t="s">
        <v>561</v>
      </c>
      <c r="Y23" t="s">
        <v>562</v>
      </c>
      <c r="Z23" t="s">
        <v>563</v>
      </c>
      <c r="AA23" t="s">
        <v>564</v>
      </c>
      <c r="AB23" t="s">
        <v>565</v>
      </c>
      <c r="AC23" t="s">
        <v>565</v>
      </c>
      <c r="AD23" t="s">
        <v>534</v>
      </c>
      <c r="AE23" t="s">
        <v>534</v>
      </c>
      <c r="AF23" t="s">
        <v>566</v>
      </c>
      <c r="AG23">
        <v>87</v>
      </c>
    </row>
    <row r="24" spans="1:33">
      <c r="A24" t="s">
        <v>567</v>
      </c>
      <c r="B24" t="s">
        <v>208</v>
      </c>
      <c r="C24" t="s">
        <v>555</v>
      </c>
      <c r="D24" t="s">
        <v>455</v>
      </c>
      <c r="E24" t="s">
        <v>166</v>
      </c>
      <c r="F24" t="s">
        <v>568</v>
      </c>
      <c r="G24" t="s">
        <v>476</v>
      </c>
      <c r="H24" t="s">
        <v>48</v>
      </c>
      <c r="I24" t="s">
        <v>568</v>
      </c>
      <c r="J24" t="s">
        <v>166</v>
      </c>
      <c r="K24" t="s">
        <v>569</v>
      </c>
      <c r="L24" t="s">
        <v>570</v>
      </c>
      <c r="M24" t="s">
        <v>459</v>
      </c>
      <c r="N24" t="s">
        <v>460</v>
      </c>
      <c r="O24" t="s">
        <v>461</v>
      </c>
      <c r="P24" t="s">
        <v>462</v>
      </c>
      <c r="Q24" t="s">
        <v>384</v>
      </c>
      <c r="R24" t="s">
        <v>555</v>
      </c>
      <c r="S24" t="s">
        <v>571</v>
      </c>
      <c r="T24" t="s">
        <v>87</v>
      </c>
      <c r="U24" t="s">
        <v>479</v>
      </c>
      <c r="V24" t="s">
        <v>455</v>
      </c>
      <c r="W24" t="s">
        <v>242</v>
      </c>
      <c r="X24" t="s">
        <v>572</v>
      </c>
      <c r="Y24" t="s">
        <v>573</v>
      </c>
      <c r="Z24" t="s">
        <v>574</v>
      </c>
      <c r="AA24" t="s">
        <v>575</v>
      </c>
      <c r="AB24" t="s">
        <v>576</v>
      </c>
      <c r="AC24" t="s">
        <v>576</v>
      </c>
      <c r="AD24" t="s">
        <v>577</v>
      </c>
      <c r="AE24" t="s">
        <v>577</v>
      </c>
      <c r="AF24" t="s">
        <v>578</v>
      </c>
      <c r="AG24">
        <v>88</v>
      </c>
    </row>
    <row r="25" spans="1:33">
      <c r="A25" t="s">
        <v>579</v>
      </c>
      <c r="B25" t="s">
        <v>208</v>
      </c>
      <c r="C25" t="s">
        <v>580</v>
      </c>
      <c r="D25" t="s">
        <v>455</v>
      </c>
      <c r="E25" t="s">
        <v>166</v>
      </c>
      <c r="F25" t="s">
        <v>581</v>
      </c>
      <c r="G25" t="s">
        <v>476</v>
      </c>
      <c r="H25" t="s">
        <v>48</v>
      </c>
      <c r="I25" t="s">
        <v>582</v>
      </c>
      <c r="J25" t="s">
        <v>166</v>
      </c>
      <c r="K25" t="s">
        <v>569</v>
      </c>
      <c r="L25" t="s">
        <v>583</v>
      </c>
      <c r="M25" t="s">
        <v>459</v>
      </c>
      <c r="N25" t="s">
        <v>460</v>
      </c>
      <c r="O25" t="s">
        <v>461</v>
      </c>
      <c r="P25" t="s">
        <v>462</v>
      </c>
      <c r="Q25" t="s">
        <v>584</v>
      </c>
      <c r="R25" t="s">
        <v>580</v>
      </c>
      <c r="S25" t="s">
        <v>585</v>
      </c>
      <c r="T25" t="s">
        <v>87</v>
      </c>
      <c r="U25" t="s">
        <v>479</v>
      </c>
      <c r="V25" t="s">
        <v>455</v>
      </c>
      <c r="W25" t="s">
        <v>240</v>
      </c>
      <c r="X25" t="s">
        <v>586</v>
      </c>
      <c r="Y25" t="s">
        <v>587</v>
      </c>
      <c r="Z25" t="s">
        <v>588</v>
      </c>
      <c r="AA25" t="s">
        <v>589</v>
      </c>
      <c r="AB25" t="s">
        <v>590</v>
      </c>
      <c r="AC25" t="s">
        <v>590</v>
      </c>
      <c r="AD25" t="s">
        <v>591</v>
      </c>
      <c r="AE25" t="s">
        <v>591</v>
      </c>
      <c r="AF25" t="s">
        <v>592</v>
      </c>
      <c r="AG25">
        <v>89</v>
      </c>
    </row>
    <row r="26" spans="1:33">
      <c r="A26" t="s">
        <v>579</v>
      </c>
      <c r="B26" t="s">
        <v>208</v>
      </c>
      <c r="C26" t="s">
        <v>580</v>
      </c>
      <c r="D26" t="s">
        <v>455</v>
      </c>
      <c r="E26" t="s">
        <v>166</v>
      </c>
      <c r="F26" t="s">
        <v>581</v>
      </c>
      <c r="G26" t="s">
        <v>476</v>
      </c>
      <c r="H26" t="s">
        <v>6</v>
      </c>
      <c r="I26" t="s">
        <v>593</v>
      </c>
      <c r="J26" t="s">
        <v>166</v>
      </c>
      <c r="K26" t="s">
        <v>594</v>
      </c>
      <c r="L26" t="s">
        <v>595</v>
      </c>
      <c r="M26" t="s">
        <v>459</v>
      </c>
      <c r="N26" t="s">
        <v>460</v>
      </c>
      <c r="O26" t="s">
        <v>461</v>
      </c>
      <c r="P26" t="s">
        <v>462</v>
      </c>
      <c r="Q26" t="s">
        <v>584</v>
      </c>
      <c r="R26" t="s">
        <v>580</v>
      </c>
      <c r="S26" t="s">
        <v>585</v>
      </c>
      <c r="T26" t="s">
        <v>87</v>
      </c>
      <c r="U26" t="s">
        <v>479</v>
      </c>
      <c r="V26" t="s">
        <v>455</v>
      </c>
      <c r="W26" t="s">
        <v>240</v>
      </c>
      <c r="X26" t="s">
        <v>586</v>
      </c>
      <c r="Y26" t="s">
        <v>587</v>
      </c>
      <c r="Z26" t="s">
        <v>588</v>
      </c>
      <c r="AA26" t="s">
        <v>589</v>
      </c>
      <c r="AB26" t="s">
        <v>590</v>
      </c>
      <c r="AC26" t="s">
        <v>590</v>
      </c>
      <c r="AD26" t="s">
        <v>591</v>
      </c>
      <c r="AE26" t="s">
        <v>591</v>
      </c>
      <c r="AF26" t="s">
        <v>592</v>
      </c>
      <c r="AG26">
        <v>90</v>
      </c>
    </row>
    <row r="27" spans="1:33">
      <c r="A27" t="s">
        <v>596</v>
      </c>
      <c r="B27" t="s">
        <v>208</v>
      </c>
      <c r="C27" t="s">
        <v>580</v>
      </c>
      <c r="D27" t="s">
        <v>455</v>
      </c>
      <c r="E27" t="s">
        <v>597</v>
      </c>
      <c r="F27" t="s">
        <v>598</v>
      </c>
      <c r="G27" t="s">
        <v>476</v>
      </c>
      <c r="H27" t="s">
        <v>48</v>
      </c>
      <c r="I27" t="s">
        <v>599</v>
      </c>
      <c r="J27" t="s">
        <v>597</v>
      </c>
      <c r="K27" t="s">
        <v>600</v>
      </c>
      <c r="L27" t="s">
        <v>601</v>
      </c>
      <c r="M27" t="s">
        <v>459</v>
      </c>
      <c r="N27" t="s">
        <v>460</v>
      </c>
      <c r="O27" t="s">
        <v>461</v>
      </c>
      <c r="P27" t="s">
        <v>462</v>
      </c>
      <c r="Q27" t="s">
        <v>584</v>
      </c>
      <c r="R27" t="s">
        <v>580</v>
      </c>
      <c r="S27" t="s">
        <v>602</v>
      </c>
      <c r="T27" t="s">
        <v>87</v>
      </c>
      <c r="U27" t="s">
        <v>479</v>
      </c>
      <c r="V27" t="s">
        <v>455</v>
      </c>
      <c r="W27" t="s">
        <v>480</v>
      </c>
      <c r="X27" t="s">
        <v>603</v>
      </c>
      <c r="Y27" t="s">
        <v>604</v>
      </c>
      <c r="Z27" t="s">
        <v>605</v>
      </c>
      <c r="AA27" t="s">
        <v>606</v>
      </c>
      <c r="AB27" t="s">
        <v>607</v>
      </c>
      <c r="AC27" t="s">
        <v>607</v>
      </c>
      <c r="AD27" t="s">
        <v>608</v>
      </c>
      <c r="AE27" t="s">
        <v>608</v>
      </c>
      <c r="AF27" t="s">
        <v>609</v>
      </c>
      <c r="AG27">
        <v>91</v>
      </c>
    </row>
    <row r="28" spans="1:33">
      <c r="A28" t="s">
        <v>596</v>
      </c>
      <c r="B28" t="s">
        <v>208</v>
      </c>
      <c r="C28" t="s">
        <v>580</v>
      </c>
      <c r="D28" t="s">
        <v>455</v>
      </c>
      <c r="E28" t="s">
        <v>597</v>
      </c>
      <c r="F28" t="s">
        <v>598</v>
      </c>
      <c r="G28" t="s">
        <v>476</v>
      </c>
      <c r="H28" t="s">
        <v>6</v>
      </c>
      <c r="I28" t="s">
        <v>610</v>
      </c>
      <c r="J28" t="s">
        <v>597</v>
      </c>
      <c r="K28" t="s">
        <v>611</v>
      </c>
      <c r="L28" t="s">
        <v>595</v>
      </c>
      <c r="M28" t="s">
        <v>459</v>
      </c>
      <c r="N28" t="s">
        <v>460</v>
      </c>
      <c r="O28" t="s">
        <v>461</v>
      </c>
      <c r="P28" t="s">
        <v>462</v>
      </c>
      <c r="Q28" t="s">
        <v>584</v>
      </c>
      <c r="R28" t="s">
        <v>580</v>
      </c>
      <c r="S28" t="s">
        <v>602</v>
      </c>
      <c r="T28" t="s">
        <v>87</v>
      </c>
      <c r="U28" t="s">
        <v>479</v>
      </c>
      <c r="V28" t="s">
        <v>455</v>
      </c>
      <c r="W28" t="s">
        <v>480</v>
      </c>
      <c r="X28" t="s">
        <v>603</v>
      </c>
      <c r="Y28" t="s">
        <v>604</v>
      </c>
      <c r="Z28" t="s">
        <v>605</v>
      </c>
      <c r="AA28" t="s">
        <v>606</v>
      </c>
      <c r="AB28" t="s">
        <v>607</v>
      </c>
      <c r="AC28" t="s">
        <v>607</v>
      </c>
      <c r="AD28" t="s">
        <v>608</v>
      </c>
      <c r="AE28" t="s">
        <v>608</v>
      </c>
      <c r="AF28" t="s">
        <v>609</v>
      </c>
      <c r="AG28">
        <v>92</v>
      </c>
    </row>
    <row r="29" spans="1:33">
      <c r="A29" t="s">
        <v>612</v>
      </c>
      <c r="B29" t="s">
        <v>208</v>
      </c>
      <c r="C29" t="s">
        <v>580</v>
      </c>
      <c r="D29" t="s">
        <v>455</v>
      </c>
      <c r="E29" t="s">
        <v>166</v>
      </c>
      <c r="F29" t="s">
        <v>613</v>
      </c>
      <c r="G29" t="s">
        <v>476</v>
      </c>
      <c r="H29" t="s">
        <v>48</v>
      </c>
      <c r="I29" t="s">
        <v>614</v>
      </c>
      <c r="J29" t="s">
        <v>166</v>
      </c>
      <c r="K29" t="s">
        <v>600</v>
      </c>
      <c r="L29" t="s">
        <v>570</v>
      </c>
      <c r="M29" t="s">
        <v>459</v>
      </c>
      <c r="N29" t="s">
        <v>460</v>
      </c>
      <c r="O29" t="s">
        <v>461</v>
      </c>
      <c r="P29" t="s">
        <v>462</v>
      </c>
      <c r="Q29" t="s">
        <v>384</v>
      </c>
      <c r="R29" t="s">
        <v>580</v>
      </c>
      <c r="S29" t="s">
        <v>615</v>
      </c>
      <c r="T29" t="s">
        <v>87</v>
      </c>
      <c r="U29" t="s">
        <v>479</v>
      </c>
      <c r="V29" t="s">
        <v>455</v>
      </c>
      <c r="W29" t="s">
        <v>382</v>
      </c>
      <c r="X29" t="s">
        <v>616</v>
      </c>
      <c r="Y29" t="s">
        <v>617</v>
      </c>
      <c r="Z29" t="s">
        <v>618</v>
      </c>
      <c r="AA29" t="s">
        <v>619</v>
      </c>
      <c r="AB29" t="s">
        <v>620</v>
      </c>
      <c r="AC29" t="s">
        <v>620</v>
      </c>
      <c r="AD29" t="s">
        <v>621</v>
      </c>
      <c r="AE29" t="s">
        <v>621</v>
      </c>
      <c r="AF29" t="s">
        <v>622</v>
      </c>
      <c r="AG29">
        <v>93</v>
      </c>
    </row>
    <row r="30" spans="1:33">
      <c r="A30" t="s">
        <v>612</v>
      </c>
      <c r="B30" t="s">
        <v>208</v>
      </c>
      <c r="C30" t="s">
        <v>580</v>
      </c>
      <c r="D30" t="s">
        <v>455</v>
      </c>
      <c r="E30" t="s">
        <v>166</v>
      </c>
      <c r="F30" t="s">
        <v>613</v>
      </c>
      <c r="G30" t="s">
        <v>476</v>
      </c>
      <c r="H30" t="s">
        <v>48</v>
      </c>
      <c r="I30" t="s">
        <v>623</v>
      </c>
      <c r="J30" t="s">
        <v>166</v>
      </c>
      <c r="K30" t="s">
        <v>600</v>
      </c>
      <c r="L30" t="s">
        <v>559</v>
      </c>
      <c r="M30" t="s">
        <v>459</v>
      </c>
      <c r="N30" t="s">
        <v>460</v>
      </c>
      <c r="O30" t="s">
        <v>461</v>
      </c>
      <c r="P30" t="s">
        <v>462</v>
      </c>
      <c r="Q30" t="s">
        <v>384</v>
      </c>
      <c r="R30" t="s">
        <v>580</v>
      </c>
      <c r="S30" t="s">
        <v>615</v>
      </c>
      <c r="T30" t="s">
        <v>87</v>
      </c>
      <c r="U30" t="s">
        <v>479</v>
      </c>
      <c r="V30" t="s">
        <v>455</v>
      </c>
      <c r="W30" t="s">
        <v>382</v>
      </c>
      <c r="X30" t="s">
        <v>616</v>
      </c>
      <c r="Y30" t="s">
        <v>617</v>
      </c>
      <c r="Z30" t="s">
        <v>618</v>
      </c>
      <c r="AA30" t="s">
        <v>619</v>
      </c>
      <c r="AB30" t="s">
        <v>620</v>
      </c>
      <c r="AC30" t="s">
        <v>620</v>
      </c>
      <c r="AD30" t="s">
        <v>621</v>
      </c>
      <c r="AE30" t="s">
        <v>621</v>
      </c>
      <c r="AF30" t="s">
        <v>622</v>
      </c>
      <c r="AG30">
        <v>94</v>
      </c>
    </row>
    <row r="31" spans="1:33">
      <c r="A31" t="s">
        <v>624</v>
      </c>
      <c r="B31" t="s">
        <v>208</v>
      </c>
      <c r="C31" t="s">
        <v>580</v>
      </c>
      <c r="D31" t="s">
        <v>455</v>
      </c>
      <c r="E31" t="s">
        <v>166</v>
      </c>
      <c r="F31" t="s">
        <v>625</v>
      </c>
      <c r="G31" t="s">
        <v>476</v>
      </c>
      <c r="H31" t="s">
        <v>48</v>
      </c>
      <c r="I31" t="s">
        <v>626</v>
      </c>
      <c r="J31" t="s">
        <v>166</v>
      </c>
      <c r="K31" t="s">
        <v>506</v>
      </c>
      <c r="L31" t="s">
        <v>601</v>
      </c>
      <c r="M31" t="s">
        <v>459</v>
      </c>
      <c r="N31" t="s">
        <v>460</v>
      </c>
      <c r="O31" t="s">
        <v>461</v>
      </c>
      <c r="P31" t="s">
        <v>462</v>
      </c>
      <c r="Q31" t="s">
        <v>384</v>
      </c>
      <c r="R31" t="s">
        <v>580</v>
      </c>
      <c r="S31" t="s">
        <v>616</v>
      </c>
      <c r="T31" t="s">
        <v>87</v>
      </c>
      <c r="U31" t="s">
        <v>479</v>
      </c>
      <c r="V31" t="s">
        <v>455</v>
      </c>
      <c r="W31" t="s">
        <v>377</v>
      </c>
      <c r="X31" t="s">
        <v>627</v>
      </c>
      <c r="Y31" t="s">
        <v>628</v>
      </c>
      <c r="Z31" t="s">
        <v>629</v>
      </c>
      <c r="AA31" t="s">
        <v>630</v>
      </c>
      <c r="AB31" t="s">
        <v>631</v>
      </c>
      <c r="AC31" t="s">
        <v>631</v>
      </c>
      <c r="AD31" t="s">
        <v>632</v>
      </c>
      <c r="AE31" t="s">
        <v>632</v>
      </c>
      <c r="AF31" t="s">
        <v>633</v>
      </c>
      <c r="AG31">
        <v>95</v>
      </c>
    </row>
    <row r="32" spans="1:33">
      <c r="A32" t="s">
        <v>624</v>
      </c>
      <c r="B32" t="s">
        <v>208</v>
      </c>
      <c r="C32" t="s">
        <v>580</v>
      </c>
      <c r="D32" t="s">
        <v>455</v>
      </c>
      <c r="E32" t="s">
        <v>166</v>
      </c>
      <c r="F32" t="s">
        <v>625</v>
      </c>
      <c r="G32" t="s">
        <v>476</v>
      </c>
      <c r="H32" t="s">
        <v>6</v>
      </c>
      <c r="I32" t="s">
        <v>634</v>
      </c>
      <c r="J32" t="s">
        <v>166</v>
      </c>
      <c r="K32" t="s">
        <v>594</v>
      </c>
      <c r="L32" t="s">
        <v>601</v>
      </c>
      <c r="M32" t="s">
        <v>459</v>
      </c>
      <c r="N32" t="s">
        <v>460</v>
      </c>
      <c r="O32" t="s">
        <v>461</v>
      </c>
      <c r="P32" t="s">
        <v>462</v>
      </c>
      <c r="Q32" t="s">
        <v>384</v>
      </c>
      <c r="R32" t="s">
        <v>580</v>
      </c>
      <c r="S32" t="s">
        <v>616</v>
      </c>
      <c r="T32" t="s">
        <v>87</v>
      </c>
      <c r="U32" t="s">
        <v>479</v>
      </c>
      <c r="V32" t="s">
        <v>455</v>
      </c>
      <c r="W32" t="s">
        <v>377</v>
      </c>
      <c r="X32" t="s">
        <v>627</v>
      </c>
      <c r="Y32" t="s">
        <v>628</v>
      </c>
      <c r="Z32" t="s">
        <v>629</v>
      </c>
      <c r="AA32" t="s">
        <v>630</v>
      </c>
      <c r="AB32" t="s">
        <v>631</v>
      </c>
      <c r="AC32" t="s">
        <v>631</v>
      </c>
      <c r="AD32" t="s">
        <v>632</v>
      </c>
      <c r="AE32" t="s">
        <v>632</v>
      </c>
      <c r="AF32" t="s">
        <v>633</v>
      </c>
      <c r="AG32">
        <v>96</v>
      </c>
    </row>
    <row r="33" spans="1:33">
      <c r="A33" t="s">
        <v>635</v>
      </c>
      <c r="B33" t="s">
        <v>208</v>
      </c>
      <c r="C33" t="s">
        <v>580</v>
      </c>
      <c r="D33" t="s">
        <v>455</v>
      </c>
      <c r="E33" t="s">
        <v>166</v>
      </c>
      <c r="F33" t="s">
        <v>636</v>
      </c>
      <c r="G33" t="s">
        <v>476</v>
      </c>
      <c r="H33" t="s">
        <v>48</v>
      </c>
      <c r="I33" t="s">
        <v>637</v>
      </c>
      <c r="J33" t="s">
        <v>166</v>
      </c>
      <c r="K33" t="s">
        <v>600</v>
      </c>
      <c r="L33" t="s">
        <v>638</v>
      </c>
      <c r="M33" t="s">
        <v>459</v>
      </c>
      <c r="N33" t="s">
        <v>460</v>
      </c>
      <c r="O33" t="s">
        <v>461</v>
      </c>
      <c r="P33" t="s">
        <v>462</v>
      </c>
      <c r="Q33" t="s">
        <v>384</v>
      </c>
      <c r="R33" t="s">
        <v>580</v>
      </c>
      <c r="S33" t="s">
        <v>639</v>
      </c>
      <c r="T33" t="s">
        <v>87</v>
      </c>
      <c r="U33" t="s">
        <v>479</v>
      </c>
      <c r="V33" t="s">
        <v>455</v>
      </c>
      <c r="W33" t="s">
        <v>377</v>
      </c>
      <c r="X33" t="s">
        <v>640</v>
      </c>
      <c r="Y33" t="s">
        <v>641</v>
      </c>
      <c r="Z33" t="s">
        <v>642</v>
      </c>
      <c r="AA33" t="s">
        <v>643</v>
      </c>
      <c r="AB33" t="s">
        <v>644</v>
      </c>
      <c r="AC33" t="s">
        <v>644</v>
      </c>
      <c r="AD33" t="s">
        <v>645</v>
      </c>
      <c r="AE33" t="s">
        <v>645</v>
      </c>
      <c r="AF33" t="s">
        <v>646</v>
      </c>
      <c r="AG33">
        <v>97</v>
      </c>
    </row>
    <row r="34" spans="1:33">
      <c r="A34" t="s">
        <v>647</v>
      </c>
      <c r="B34" t="s">
        <v>208</v>
      </c>
      <c r="C34" t="s">
        <v>580</v>
      </c>
      <c r="D34" t="s">
        <v>455</v>
      </c>
      <c r="E34" t="s">
        <v>597</v>
      </c>
      <c r="F34" t="s">
        <v>648</v>
      </c>
      <c r="G34" t="s">
        <v>476</v>
      </c>
      <c r="H34" t="s">
        <v>6</v>
      </c>
      <c r="I34" t="s">
        <v>600</v>
      </c>
      <c r="J34" t="s">
        <v>597</v>
      </c>
      <c r="K34" t="s">
        <v>649</v>
      </c>
      <c r="L34" t="s">
        <v>650</v>
      </c>
      <c r="M34" t="s">
        <v>491</v>
      </c>
      <c r="N34" t="s">
        <v>491</v>
      </c>
      <c r="O34" t="s">
        <v>491</v>
      </c>
      <c r="P34" t="s">
        <v>491</v>
      </c>
      <c r="Q34" t="s">
        <v>215</v>
      </c>
      <c r="R34" t="s">
        <v>580</v>
      </c>
      <c r="S34" t="s">
        <v>651</v>
      </c>
      <c r="T34" t="s">
        <v>86</v>
      </c>
      <c r="U34" t="s">
        <v>479</v>
      </c>
      <c r="V34" t="s">
        <v>455</v>
      </c>
      <c r="W34" t="s">
        <v>210</v>
      </c>
      <c r="X34" t="s">
        <v>652</v>
      </c>
      <c r="Y34" t="s">
        <v>653</v>
      </c>
      <c r="Z34" t="s">
        <v>654</v>
      </c>
      <c r="AA34" t="s">
        <v>655</v>
      </c>
      <c r="AB34" t="s">
        <v>656</v>
      </c>
      <c r="AC34" t="s">
        <v>656</v>
      </c>
      <c r="AD34" t="s">
        <v>657</v>
      </c>
      <c r="AE34" t="s">
        <v>657</v>
      </c>
      <c r="AF34" t="s">
        <v>658</v>
      </c>
      <c r="AG34">
        <v>98</v>
      </c>
    </row>
    <row r="35" spans="1:33">
      <c r="A35" t="s">
        <v>659</v>
      </c>
      <c r="B35" t="s">
        <v>208</v>
      </c>
      <c r="C35" t="s">
        <v>660</v>
      </c>
      <c r="D35" t="s">
        <v>455</v>
      </c>
      <c r="E35" t="s">
        <v>166</v>
      </c>
      <c r="F35" t="s">
        <v>661</v>
      </c>
      <c r="G35" t="s">
        <v>476</v>
      </c>
      <c r="H35" t="s">
        <v>6</v>
      </c>
      <c r="I35" t="s">
        <v>662</v>
      </c>
      <c r="J35" t="s">
        <v>166</v>
      </c>
      <c r="K35" t="s">
        <v>663</v>
      </c>
      <c r="L35" t="s">
        <v>570</v>
      </c>
      <c r="M35" t="s">
        <v>491</v>
      </c>
      <c r="N35" t="s">
        <v>491</v>
      </c>
      <c r="O35" t="s">
        <v>491</v>
      </c>
      <c r="P35" t="s">
        <v>491</v>
      </c>
      <c r="Q35" t="s">
        <v>492</v>
      </c>
      <c r="R35" t="s">
        <v>660</v>
      </c>
      <c r="S35" t="s">
        <v>664</v>
      </c>
      <c r="T35" t="s">
        <v>86</v>
      </c>
      <c r="U35" t="s">
        <v>479</v>
      </c>
      <c r="V35" t="s">
        <v>455</v>
      </c>
      <c r="W35" t="s">
        <v>241</v>
      </c>
      <c r="X35" t="s">
        <v>665</v>
      </c>
      <c r="Y35" t="s">
        <v>666</v>
      </c>
      <c r="Z35" t="s">
        <v>667</v>
      </c>
      <c r="AA35" t="s">
        <v>668</v>
      </c>
      <c r="AB35" t="s">
        <v>669</v>
      </c>
      <c r="AC35" t="s">
        <v>669</v>
      </c>
      <c r="AD35" t="s">
        <v>670</v>
      </c>
      <c r="AE35" t="s">
        <v>670</v>
      </c>
      <c r="AF35" t="s">
        <v>671</v>
      </c>
      <c r="AG35">
        <v>100</v>
      </c>
    </row>
    <row r="36" spans="1:33">
      <c r="A36" t="s">
        <v>659</v>
      </c>
      <c r="B36" t="s">
        <v>208</v>
      </c>
      <c r="C36" t="s">
        <v>660</v>
      </c>
      <c r="D36" t="s">
        <v>455</v>
      </c>
      <c r="E36" t="s">
        <v>166</v>
      </c>
      <c r="F36" t="s">
        <v>661</v>
      </c>
      <c r="G36" t="s">
        <v>476</v>
      </c>
      <c r="H36" t="s">
        <v>6</v>
      </c>
      <c r="I36" t="s">
        <v>672</v>
      </c>
      <c r="J36" t="s">
        <v>166</v>
      </c>
      <c r="K36" t="s">
        <v>611</v>
      </c>
      <c r="L36" t="s">
        <v>601</v>
      </c>
      <c r="M36" t="s">
        <v>491</v>
      </c>
      <c r="N36" t="s">
        <v>491</v>
      </c>
      <c r="O36" t="s">
        <v>491</v>
      </c>
      <c r="P36" t="s">
        <v>491</v>
      </c>
      <c r="Q36" t="s">
        <v>492</v>
      </c>
      <c r="R36" t="s">
        <v>660</v>
      </c>
      <c r="S36" t="s">
        <v>664</v>
      </c>
      <c r="T36" t="s">
        <v>86</v>
      </c>
      <c r="U36" t="s">
        <v>479</v>
      </c>
      <c r="V36" t="s">
        <v>455</v>
      </c>
      <c r="W36" t="s">
        <v>241</v>
      </c>
      <c r="X36" t="s">
        <v>665</v>
      </c>
      <c r="Y36" t="s">
        <v>666</v>
      </c>
      <c r="Z36" t="s">
        <v>667</v>
      </c>
      <c r="AA36" t="s">
        <v>668</v>
      </c>
      <c r="AB36" t="s">
        <v>669</v>
      </c>
      <c r="AC36" t="s">
        <v>669</v>
      </c>
      <c r="AD36" t="s">
        <v>670</v>
      </c>
      <c r="AE36" t="s">
        <v>670</v>
      </c>
      <c r="AF36" t="s">
        <v>671</v>
      </c>
      <c r="AG36">
        <v>101</v>
      </c>
    </row>
    <row r="37" spans="1:33">
      <c r="A37" t="s">
        <v>673</v>
      </c>
      <c r="B37" t="s">
        <v>208</v>
      </c>
      <c r="C37" t="s">
        <v>660</v>
      </c>
      <c r="D37" t="s">
        <v>455</v>
      </c>
      <c r="E37" t="s">
        <v>166</v>
      </c>
      <c r="F37" t="s">
        <v>674</v>
      </c>
      <c r="G37" t="s">
        <v>476</v>
      </c>
      <c r="H37" t="s">
        <v>6</v>
      </c>
      <c r="I37" t="s">
        <v>675</v>
      </c>
      <c r="J37" t="s">
        <v>166</v>
      </c>
      <c r="K37" t="s">
        <v>676</v>
      </c>
      <c r="L37" t="s">
        <v>601</v>
      </c>
      <c r="M37" t="s">
        <v>491</v>
      </c>
      <c r="N37" t="s">
        <v>491</v>
      </c>
      <c r="O37" t="s">
        <v>491</v>
      </c>
      <c r="P37" t="s">
        <v>491</v>
      </c>
      <c r="Q37" t="s">
        <v>492</v>
      </c>
      <c r="R37" t="s">
        <v>660</v>
      </c>
      <c r="S37" t="s">
        <v>677</v>
      </c>
      <c r="T37" t="s">
        <v>86</v>
      </c>
      <c r="U37" t="s">
        <v>479</v>
      </c>
      <c r="V37" t="s">
        <v>455</v>
      </c>
      <c r="W37" t="s">
        <v>209</v>
      </c>
      <c r="X37" t="s">
        <v>678</v>
      </c>
      <c r="Y37" t="s">
        <v>679</v>
      </c>
      <c r="Z37" t="s">
        <v>680</v>
      </c>
      <c r="AA37" t="s">
        <v>681</v>
      </c>
      <c r="AB37" t="s">
        <v>682</v>
      </c>
      <c r="AC37" t="s">
        <v>682</v>
      </c>
      <c r="AD37" t="s">
        <v>683</v>
      </c>
      <c r="AE37" t="s">
        <v>683</v>
      </c>
      <c r="AF37" t="s">
        <v>684</v>
      </c>
      <c r="AG37">
        <v>102</v>
      </c>
    </row>
    <row r="38" spans="1:33">
      <c r="A38" t="s">
        <v>673</v>
      </c>
      <c r="B38" t="s">
        <v>208</v>
      </c>
      <c r="C38" t="s">
        <v>660</v>
      </c>
      <c r="D38" t="s">
        <v>455</v>
      </c>
      <c r="E38" t="s">
        <v>166</v>
      </c>
      <c r="F38" t="s">
        <v>674</v>
      </c>
      <c r="G38" t="s">
        <v>476</v>
      </c>
      <c r="H38" t="s">
        <v>6</v>
      </c>
      <c r="I38" t="s">
        <v>685</v>
      </c>
      <c r="J38" t="s">
        <v>166</v>
      </c>
      <c r="K38" t="s">
        <v>611</v>
      </c>
      <c r="L38" t="s">
        <v>686</v>
      </c>
      <c r="M38" t="s">
        <v>491</v>
      </c>
      <c r="N38" t="s">
        <v>491</v>
      </c>
      <c r="O38" t="s">
        <v>491</v>
      </c>
      <c r="P38" t="s">
        <v>491</v>
      </c>
      <c r="Q38" t="s">
        <v>492</v>
      </c>
      <c r="R38" t="s">
        <v>660</v>
      </c>
      <c r="S38" t="s">
        <v>677</v>
      </c>
      <c r="T38" t="s">
        <v>86</v>
      </c>
      <c r="U38" t="s">
        <v>479</v>
      </c>
      <c r="V38" t="s">
        <v>455</v>
      </c>
      <c r="W38" t="s">
        <v>209</v>
      </c>
      <c r="X38" t="s">
        <v>678</v>
      </c>
      <c r="Y38" t="s">
        <v>679</v>
      </c>
      <c r="Z38" t="s">
        <v>680</v>
      </c>
      <c r="AA38" t="s">
        <v>681</v>
      </c>
      <c r="AB38" t="s">
        <v>682</v>
      </c>
      <c r="AC38" t="s">
        <v>682</v>
      </c>
      <c r="AD38" t="s">
        <v>683</v>
      </c>
      <c r="AE38" t="s">
        <v>683</v>
      </c>
      <c r="AF38" t="s">
        <v>684</v>
      </c>
      <c r="AG38">
        <v>103</v>
      </c>
    </row>
    <row r="39" spans="1:33">
      <c r="A39" t="s">
        <v>687</v>
      </c>
      <c r="B39" t="s">
        <v>208</v>
      </c>
      <c r="C39" t="s">
        <v>660</v>
      </c>
      <c r="D39" t="s">
        <v>455</v>
      </c>
      <c r="E39" t="s">
        <v>166</v>
      </c>
      <c r="F39" t="s">
        <v>688</v>
      </c>
      <c r="G39" t="s">
        <v>476</v>
      </c>
      <c r="H39" t="s">
        <v>6</v>
      </c>
      <c r="I39" t="s">
        <v>689</v>
      </c>
      <c r="J39" t="s">
        <v>166</v>
      </c>
      <c r="K39" t="s">
        <v>690</v>
      </c>
      <c r="L39" t="s">
        <v>691</v>
      </c>
      <c r="M39" t="s">
        <v>459</v>
      </c>
      <c r="N39" t="s">
        <v>460</v>
      </c>
      <c r="O39" t="s">
        <v>461</v>
      </c>
      <c r="P39" t="s">
        <v>462</v>
      </c>
      <c r="Q39" t="s">
        <v>492</v>
      </c>
      <c r="R39" t="s">
        <v>660</v>
      </c>
      <c r="S39" t="s">
        <v>692</v>
      </c>
      <c r="T39" t="s">
        <v>86</v>
      </c>
      <c r="U39" t="s">
        <v>479</v>
      </c>
      <c r="V39" t="s">
        <v>455</v>
      </c>
      <c r="W39" t="s">
        <v>209</v>
      </c>
      <c r="X39" t="s">
        <v>693</v>
      </c>
      <c r="Y39" t="s">
        <v>694</v>
      </c>
      <c r="Z39" t="s">
        <v>695</v>
      </c>
      <c r="AA39" t="s">
        <v>696</v>
      </c>
      <c r="AB39" t="s">
        <v>697</v>
      </c>
      <c r="AC39" t="s">
        <v>697</v>
      </c>
      <c r="AD39" t="s">
        <v>698</v>
      </c>
      <c r="AE39" t="s">
        <v>698</v>
      </c>
      <c r="AF39" t="s">
        <v>699</v>
      </c>
      <c r="AG39">
        <v>104</v>
      </c>
    </row>
    <row r="40" spans="1:33">
      <c r="A40" t="s">
        <v>700</v>
      </c>
      <c r="B40" t="s">
        <v>208</v>
      </c>
      <c r="C40" t="s">
        <v>660</v>
      </c>
      <c r="D40" t="s">
        <v>455</v>
      </c>
      <c r="E40" t="s">
        <v>166</v>
      </c>
      <c r="F40" t="s">
        <v>701</v>
      </c>
      <c r="G40" t="s">
        <v>476</v>
      </c>
      <c r="H40" t="s">
        <v>48</v>
      </c>
      <c r="I40" t="s">
        <v>702</v>
      </c>
      <c r="J40" t="s">
        <v>166</v>
      </c>
      <c r="K40" t="s">
        <v>703</v>
      </c>
      <c r="L40" t="s">
        <v>686</v>
      </c>
      <c r="M40" t="s">
        <v>459</v>
      </c>
      <c r="N40" t="s">
        <v>460</v>
      </c>
      <c r="O40" t="s">
        <v>461</v>
      </c>
      <c r="P40" t="s">
        <v>462</v>
      </c>
      <c r="Q40" t="s">
        <v>492</v>
      </c>
      <c r="R40" t="s">
        <v>660</v>
      </c>
      <c r="S40" t="s">
        <v>704</v>
      </c>
      <c r="T40" t="s">
        <v>86</v>
      </c>
      <c r="U40" t="s">
        <v>479</v>
      </c>
      <c r="V40" t="s">
        <v>455</v>
      </c>
      <c r="W40" t="s">
        <v>241</v>
      </c>
      <c r="X40" t="s">
        <v>705</v>
      </c>
      <c r="Y40" t="s">
        <v>706</v>
      </c>
      <c r="Z40" t="s">
        <v>707</v>
      </c>
      <c r="AA40" t="s">
        <v>557</v>
      </c>
      <c r="AB40" t="s">
        <v>708</v>
      </c>
      <c r="AC40" t="s">
        <v>708</v>
      </c>
      <c r="AD40" t="s">
        <v>709</v>
      </c>
      <c r="AE40" t="s">
        <v>709</v>
      </c>
      <c r="AF40" t="s">
        <v>710</v>
      </c>
      <c r="AG40">
        <v>105</v>
      </c>
    </row>
    <row r="41" spans="1:33">
      <c r="A41" t="s">
        <v>711</v>
      </c>
      <c r="B41" t="s">
        <v>208</v>
      </c>
      <c r="C41" t="s">
        <v>660</v>
      </c>
      <c r="D41" t="s">
        <v>455</v>
      </c>
      <c r="E41" t="s">
        <v>166</v>
      </c>
      <c r="F41" t="s">
        <v>712</v>
      </c>
      <c r="G41" t="s">
        <v>476</v>
      </c>
      <c r="H41" t="s">
        <v>48</v>
      </c>
      <c r="I41" t="s">
        <v>527</v>
      </c>
      <c r="J41" t="s">
        <v>166</v>
      </c>
      <c r="K41" t="s">
        <v>466</v>
      </c>
      <c r="L41" t="s">
        <v>458</v>
      </c>
      <c r="M41" t="s">
        <v>459</v>
      </c>
      <c r="N41" t="s">
        <v>460</v>
      </c>
      <c r="O41" t="s">
        <v>461</v>
      </c>
      <c r="P41" t="s">
        <v>462</v>
      </c>
      <c r="Q41" t="s">
        <v>492</v>
      </c>
      <c r="R41" t="s">
        <v>660</v>
      </c>
      <c r="S41" t="s">
        <v>478</v>
      </c>
      <c r="T41" t="s">
        <v>86</v>
      </c>
      <c r="U41" t="s">
        <v>479</v>
      </c>
      <c r="V41" t="s">
        <v>455</v>
      </c>
      <c r="W41" t="s">
        <v>383</v>
      </c>
      <c r="X41" t="s">
        <v>693</v>
      </c>
      <c r="Y41" t="s">
        <v>694</v>
      </c>
      <c r="Z41" t="s">
        <v>695</v>
      </c>
      <c r="AA41" t="s">
        <v>668</v>
      </c>
      <c r="AB41" t="s">
        <v>669</v>
      </c>
      <c r="AC41" t="s">
        <v>669</v>
      </c>
      <c r="AD41" t="s">
        <v>512</v>
      </c>
      <c r="AE41" t="s">
        <v>512</v>
      </c>
      <c r="AF41" t="s">
        <v>671</v>
      </c>
      <c r="AG41">
        <v>107</v>
      </c>
    </row>
    <row r="42" spans="1:33">
      <c r="A42" t="s">
        <v>713</v>
      </c>
      <c r="B42" t="s">
        <v>208</v>
      </c>
      <c r="C42" t="s">
        <v>660</v>
      </c>
      <c r="D42" t="s">
        <v>455</v>
      </c>
      <c r="E42" t="s">
        <v>597</v>
      </c>
      <c r="F42" t="s">
        <v>714</v>
      </c>
      <c r="G42" t="s">
        <v>715</v>
      </c>
      <c r="H42" t="s">
        <v>89</v>
      </c>
      <c r="I42" t="s">
        <v>455</v>
      </c>
      <c r="J42" t="s">
        <v>597</v>
      </c>
      <c r="K42" t="s">
        <v>500</v>
      </c>
      <c r="L42" t="s">
        <v>716</v>
      </c>
      <c r="M42" t="s">
        <v>491</v>
      </c>
      <c r="N42" t="s">
        <v>491</v>
      </c>
      <c r="O42" t="s">
        <v>491</v>
      </c>
      <c r="P42" t="s">
        <v>491</v>
      </c>
      <c r="Q42" t="s">
        <v>384</v>
      </c>
      <c r="R42" t="s">
        <v>660</v>
      </c>
      <c r="S42" t="s">
        <v>714</v>
      </c>
      <c r="T42" t="s">
        <v>87</v>
      </c>
      <c r="U42" t="s">
        <v>717</v>
      </c>
      <c r="V42" t="s">
        <v>455</v>
      </c>
      <c r="W42" t="s">
        <v>242</v>
      </c>
      <c r="X42" t="s">
        <v>718</v>
      </c>
      <c r="Y42" t="s">
        <v>718</v>
      </c>
      <c r="Z42" t="s">
        <v>719</v>
      </c>
      <c r="AA42" t="s">
        <v>388</v>
      </c>
      <c r="AB42" t="s">
        <v>720</v>
      </c>
      <c r="AC42" t="s">
        <v>720</v>
      </c>
      <c r="AD42" t="s">
        <v>721</v>
      </c>
      <c r="AE42" t="s">
        <v>721</v>
      </c>
      <c r="AF42" t="s">
        <v>388</v>
      </c>
      <c r="AG42">
        <v>108</v>
      </c>
    </row>
    <row r="43" spans="1:33">
      <c r="A43" t="s">
        <v>722</v>
      </c>
      <c r="B43" t="s">
        <v>208</v>
      </c>
      <c r="C43" t="s">
        <v>660</v>
      </c>
      <c r="D43" t="s">
        <v>455</v>
      </c>
      <c r="E43" t="s">
        <v>166</v>
      </c>
      <c r="F43" t="s">
        <v>723</v>
      </c>
      <c r="G43" t="s">
        <v>715</v>
      </c>
      <c r="H43" t="s">
        <v>89</v>
      </c>
      <c r="I43" t="s">
        <v>455</v>
      </c>
      <c r="J43" t="s">
        <v>166</v>
      </c>
      <c r="K43" t="s">
        <v>600</v>
      </c>
      <c r="L43" t="s">
        <v>724</v>
      </c>
      <c r="M43" t="s">
        <v>459</v>
      </c>
      <c r="N43" t="s">
        <v>460</v>
      </c>
      <c r="O43" t="s">
        <v>461</v>
      </c>
      <c r="P43" t="s">
        <v>462</v>
      </c>
      <c r="Q43" t="s">
        <v>584</v>
      </c>
      <c r="R43" t="s">
        <v>660</v>
      </c>
      <c r="S43" t="s">
        <v>725</v>
      </c>
      <c r="T43" t="s">
        <v>87</v>
      </c>
      <c r="U43" t="s">
        <v>717</v>
      </c>
      <c r="V43" t="s">
        <v>455</v>
      </c>
      <c r="W43" t="s">
        <v>520</v>
      </c>
      <c r="X43" t="s">
        <v>341</v>
      </c>
      <c r="Y43" t="s">
        <v>342</v>
      </c>
      <c r="Z43" t="s">
        <v>455</v>
      </c>
      <c r="AA43" t="s">
        <v>391</v>
      </c>
      <c r="AB43" t="s">
        <v>726</v>
      </c>
      <c r="AC43" t="s">
        <v>726</v>
      </c>
      <c r="AD43" t="s">
        <v>727</v>
      </c>
      <c r="AE43" t="s">
        <v>727</v>
      </c>
      <c r="AF43" t="s">
        <v>391</v>
      </c>
      <c r="AG43">
        <v>119</v>
      </c>
    </row>
    <row r="44" spans="1:33">
      <c r="A44" t="s">
        <v>728</v>
      </c>
      <c r="B44" t="s">
        <v>208</v>
      </c>
      <c r="C44" t="s">
        <v>660</v>
      </c>
      <c r="D44" t="s">
        <v>455</v>
      </c>
      <c r="E44" t="s">
        <v>166</v>
      </c>
      <c r="F44" t="s">
        <v>729</v>
      </c>
      <c r="G44" t="s">
        <v>715</v>
      </c>
      <c r="H44" t="s">
        <v>89</v>
      </c>
      <c r="I44" t="s">
        <v>455</v>
      </c>
      <c r="J44" t="s">
        <v>166</v>
      </c>
      <c r="K44" t="s">
        <v>506</v>
      </c>
      <c r="L44" t="s">
        <v>730</v>
      </c>
      <c r="M44" t="s">
        <v>459</v>
      </c>
      <c r="N44" t="s">
        <v>460</v>
      </c>
      <c r="O44" t="s">
        <v>461</v>
      </c>
      <c r="P44" t="s">
        <v>462</v>
      </c>
      <c r="Q44" t="s">
        <v>584</v>
      </c>
      <c r="R44" t="s">
        <v>660</v>
      </c>
      <c r="S44" t="s">
        <v>731</v>
      </c>
      <c r="T44" t="s">
        <v>87</v>
      </c>
      <c r="U44" t="s">
        <v>717</v>
      </c>
      <c r="V44" t="s">
        <v>455</v>
      </c>
      <c r="W44" t="s">
        <v>520</v>
      </c>
      <c r="X44" t="s">
        <v>385</v>
      </c>
      <c r="Y44" t="s">
        <v>386</v>
      </c>
      <c r="Z44" t="s">
        <v>732</v>
      </c>
      <c r="AA44" t="s">
        <v>733</v>
      </c>
      <c r="AB44" t="s">
        <v>734</v>
      </c>
      <c r="AC44" t="s">
        <v>734</v>
      </c>
      <c r="AD44" t="s">
        <v>455</v>
      </c>
      <c r="AE44" t="s">
        <v>455</v>
      </c>
      <c r="AF44" t="s">
        <v>733</v>
      </c>
      <c r="AG44">
        <v>128</v>
      </c>
    </row>
    <row r="45" spans="1:33">
      <c r="A45" t="s">
        <v>735</v>
      </c>
      <c r="B45" t="s">
        <v>208</v>
      </c>
      <c r="C45" t="s">
        <v>660</v>
      </c>
      <c r="D45" t="s">
        <v>455</v>
      </c>
      <c r="E45" t="s">
        <v>166</v>
      </c>
      <c r="F45" t="s">
        <v>501</v>
      </c>
      <c r="G45" t="s">
        <v>476</v>
      </c>
      <c r="H45" t="s">
        <v>48</v>
      </c>
      <c r="I45" t="s">
        <v>458</v>
      </c>
      <c r="J45" t="s">
        <v>166</v>
      </c>
      <c r="K45" t="s">
        <v>703</v>
      </c>
      <c r="L45" t="s">
        <v>458</v>
      </c>
      <c r="M45" t="s">
        <v>491</v>
      </c>
      <c r="N45" t="s">
        <v>491</v>
      </c>
      <c r="O45" t="s">
        <v>491</v>
      </c>
      <c r="P45" t="s">
        <v>491</v>
      </c>
      <c r="Q45" t="s">
        <v>492</v>
      </c>
      <c r="R45" t="s">
        <v>660</v>
      </c>
      <c r="S45" t="s">
        <v>501</v>
      </c>
      <c r="T45" t="s">
        <v>86</v>
      </c>
      <c r="U45" t="s">
        <v>479</v>
      </c>
      <c r="V45" t="s">
        <v>455</v>
      </c>
      <c r="W45" t="s">
        <v>383</v>
      </c>
      <c r="X45"/>
      <c r="Y45"/>
      <c r="Z45"/>
      <c r="AA45"/>
      <c r="AB45"/>
      <c r="AC45"/>
      <c r="AD45"/>
      <c r="AE45"/>
      <c r="AF45"/>
      <c r="AG45">
        <v>132</v>
      </c>
    </row>
    <row r="46" spans="1:33">
      <c r="A46" t="s">
        <v>735</v>
      </c>
      <c r="B46" t="s">
        <v>208</v>
      </c>
      <c r="C46" t="s">
        <v>660</v>
      </c>
      <c r="D46" t="s">
        <v>455</v>
      </c>
      <c r="E46" t="s">
        <v>166</v>
      </c>
      <c r="F46" t="s">
        <v>501</v>
      </c>
      <c r="G46" t="s">
        <v>476</v>
      </c>
      <c r="H46" t="s">
        <v>89</v>
      </c>
      <c r="I46" t="s">
        <v>526</v>
      </c>
      <c r="J46" t="s">
        <v>166</v>
      </c>
      <c r="K46" t="s">
        <v>457</v>
      </c>
      <c r="L46" t="s">
        <v>458</v>
      </c>
      <c r="M46" t="s">
        <v>491</v>
      </c>
      <c r="N46" t="s">
        <v>491</v>
      </c>
      <c r="O46" t="s">
        <v>491</v>
      </c>
      <c r="P46" t="s">
        <v>491</v>
      </c>
      <c r="Q46" t="s">
        <v>492</v>
      </c>
      <c r="R46" t="s">
        <v>660</v>
      </c>
      <c r="S46" t="s">
        <v>501</v>
      </c>
      <c r="T46" t="s">
        <v>86</v>
      </c>
      <c r="U46" t="s">
        <v>479</v>
      </c>
      <c r="V46" t="s">
        <v>455</v>
      </c>
      <c r="W46" t="s">
        <v>383</v>
      </c>
      <c r="X46"/>
      <c r="Y46"/>
      <c r="Z46"/>
      <c r="AA46"/>
      <c r="AB46"/>
      <c r="AC46"/>
      <c r="AD46"/>
      <c r="AE46"/>
      <c r="AF46"/>
      <c r="AG46">
        <v>133</v>
      </c>
    </row>
    <row r="47" spans="1:33">
      <c r="A47" t="s">
        <v>735</v>
      </c>
      <c r="B47" t="s">
        <v>208</v>
      </c>
      <c r="C47" t="s">
        <v>660</v>
      </c>
      <c r="D47" t="s">
        <v>455</v>
      </c>
      <c r="E47" t="s">
        <v>166</v>
      </c>
      <c r="F47" t="s">
        <v>501</v>
      </c>
      <c r="G47" t="s">
        <v>476</v>
      </c>
      <c r="H47" t="s">
        <v>89</v>
      </c>
      <c r="I47" t="s">
        <v>736</v>
      </c>
      <c r="J47" t="s">
        <v>166</v>
      </c>
      <c r="K47" t="s">
        <v>737</v>
      </c>
      <c r="L47" t="s">
        <v>537</v>
      </c>
      <c r="M47" t="s">
        <v>491</v>
      </c>
      <c r="N47" t="s">
        <v>491</v>
      </c>
      <c r="O47" t="s">
        <v>491</v>
      </c>
      <c r="P47" t="s">
        <v>491</v>
      </c>
      <c r="Q47" t="s">
        <v>492</v>
      </c>
      <c r="R47" t="s">
        <v>660</v>
      </c>
      <c r="S47" t="s">
        <v>501</v>
      </c>
      <c r="T47" t="s">
        <v>86</v>
      </c>
      <c r="U47" t="s">
        <v>479</v>
      </c>
      <c r="V47" t="s">
        <v>455</v>
      </c>
      <c r="W47" t="s">
        <v>383</v>
      </c>
      <c r="X47"/>
      <c r="Y47"/>
      <c r="Z47"/>
      <c r="AA47"/>
      <c r="AB47"/>
      <c r="AC47"/>
      <c r="AD47"/>
      <c r="AE47"/>
      <c r="AF47"/>
      <c r="AG47">
        <v>134</v>
      </c>
    </row>
    <row r="48" spans="1:33">
      <c r="A48" t="s">
        <v>738</v>
      </c>
      <c r="B48" t="s">
        <v>208</v>
      </c>
      <c r="C48" t="s">
        <v>660</v>
      </c>
      <c r="D48" t="s">
        <v>455</v>
      </c>
      <c r="E48" t="s">
        <v>166</v>
      </c>
      <c r="F48" t="s">
        <v>739</v>
      </c>
      <c r="G48" t="s">
        <v>715</v>
      </c>
      <c r="H48" t="s">
        <v>48</v>
      </c>
      <c r="I48" t="s">
        <v>455</v>
      </c>
      <c r="J48" t="s">
        <v>166</v>
      </c>
      <c r="K48" t="s">
        <v>506</v>
      </c>
      <c r="L48" t="s">
        <v>595</v>
      </c>
      <c r="M48" t="s">
        <v>491</v>
      </c>
      <c r="N48" t="s">
        <v>491</v>
      </c>
      <c r="O48" t="s">
        <v>491</v>
      </c>
      <c r="P48" t="s">
        <v>491</v>
      </c>
      <c r="Q48" t="s">
        <v>384</v>
      </c>
      <c r="R48" t="s">
        <v>660</v>
      </c>
      <c r="S48" t="s">
        <v>740</v>
      </c>
      <c r="T48" t="s">
        <v>87</v>
      </c>
      <c r="U48" t="s">
        <v>717</v>
      </c>
      <c r="V48" t="s">
        <v>455</v>
      </c>
      <c r="W48" t="s">
        <v>242</v>
      </c>
      <c r="X48" t="s">
        <v>378</v>
      </c>
      <c r="Y48" t="s">
        <v>378</v>
      </c>
      <c r="Z48" t="s">
        <v>741</v>
      </c>
      <c r="AA48" t="s">
        <v>410</v>
      </c>
      <c r="AB48" t="s">
        <v>742</v>
      </c>
      <c r="AC48" t="s">
        <v>742</v>
      </c>
      <c r="AD48" t="s">
        <v>743</v>
      </c>
      <c r="AE48" t="s">
        <v>743</v>
      </c>
      <c r="AF48" t="s">
        <v>410</v>
      </c>
      <c r="AG48">
        <v>146</v>
      </c>
    </row>
    <row r="49" spans="1:33">
      <c r="A49" t="s">
        <v>744</v>
      </c>
      <c r="B49" t="s">
        <v>208</v>
      </c>
      <c r="C49" t="s">
        <v>660</v>
      </c>
      <c r="D49" t="s">
        <v>455</v>
      </c>
      <c r="E49" t="s">
        <v>597</v>
      </c>
      <c r="F49" t="s">
        <v>745</v>
      </c>
      <c r="G49" t="s">
        <v>715</v>
      </c>
      <c r="H49" t="s">
        <v>89</v>
      </c>
      <c r="I49" t="s">
        <v>526</v>
      </c>
      <c r="J49" t="s">
        <v>597</v>
      </c>
      <c r="K49" t="s">
        <v>457</v>
      </c>
      <c r="L49" t="s">
        <v>746</v>
      </c>
      <c r="M49" t="s">
        <v>459</v>
      </c>
      <c r="N49" t="s">
        <v>460</v>
      </c>
      <c r="O49" t="s">
        <v>461</v>
      </c>
      <c r="P49" t="s">
        <v>462</v>
      </c>
      <c r="Q49" t="s">
        <v>584</v>
      </c>
      <c r="R49" t="s">
        <v>660</v>
      </c>
      <c r="S49" t="s">
        <v>747</v>
      </c>
      <c r="T49" t="s">
        <v>87</v>
      </c>
      <c r="U49" t="s">
        <v>717</v>
      </c>
      <c r="V49" t="s">
        <v>455</v>
      </c>
      <c r="W49" t="s">
        <v>240</v>
      </c>
      <c r="X49" t="s">
        <v>718</v>
      </c>
      <c r="Y49" t="s">
        <v>718</v>
      </c>
      <c r="Z49" t="s">
        <v>719</v>
      </c>
      <c r="AA49" t="s">
        <v>409</v>
      </c>
      <c r="AB49" t="s">
        <v>748</v>
      </c>
      <c r="AC49" t="s">
        <v>748</v>
      </c>
      <c r="AD49" t="s">
        <v>749</v>
      </c>
      <c r="AE49" t="s">
        <v>749</v>
      </c>
      <c r="AF49" t="s">
        <v>409</v>
      </c>
      <c r="AG49">
        <v>161</v>
      </c>
    </row>
    <row r="50" spans="1:33">
      <c r="A50" t="s">
        <v>750</v>
      </c>
      <c r="B50" t="s">
        <v>208</v>
      </c>
      <c r="C50" t="s">
        <v>660</v>
      </c>
      <c r="D50" t="s">
        <v>455</v>
      </c>
      <c r="E50" t="s">
        <v>597</v>
      </c>
      <c r="F50" t="s">
        <v>751</v>
      </c>
      <c r="G50" t="s">
        <v>715</v>
      </c>
      <c r="H50" t="s">
        <v>48</v>
      </c>
      <c r="I50" t="s">
        <v>455</v>
      </c>
      <c r="J50" t="s">
        <v>597</v>
      </c>
      <c r="K50" t="s">
        <v>506</v>
      </c>
      <c r="L50" t="s">
        <v>601</v>
      </c>
      <c r="M50" t="s">
        <v>459</v>
      </c>
      <c r="N50" t="s">
        <v>460</v>
      </c>
      <c r="O50" t="s">
        <v>461</v>
      </c>
      <c r="P50" t="s">
        <v>462</v>
      </c>
      <c r="Q50" t="s">
        <v>584</v>
      </c>
      <c r="R50" t="s">
        <v>660</v>
      </c>
      <c r="S50" t="s">
        <v>752</v>
      </c>
      <c r="T50" t="s">
        <v>87</v>
      </c>
      <c r="U50" t="s">
        <v>717</v>
      </c>
      <c r="V50" t="s">
        <v>455</v>
      </c>
      <c r="W50" t="s">
        <v>210</v>
      </c>
      <c r="X50" t="s">
        <v>718</v>
      </c>
      <c r="Y50" t="s">
        <v>718</v>
      </c>
      <c r="Z50" t="s">
        <v>719</v>
      </c>
      <c r="AA50" t="s">
        <v>413</v>
      </c>
      <c r="AB50" t="s">
        <v>753</v>
      </c>
      <c r="AC50" t="s">
        <v>753</v>
      </c>
      <c r="AD50" t="s">
        <v>754</v>
      </c>
      <c r="AE50" t="s">
        <v>754</v>
      </c>
      <c r="AF50" t="s">
        <v>413</v>
      </c>
      <c r="AG50">
        <v>167</v>
      </c>
    </row>
    <row r="51" spans="1:33">
      <c r="A51" t="s">
        <v>750</v>
      </c>
      <c r="B51" t="s">
        <v>208</v>
      </c>
      <c r="C51" t="s">
        <v>660</v>
      </c>
      <c r="D51" t="s">
        <v>455</v>
      </c>
      <c r="E51" t="s">
        <v>597</v>
      </c>
      <c r="F51" t="s">
        <v>751</v>
      </c>
      <c r="G51" t="s">
        <v>715</v>
      </c>
      <c r="H51" t="s">
        <v>48</v>
      </c>
      <c r="I51" t="s">
        <v>455</v>
      </c>
      <c r="J51" t="s">
        <v>597</v>
      </c>
      <c r="K51" t="s">
        <v>506</v>
      </c>
      <c r="L51" t="s">
        <v>755</v>
      </c>
      <c r="M51" t="s">
        <v>459</v>
      </c>
      <c r="N51" t="s">
        <v>460</v>
      </c>
      <c r="O51" t="s">
        <v>461</v>
      </c>
      <c r="P51" t="s">
        <v>462</v>
      </c>
      <c r="Q51" t="s">
        <v>584</v>
      </c>
      <c r="R51" t="s">
        <v>660</v>
      </c>
      <c r="S51" t="s">
        <v>752</v>
      </c>
      <c r="T51" t="s">
        <v>87</v>
      </c>
      <c r="U51" t="s">
        <v>717</v>
      </c>
      <c r="V51" t="s">
        <v>455</v>
      </c>
      <c r="W51" t="s">
        <v>210</v>
      </c>
      <c r="X51" t="s">
        <v>718</v>
      </c>
      <c r="Y51" t="s">
        <v>718</v>
      </c>
      <c r="Z51" t="s">
        <v>719</v>
      </c>
      <c r="AA51" t="s">
        <v>413</v>
      </c>
      <c r="AB51" t="s">
        <v>753</v>
      </c>
      <c r="AC51" t="s">
        <v>753</v>
      </c>
      <c r="AD51" t="s">
        <v>754</v>
      </c>
      <c r="AE51" t="s">
        <v>754</v>
      </c>
      <c r="AF51" t="s">
        <v>413</v>
      </c>
      <c r="AG51">
        <v>168</v>
      </c>
    </row>
    <row r="52" spans="1:33">
      <c r="A52" t="s">
        <v>756</v>
      </c>
      <c r="B52" t="s">
        <v>208</v>
      </c>
      <c r="C52" t="s">
        <v>660</v>
      </c>
      <c r="D52" t="s">
        <v>455</v>
      </c>
      <c r="E52" t="s">
        <v>166</v>
      </c>
      <c r="F52" t="s">
        <v>757</v>
      </c>
      <c r="G52" t="s">
        <v>715</v>
      </c>
      <c r="H52" t="s">
        <v>89</v>
      </c>
      <c r="I52" t="s">
        <v>526</v>
      </c>
      <c r="J52" t="s">
        <v>166</v>
      </c>
      <c r="K52" t="s">
        <v>457</v>
      </c>
      <c r="L52" t="s">
        <v>758</v>
      </c>
      <c r="M52" t="s">
        <v>459</v>
      </c>
      <c r="N52" t="s">
        <v>460</v>
      </c>
      <c r="O52" t="s">
        <v>461</v>
      </c>
      <c r="P52" t="s">
        <v>462</v>
      </c>
      <c r="Q52" t="s">
        <v>584</v>
      </c>
      <c r="R52" t="s">
        <v>660</v>
      </c>
      <c r="S52" t="s">
        <v>759</v>
      </c>
      <c r="T52" t="s">
        <v>87</v>
      </c>
      <c r="U52" t="s">
        <v>717</v>
      </c>
      <c r="V52" t="s">
        <v>455</v>
      </c>
      <c r="W52" t="s">
        <v>480</v>
      </c>
      <c r="X52" t="s">
        <v>385</v>
      </c>
      <c r="Y52" t="s">
        <v>386</v>
      </c>
      <c r="Z52" t="s">
        <v>732</v>
      </c>
      <c r="AA52" t="s">
        <v>390</v>
      </c>
      <c r="AB52" t="s">
        <v>760</v>
      </c>
      <c r="AC52" t="s">
        <v>760</v>
      </c>
      <c r="AD52" t="s">
        <v>761</v>
      </c>
      <c r="AE52" t="s">
        <v>761</v>
      </c>
      <c r="AF52" t="s">
        <v>390</v>
      </c>
      <c r="AG52">
        <v>171</v>
      </c>
    </row>
    <row r="53" spans="1:33">
      <c r="A53" t="s">
        <v>762</v>
      </c>
      <c r="B53" t="s">
        <v>208</v>
      </c>
      <c r="C53" t="s">
        <v>660</v>
      </c>
      <c r="D53" t="s">
        <v>455</v>
      </c>
      <c r="E53" t="s">
        <v>166</v>
      </c>
      <c r="F53" t="s">
        <v>619</v>
      </c>
      <c r="G53" t="s">
        <v>715</v>
      </c>
      <c r="H53" t="s">
        <v>89</v>
      </c>
      <c r="I53" t="s">
        <v>455</v>
      </c>
      <c r="J53" t="s">
        <v>166</v>
      </c>
      <c r="K53" t="s">
        <v>500</v>
      </c>
      <c r="L53" t="s">
        <v>595</v>
      </c>
      <c r="M53" t="s">
        <v>459</v>
      </c>
      <c r="N53" t="s">
        <v>460</v>
      </c>
      <c r="O53" t="s">
        <v>461</v>
      </c>
      <c r="P53" t="s">
        <v>462</v>
      </c>
      <c r="Q53" t="s">
        <v>584</v>
      </c>
      <c r="R53" t="s">
        <v>660</v>
      </c>
      <c r="S53" t="s">
        <v>763</v>
      </c>
      <c r="T53" t="s">
        <v>87</v>
      </c>
      <c r="U53" t="s">
        <v>717</v>
      </c>
      <c r="V53" t="s">
        <v>455</v>
      </c>
      <c r="W53" t="s">
        <v>480</v>
      </c>
      <c r="X53" t="s">
        <v>376</v>
      </c>
      <c r="Y53" t="s">
        <v>376</v>
      </c>
      <c r="Z53" t="s">
        <v>455</v>
      </c>
      <c r="AA53" t="s">
        <v>390</v>
      </c>
      <c r="AB53" t="s">
        <v>760</v>
      </c>
      <c r="AC53" t="s">
        <v>760</v>
      </c>
      <c r="AD53" t="s">
        <v>764</v>
      </c>
      <c r="AE53" t="s">
        <v>764</v>
      </c>
      <c r="AF53" t="s">
        <v>390</v>
      </c>
      <c r="AG53">
        <v>172</v>
      </c>
    </row>
    <row r="54" spans="1:33">
      <c r="A54" t="s">
        <v>765</v>
      </c>
      <c r="B54" t="s">
        <v>208</v>
      </c>
      <c r="C54" t="s">
        <v>660</v>
      </c>
      <c r="D54" t="s">
        <v>455</v>
      </c>
      <c r="E54" t="s">
        <v>166</v>
      </c>
      <c r="F54" t="s">
        <v>455</v>
      </c>
      <c r="G54" t="s">
        <v>715</v>
      </c>
      <c r="H54" t="s">
        <v>89</v>
      </c>
      <c r="I54" t="s">
        <v>526</v>
      </c>
      <c r="J54" t="s">
        <v>166</v>
      </c>
      <c r="K54" t="s">
        <v>457</v>
      </c>
      <c r="L54" t="s">
        <v>730</v>
      </c>
      <c r="M54" t="s">
        <v>459</v>
      </c>
      <c r="N54" t="s">
        <v>460</v>
      </c>
      <c r="O54" t="s">
        <v>461</v>
      </c>
      <c r="P54" t="s">
        <v>462</v>
      </c>
      <c r="Q54" t="s">
        <v>584</v>
      </c>
      <c r="R54" t="s">
        <v>660</v>
      </c>
      <c r="S54" t="s">
        <v>455</v>
      </c>
      <c r="T54" t="s">
        <v>87</v>
      </c>
      <c r="U54" t="s">
        <v>717</v>
      </c>
      <c r="V54" t="s">
        <v>455</v>
      </c>
      <c r="W54" t="s">
        <v>520</v>
      </c>
      <c r="X54" t="s">
        <v>144</v>
      </c>
      <c r="Y54" t="s">
        <v>144</v>
      </c>
      <c r="Z54" t="s">
        <v>455</v>
      </c>
      <c r="AA54" t="s">
        <v>411</v>
      </c>
      <c r="AB54" t="s">
        <v>766</v>
      </c>
      <c r="AC54" t="s">
        <v>766</v>
      </c>
      <c r="AD54" t="s">
        <v>767</v>
      </c>
      <c r="AE54" t="s">
        <v>767</v>
      </c>
      <c r="AF54" t="s">
        <v>411</v>
      </c>
      <c r="AG54">
        <v>173</v>
      </c>
    </row>
    <row r="55" spans="1:33">
      <c r="A55" t="s">
        <v>768</v>
      </c>
      <c r="B55" t="s">
        <v>208</v>
      </c>
      <c r="C55" t="s">
        <v>660</v>
      </c>
      <c r="D55" t="s">
        <v>455</v>
      </c>
      <c r="E55" t="s">
        <v>166</v>
      </c>
      <c r="F55" t="s">
        <v>769</v>
      </c>
      <c r="G55" t="s">
        <v>715</v>
      </c>
      <c r="H55" t="s">
        <v>89</v>
      </c>
      <c r="I55" t="s">
        <v>524</v>
      </c>
      <c r="J55" t="s">
        <v>166</v>
      </c>
      <c r="K55" t="s">
        <v>525</v>
      </c>
      <c r="L55" t="s">
        <v>770</v>
      </c>
      <c r="M55" t="s">
        <v>459</v>
      </c>
      <c r="N55" t="s">
        <v>460</v>
      </c>
      <c r="O55" t="s">
        <v>461</v>
      </c>
      <c r="P55" t="s">
        <v>462</v>
      </c>
      <c r="Q55" t="s">
        <v>584</v>
      </c>
      <c r="R55" t="s">
        <v>660</v>
      </c>
      <c r="S55" t="s">
        <v>771</v>
      </c>
      <c r="T55" t="s">
        <v>87</v>
      </c>
      <c r="U55" t="s">
        <v>717</v>
      </c>
      <c r="V55" t="s">
        <v>455</v>
      </c>
      <c r="W55" t="s">
        <v>538</v>
      </c>
      <c r="X55" t="s">
        <v>718</v>
      </c>
      <c r="Y55" t="s">
        <v>718</v>
      </c>
      <c r="Z55" t="s">
        <v>719</v>
      </c>
      <c r="AA55" t="s">
        <v>410</v>
      </c>
      <c r="AB55" t="s">
        <v>742</v>
      </c>
      <c r="AC55" t="s">
        <v>742</v>
      </c>
      <c r="AD55" t="s">
        <v>772</v>
      </c>
      <c r="AE55" t="s">
        <v>772</v>
      </c>
      <c r="AF55" t="s">
        <v>410</v>
      </c>
      <c r="AG55">
        <v>175</v>
      </c>
    </row>
    <row r="56" spans="1:33">
      <c r="A56" t="s">
        <v>773</v>
      </c>
      <c r="B56" t="s">
        <v>208</v>
      </c>
      <c r="C56" t="s">
        <v>660</v>
      </c>
      <c r="D56" t="s">
        <v>455</v>
      </c>
      <c r="E56" t="s">
        <v>166</v>
      </c>
      <c r="F56" t="s">
        <v>774</v>
      </c>
      <c r="G56" t="s">
        <v>715</v>
      </c>
      <c r="H56" t="s">
        <v>89</v>
      </c>
      <c r="I56" t="s">
        <v>524</v>
      </c>
      <c r="J56" t="s">
        <v>166</v>
      </c>
      <c r="K56" t="s">
        <v>525</v>
      </c>
      <c r="L56" t="s">
        <v>775</v>
      </c>
      <c r="M56" t="s">
        <v>459</v>
      </c>
      <c r="N56" t="s">
        <v>460</v>
      </c>
      <c r="O56" t="s">
        <v>461</v>
      </c>
      <c r="P56" t="s">
        <v>462</v>
      </c>
      <c r="Q56" t="s">
        <v>584</v>
      </c>
      <c r="R56" t="s">
        <v>660</v>
      </c>
      <c r="S56" t="s">
        <v>776</v>
      </c>
      <c r="T56" t="s">
        <v>87</v>
      </c>
      <c r="U56" t="s">
        <v>717</v>
      </c>
      <c r="V56" t="s">
        <v>455</v>
      </c>
      <c r="W56" t="s">
        <v>383</v>
      </c>
      <c r="X56" t="s">
        <v>380</v>
      </c>
      <c r="Y56" t="s">
        <v>380</v>
      </c>
      <c r="Z56" t="s">
        <v>777</v>
      </c>
      <c r="AA56" t="s">
        <v>412</v>
      </c>
      <c r="AB56" t="s">
        <v>778</v>
      </c>
      <c r="AC56" t="s">
        <v>778</v>
      </c>
      <c r="AD56" t="s">
        <v>779</v>
      </c>
      <c r="AE56" t="s">
        <v>779</v>
      </c>
      <c r="AF56" t="s">
        <v>412</v>
      </c>
      <c r="AG56">
        <v>176</v>
      </c>
    </row>
    <row r="57" spans="1:33">
      <c r="A57" t="s">
        <v>780</v>
      </c>
      <c r="B57" t="s">
        <v>208</v>
      </c>
      <c r="C57" t="s">
        <v>781</v>
      </c>
      <c r="D57" t="s">
        <v>455</v>
      </c>
      <c r="E57" t="s">
        <v>166</v>
      </c>
      <c r="F57" t="s">
        <v>782</v>
      </c>
      <c r="G57" t="s">
        <v>381</v>
      </c>
      <c r="H57" t="s">
        <v>89</v>
      </c>
      <c r="I57" t="s">
        <v>783</v>
      </c>
      <c r="J57" t="s">
        <v>166</v>
      </c>
      <c r="K57" t="s">
        <v>500</v>
      </c>
      <c r="L57" t="s">
        <v>784</v>
      </c>
      <c r="M57" t="s">
        <v>491</v>
      </c>
      <c r="N57" t="s">
        <v>491</v>
      </c>
      <c r="O57" t="s">
        <v>491</v>
      </c>
      <c r="P57" t="s">
        <v>491</v>
      </c>
      <c r="Q57" t="s">
        <v>584</v>
      </c>
      <c r="R57" t="s">
        <v>781</v>
      </c>
      <c r="S57" t="s">
        <v>785</v>
      </c>
      <c r="T57" t="s">
        <v>87</v>
      </c>
      <c r="U57" t="s">
        <v>786</v>
      </c>
      <c r="V57" t="s">
        <v>455</v>
      </c>
      <c r="W57" t="s">
        <v>377</v>
      </c>
      <c r="X57" t="s">
        <v>341</v>
      </c>
      <c r="Y57" t="s">
        <v>342</v>
      </c>
      <c r="Z57" t="s">
        <v>787</v>
      </c>
      <c r="AA57" t="s">
        <v>393</v>
      </c>
      <c r="AB57" t="s">
        <v>788</v>
      </c>
      <c r="AC57" t="s">
        <v>788</v>
      </c>
      <c r="AD57" t="s">
        <v>789</v>
      </c>
      <c r="AE57" t="s">
        <v>789</v>
      </c>
      <c r="AF57" t="s">
        <v>393</v>
      </c>
      <c r="AG57">
        <v>189</v>
      </c>
    </row>
    <row r="58" spans="1:33">
      <c r="A58" t="s">
        <v>780</v>
      </c>
      <c r="B58" t="s">
        <v>208</v>
      </c>
      <c r="C58" t="s">
        <v>781</v>
      </c>
      <c r="D58" t="s">
        <v>455</v>
      </c>
      <c r="E58" t="s">
        <v>166</v>
      </c>
      <c r="F58" t="s">
        <v>782</v>
      </c>
      <c r="G58" t="s">
        <v>381</v>
      </c>
      <c r="H58" t="s">
        <v>6</v>
      </c>
      <c r="I58" t="s">
        <v>790</v>
      </c>
      <c r="J58" t="s">
        <v>166</v>
      </c>
      <c r="K58" t="s">
        <v>649</v>
      </c>
      <c r="L58" t="s">
        <v>791</v>
      </c>
      <c r="M58" t="s">
        <v>491</v>
      </c>
      <c r="N58" t="s">
        <v>491</v>
      </c>
      <c r="O58" t="s">
        <v>491</v>
      </c>
      <c r="P58" t="s">
        <v>491</v>
      </c>
      <c r="Q58" t="s">
        <v>584</v>
      </c>
      <c r="R58" t="s">
        <v>781</v>
      </c>
      <c r="S58" t="s">
        <v>785</v>
      </c>
      <c r="T58" t="s">
        <v>87</v>
      </c>
      <c r="U58" t="s">
        <v>786</v>
      </c>
      <c r="V58" t="s">
        <v>455</v>
      </c>
      <c r="W58" t="s">
        <v>377</v>
      </c>
      <c r="X58" t="s">
        <v>341</v>
      </c>
      <c r="Y58" t="s">
        <v>342</v>
      </c>
      <c r="Z58" t="s">
        <v>787</v>
      </c>
      <c r="AA58" t="s">
        <v>393</v>
      </c>
      <c r="AB58" t="s">
        <v>788</v>
      </c>
      <c r="AC58" t="s">
        <v>788</v>
      </c>
      <c r="AD58" t="s">
        <v>789</v>
      </c>
      <c r="AE58" t="s">
        <v>789</v>
      </c>
      <c r="AF58" t="s">
        <v>393</v>
      </c>
      <c r="AG58">
        <v>190</v>
      </c>
    </row>
    <row r="59" spans="1:33">
      <c r="A59" t="s">
        <v>792</v>
      </c>
      <c r="B59" t="s">
        <v>208</v>
      </c>
      <c r="C59" t="s">
        <v>781</v>
      </c>
      <c r="D59" t="s">
        <v>455</v>
      </c>
      <c r="E59" t="s">
        <v>166</v>
      </c>
      <c r="F59" t="s">
        <v>793</v>
      </c>
      <c r="G59" t="s">
        <v>381</v>
      </c>
      <c r="H59" t="s">
        <v>48</v>
      </c>
      <c r="I59" t="s">
        <v>794</v>
      </c>
      <c r="J59" t="s">
        <v>166</v>
      </c>
      <c r="K59" t="s">
        <v>600</v>
      </c>
      <c r="L59" t="s">
        <v>795</v>
      </c>
      <c r="M59" t="s">
        <v>459</v>
      </c>
      <c r="N59" t="s">
        <v>460</v>
      </c>
      <c r="O59" t="s">
        <v>461</v>
      </c>
      <c r="P59" t="s">
        <v>462</v>
      </c>
      <c r="Q59" t="s">
        <v>584</v>
      </c>
      <c r="R59" t="s">
        <v>781</v>
      </c>
      <c r="S59" t="s">
        <v>796</v>
      </c>
      <c r="T59" t="s">
        <v>87</v>
      </c>
      <c r="U59" t="s">
        <v>786</v>
      </c>
      <c r="V59" t="s">
        <v>455</v>
      </c>
      <c r="W59" t="s">
        <v>340</v>
      </c>
      <c r="X59" t="s">
        <v>797</v>
      </c>
      <c r="Y59" t="s">
        <v>798</v>
      </c>
      <c r="Z59" t="s">
        <v>799</v>
      </c>
      <c r="AA59" t="s">
        <v>800</v>
      </c>
      <c r="AB59" t="s">
        <v>801</v>
      </c>
      <c r="AC59" t="s">
        <v>801</v>
      </c>
      <c r="AD59" t="s">
        <v>802</v>
      </c>
      <c r="AE59" t="s">
        <v>802</v>
      </c>
      <c r="AF59" t="s">
        <v>803</v>
      </c>
      <c r="AG59">
        <v>191</v>
      </c>
    </row>
    <row r="60" spans="1:33">
      <c r="A60" t="s">
        <v>804</v>
      </c>
      <c r="B60" t="s">
        <v>208</v>
      </c>
      <c r="C60" t="s">
        <v>781</v>
      </c>
      <c r="D60" t="s">
        <v>455</v>
      </c>
      <c r="E60" t="s">
        <v>597</v>
      </c>
      <c r="F60" t="s">
        <v>805</v>
      </c>
      <c r="G60" t="s">
        <v>715</v>
      </c>
      <c r="H60" t="s">
        <v>89</v>
      </c>
      <c r="I60" t="s">
        <v>526</v>
      </c>
      <c r="J60" t="s">
        <v>597</v>
      </c>
      <c r="K60" t="s">
        <v>457</v>
      </c>
      <c r="L60" t="s">
        <v>730</v>
      </c>
      <c r="M60" t="s">
        <v>459</v>
      </c>
      <c r="N60" t="s">
        <v>460</v>
      </c>
      <c r="O60" t="s">
        <v>461</v>
      </c>
      <c r="P60" t="s">
        <v>462</v>
      </c>
      <c r="Q60" t="s">
        <v>584</v>
      </c>
      <c r="R60" t="s">
        <v>781</v>
      </c>
      <c r="S60" t="s">
        <v>806</v>
      </c>
      <c r="T60" t="s">
        <v>87</v>
      </c>
      <c r="U60" t="s">
        <v>717</v>
      </c>
      <c r="V60" t="s">
        <v>455</v>
      </c>
      <c r="W60" t="s">
        <v>240</v>
      </c>
      <c r="X60" t="s">
        <v>341</v>
      </c>
      <c r="Y60" t="s">
        <v>342</v>
      </c>
      <c r="Z60" t="s">
        <v>455</v>
      </c>
      <c r="AA60" t="s">
        <v>387</v>
      </c>
      <c r="AB60" t="s">
        <v>720</v>
      </c>
      <c r="AC60" t="s">
        <v>720</v>
      </c>
      <c r="AD60" t="s">
        <v>807</v>
      </c>
      <c r="AE60" t="s">
        <v>807</v>
      </c>
      <c r="AF60" t="s">
        <v>387</v>
      </c>
      <c r="AG60">
        <v>192</v>
      </c>
    </row>
    <row r="61" spans="1:33">
      <c r="A61" t="s">
        <v>808</v>
      </c>
      <c r="B61" t="s">
        <v>208</v>
      </c>
      <c r="C61" t="s">
        <v>781</v>
      </c>
      <c r="D61" t="s">
        <v>455</v>
      </c>
      <c r="E61" t="s">
        <v>166</v>
      </c>
      <c r="F61" t="s">
        <v>809</v>
      </c>
      <c r="G61" t="s">
        <v>381</v>
      </c>
      <c r="H61" t="s">
        <v>89</v>
      </c>
      <c r="I61" t="s">
        <v>810</v>
      </c>
      <c r="J61" t="s">
        <v>166</v>
      </c>
      <c r="K61" t="s">
        <v>490</v>
      </c>
      <c r="L61" t="s">
        <v>483</v>
      </c>
      <c r="M61" t="s">
        <v>459</v>
      </c>
      <c r="N61" t="s">
        <v>460</v>
      </c>
      <c r="O61" t="s">
        <v>461</v>
      </c>
      <c r="P61" t="s">
        <v>462</v>
      </c>
      <c r="Q61" t="s">
        <v>584</v>
      </c>
      <c r="R61" t="s">
        <v>781</v>
      </c>
      <c r="S61" t="s">
        <v>811</v>
      </c>
      <c r="T61" t="s">
        <v>87</v>
      </c>
      <c r="U61" t="s">
        <v>786</v>
      </c>
      <c r="V61" t="s">
        <v>455</v>
      </c>
      <c r="W61" t="s">
        <v>538</v>
      </c>
      <c r="X61" t="s">
        <v>812</v>
      </c>
      <c r="Y61" t="s">
        <v>813</v>
      </c>
      <c r="Z61" t="s">
        <v>814</v>
      </c>
      <c r="AA61" t="s">
        <v>815</v>
      </c>
      <c r="AB61" t="s">
        <v>816</v>
      </c>
      <c r="AC61" t="s">
        <v>816</v>
      </c>
      <c r="AD61" t="s">
        <v>817</v>
      </c>
      <c r="AE61" t="s">
        <v>817</v>
      </c>
      <c r="AF61" t="s">
        <v>818</v>
      </c>
      <c r="AG61">
        <v>195</v>
      </c>
    </row>
    <row r="62" spans="1:33">
      <c r="A62" t="s">
        <v>819</v>
      </c>
      <c r="B62" t="s">
        <v>208</v>
      </c>
      <c r="C62" t="s">
        <v>781</v>
      </c>
      <c r="D62" t="s">
        <v>455</v>
      </c>
      <c r="E62" t="s">
        <v>166</v>
      </c>
      <c r="F62" t="s">
        <v>820</v>
      </c>
      <c r="G62" t="s">
        <v>381</v>
      </c>
      <c r="H62" t="s">
        <v>89</v>
      </c>
      <c r="I62" t="s">
        <v>736</v>
      </c>
      <c r="J62" t="s">
        <v>166</v>
      </c>
      <c r="K62" t="s">
        <v>737</v>
      </c>
      <c r="L62" t="s">
        <v>821</v>
      </c>
      <c r="M62" t="s">
        <v>459</v>
      </c>
      <c r="N62" t="s">
        <v>460</v>
      </c>
      <c r="O62" t="s">
        <v>461</v>
      </c>
      <c r="P62" t="s">
        <v>462</v>
      </c>
      <c r="Q62" t="s">
        <v>584</v>
      </c>
      <c r="R62" t="s">
        <v>781</v>
      </c>
      <c r="S62" t="s">
        <v>822</v>
      </c>
      <c r="T62" t="s">
        <v>87</v>
      </c>
      <c r="U62" t="s">
        <v>786</v>
      </c>
      <c r="V62" t="s">
        <v>455</v>
      </c>
      <c r="W62" t="s">
        <v>520</v>
      </c>
      <c r="X62" t="s">
        <v>823</v>
      </c>
      <c r="Y62" t="s">
        <v>824</v>
      </c>
      <c r="Z62" t="s">
        <v>825</v>
      </c>
      <c r="AA62" t="s">
        <v>815</v>
      </c>
      <c r="AB62" t="s">
        <v>816</v>
      </c>
      <c r="AC62" t="s">
        <v>816</v>
      </c>
      <c r="AD62" t="s">
        <v>826</v>
      </c>
      <c r="AE62" t="s">
        <v>826</v>
      </c>
      <c r="AF62" t="s">
        <v>818</v>
      </c>
      <c r="AG62">
        <v>196</v>
      </c>
    </row>
    <row r="63" spans="1:33">
      <c r="A63" t="s">
        <v>827</v>
      </c>
      <c r="B63" t="s">
        <v>208</v>
      </c>
      <c r="C63" t="s">
        <v>781</v>
      </c>
      <c r="D63" t="s">
        <v>455</v>
      </c>
      <c r="E63" t="s">
        <v>166</v>
      </c>
      <c r="F63" t="s">
        <v>809</v>
      </c>
      <c r="G63" t="s">
        <v>381</v>
      </c>
      <c r="H63" t="s">
        <v>89</v>
      </c>
      <c r="I63" t="s">
        <v>828</v>
      </c>
      <c r="J63" t="s">
        <v>166</v>
      </c>
      <c r="K63" t="s">
        <v>506</v>
      </c>
      <c r="L63" t="s">
        <v>829</v>
      </c>
      <c r="M63" t="s">
        <v>459</v>
      </c>
      <c r="N63" t="s">
        <v>460</v>
      </c>
      <c r="O63" t="s">
        <v>461</v>
      </c>
      <c r="P63" t="s">
        <v>462</v>
      </c>
      <c r="Q63" t="s">
        <v>584</v>
      </c>
      <c r="R63" t="s">
        <v>781</v>
      </c>
      <c r="S63" t="s">
        <v>830</v>
      </c>
      <c r="T63" t="s">
        <v>87</v>
      </c>
      <c r="U63" t="s">
        <v>786</v>
      </c>
      <c r="V63" t="s">
        <v>455</v>
      </c>
      <c r="W63" t="s">
        <v>538</v>
      </c>
      <c r="X63" t="s">
        <v>831</v>
      </c>
      <c r="Y63" t="s">
        <v>832</v>
      </c>
      <c r="Z63" t="s">
        <v>833</v>
      </c>
      <c r="AA63" t="s">
        <v>815</v>
      </c>
      <c r="AB63" t="s">
        <v>816</v>
      </c>
      <c r="AC63" t="s">
        <v>816</v>
      </c>
      <c r="AD63" t="s">
        <v>834</v>
      </c>
      <c r="AE63" t="s">
        <v>834</v>
      </c>
      <c r="AF63" t="s">
        <v>818</v>
      </c>
      <c r="AG63">
        <v>200</v>
      </c>
    </row>
    <row r="64" spans="1:33">
      <c r="A64" t="s">
        <v>827</v>
      </c>
      <c r="B64" t="s">
        <v>208</v>
      </c>
      <c r="C64" t="s">
        <v>781</v>
      </c>
      <c r="D64" t="s">
        <v>455</v>
      </c>
      <c r="E64" t="s">
        <v>166</v>
      </c>
      <c r="F64" t="s">
        <v>809</v>
      </c>
      <c r="G64" t="s">
        <v>381</v>
      </c>
      <c r="H64" t="s">
        <v>89</v>
      </c>
      <c r="I64" t="s">
        <v>835</v>
      </c>
      <c r="J64" t="s">
        <v>166</v>
      </c>
      <c r="K64" t="s">
        <v>490</v>
      </c>
      <c r="L64" t="s">
        <v>483</v>
      </c>
      <c r="M64" t="s">
        <v>459</v>
      </c>
      <c r="N64" t="s">
        <v>460</v>
      </c>
      <c r="O64" t="s">
        <v>461</v>
      </c>
      <c r="P64" t="s">
        <v>462</v>
      </c>
      <c r="Q64" t="s">
        <v>584</v>
      </c>
      <c r="R64" t="s">
        <v>781</v>
      </c>
      <c r="S64" t="s">
        <v>830</v>
      </c>
      <c r="T64" t="s">
        <v>87</v>
      </c>
      <c r="U64" t="s">
        <v>786</v>
      </c>
      <c r="V64" t="s">
        <v>455</v>
      </c>
      <c r="W64" t="s">
        <v>538</v>
      </c>
      <c r="X64" t="s">
        <v>831</v>
      </c>
      <c r="Y64" t="s">
        <v>832</v>
      </c>
      <c r="Z64" t="s">
        <v>833</v>
      </c>
      <c r="AA64" t="s">
        <v>815</v>
      </c>
      <c r="AB64" t="s">
        <v>816</v>
      </c>
      <c r="AC64" t="s">
        <v>816</v>
      </c>
      <c r="AD64" t="s">
        <v>834</v>
      </c>
      <c r="AE64" t="s">
        <v>834</v>
      </c>
      <c r="AF64" t="s">
        <v>818</v>
      </c>
      <c r="AG64">
        <v>201</v>
      </c>
    </row>
    <row r="65" spans="1:33">
      <c r="A65" t="s">
        <v>827</v>
      </c>
      <c r="B65" t="s">
        <v>208</v>
      </c>
      <c r="C65" t="s">
        <v>781</v>
      </c>
      <c r="D65" t="s">
        <v>455</v>
      </c>
      <c r="E65" t="s">
        <v>166</v>
      </c>
      <c r="F65" t="s">
        <v>809</v>
      </c>
      <c r="G65" t="s">
        <v>381</v>
      </c>
      <c r="H65" t="s">
        <v>48</v>
      </c>
      <c r="I65" t="s">
        <v>836</v>
      </c>
      <c r="J65" t="s">
        <v>166</v>
      </c>
      <c r="K65" t="s">
        <v>600</v>
      </c>
      <c r="L65" t="s">
        <v>514</v>
      </c>
      <c r="M65" t="s">
        <v>459</v>
      </c>
      <c r="N65" t="s">
        <v>460</v>
      </c>
      <c r="O65" t="s">
        <v>461</v>
      </c>
      <c r="P65" t="s">
        <v>462</v>
      </c>
      <c r="Q65" t="s">
        <v>584</v>
      </c>
      <c r="R65" t="s">
        <v>781</v>
      </c>
      <c r="S65" t="s">
        <v>830</v>
      </c>
      <c r="T65" t="s">
        <v>87</v>
      </c>
      <c r="U65" t="s">
        <v>786</v>
      </c>
      <c r="V65" t="s">
        <v>455</v>
      </c>
      <c r="W65" t="s">
        <v>538</v>
      </c>
      <c r="X65" t="s">
        <v>831</v>
      </c>
      <c r="Y65" t="s">
        <v>832</v>
      </c>
      <c r="Z65" t="s">
        <v>833</v>
      </c>
      <c r="AA65" t="s">
        <v>815</v>
      </c>
      <c r="AB65" t="s">
        <v>816</v>
      </c>
      <c r="AC65" t="s">
        <v>816</v>
      </c>
      <c r="AD65" t="s">
        <v>834</v>
      </c>
      <c r="AE65" t="s">
        <v>834</v>
      </c>
      <c r="AF65" t="s">
        <v>818</v>
      </c>
      <c r="AG65">
        <v>202</v>
      </c>
    </row>
    <row r="66" spans="1:33">
      <c r="A66" t="s">
        <v>827</v>
      </c>
      <c r="B66" t="s">
        <v>208</v>
      </c>
      <c r="C66" t="s">
        <v>781</v>
      </c>
      <c r="D66" t="s">
        <v>455</v>
      </c>
      <c r="E66" t="s">
        <v>166</v>
      </c>
      <c r="F66" t="s">
        <v>809</v>
      </c>
      <c r="G66" t="s">
        <v>381</v>
      </c>
      <c r="H66" t="s">
        <v>48</v>
      </c>
      <c r="I66" t="s">
        <v>837</v>
      </c>
      <c r="J66" t="s">
        <v>166</v>
      </c>
      <c r="K66" t="s">
        <v>506</v>
      </c>
      <c r="L66" t="s">
        <v>483</v>
      </c>
      <c r="M66" t="s">
        <v>459</v>
      </c>
      <c r="N66" t="s">
        <v>460</v>
      </c>
      <c r="O66" t="s">
        <v>461</v>
      </c>
      <c r="P66" t="s">
        <v>462</v>
      </c>
      <c r="Q66" t="s">
        <v>584</v>
      </c>
      <c r="R66" t="s">
        <v>781</v>
      </c>
      <c r="S66" t="s">
        <v>830</v>
      </c>
      <c r="T66" t="s">
        <v>87</v>
      </c>
      <c r="U66" t="s">
        <v>786</v>
      </c>
      <c r="V66" t="s">
        <v>455</v>
      </c>
      <c r="W66" t="s">
        <v>538</v>
      </c>
      <c r="X66" t="s">
        <v>831</v>
      </c>
      <c r="Y66" t="s">
        <v>832</v>
      </c>
      <c r="Z66" t="s">
        <v>833</v>
      </c>
      <c r="AA66" t="s">
        <v>815</v>
      </c>
      <c r="AB66" t="s">
        <v>816</v>
      </c>
      <c r="AC66" t="s">
        <v>816</v>
      </c>
      <c r="AD66" t="s">
        <v>834</v>
      </c>
      <c r="AE66" t="s">
        <v>834</v>
      </c>
      <c r="AF66" t="s">
        <v>818</v>
      </c>
      <c r="AG66">
        <v>204</v>
      </c>
    </row>
    <row r="67" spans="1:33">
      <c r="A67" t="s">
        <v>838</v>
      </c>
      <c r="B67" t="s">
        <v>208</v>
      </c>
      <c r="C67" t="s">
        <v>781</v>
      </c>
      <c r="D67" t="s">
        <v>455</v>
      </c>
      <c r="E67" t="s">
        <v>166</v>
      </c>
      <c r="F67" t="s">
        <v>839</v>
      </c>
      <c r="G67" t="s">
        <v>715</v>
      </c>
      <c r="H67" t="s">
        <v>48</v>
      </c>
      <c r="I67" t="s">
        <v>455</v>
      </c>
      <c r="J67" t="s">
        <v>166</v>
      </c>
      <c r="K67" t="s">
        <v>600</v>
      </c>
      <c r="L67" t="s">
        <v>758</v>
      </c>
      <c r="M67" t="s">
        <v>459</v>
      </c>
      <c r="N67" t="s">
        <v>460</v>
      </c>
      <c r="O67" t="s">
        <v>461</v>
      </c>
      <c r="P67" t="s">
        <v>462</v>
      </c>
      <c r="Q67" t="s">
        <v>384</v>
      </c>
      <c r="R67" t="s">
        <v>781</v>
      </c>
      <c r="S67" t="s">
        <v>840</v>
      </c>
      <c r="T67" t="s">
        <v>87</v>
      </c>
      <c r="U67" t="s">
        <v>717</v>
      </c>
      <c r="V67" t="s">
        <v>455</v>
      </c>
      <c r="W67" t="s">
        <v>538</v>
      </c>
      <c r="X67" t="s">
        <v>379</v>
      </c>
      <c r="Y67" t="s">
        <v>379</v>
      </c>
      <c r="Z67" t="s">
        <v>841</v>
      </c>
      <c r="AA67" t="s">
        <v>392</v>
      </c>
      <c r="AB67" t="s">
        <v>842</v>
      </c>
      <c r="AC67" t="s">
        <v>842</v>
      </c>
      <c r="AD67" t="s">
        <v>843</v>
      </c>
      <c r="AE67" t="s">
        <v>843</v>
      </c>
      <c r="AF67" t="s">
        <v>392</v>
      </c>
      <c r="AG67">
        <v>206</v>
      </c>
    </row>
    <row r="2973" spans="1:22">
      <c r="A2973" s="19"/>
      <c r="B2973" s="19"/>
      <c r="C2973" s="19"/>
      <c r="D2973" s="19"/>
      <c r="E2973" s="19"/>
      <c r="F2973" s="19"/>
      <c r="G2973" s="19"/>
      <c r="H2973" s="19"/>
      <c r="I2973" s="19"/>
      <c r="J2973" s="19"/>
      <c r="K2973" s="19"/>
      <c r="L2973" s="19"/>
      <c r="M2973" s="19"/>
      <c r="N2973" s="19"/>
      <c r="O2973" s="19"/>
      <c r="P2973" s="19"/>
      <c r="Q2973" s="19"/>
      <c r="R2973" s="19"/>
      <c r="S2973" s="19"/>
      <c r="T2973" s="19"/>
      <c r="V2973" s="19"/>
    </row>
  </sheetData>
  <autoFilter ref="A1:AF298"/>
  <dataConsolidate/>
  <phoneticPr fontId="4" type="noConversion"/>
  <dataValidations count="9">
    <dataValidation type="list" showInputMessage="1" showErrorMessage="1" errorTitle="Invalid Entry" error="Please select From the Drop Box" promptTitle="Enter Month of Quote" sqref="R2577:R2924 R89:R93 R2:R5 C296:C2576">
      <formula1>"APR,MAY,JUN,JUL,AUG,SEPT,OCT,NOV,DEC,JAN,FEB,MAR"</formula1>
    </dataValidation>
    <dataValidation type="list" showInputMessage="1" showErrorMessage="1" errorTitle="Invalid Entry" error="Please Select From the Drop Box" sqref="D108:D119 D121:D131 D2:D21 D54:D88 D133:D2576">
      <formula1>"1,2,3,4,5,6,7,8,9,10,11,12,13,14,15,16,17,18,19,20,21,22,23,24,25,26,27,28,29,30,31"</formula1>
    </dataValidation>
    <dataValidation showInputMessage="1" showErrorMessage="1" errorTitle="Invalid Entry" error="Please choose from the Drop Box" sqref="I55:I93 I1:I21 I108:I65451"/>
    <dataValidation type="list" showInputMessage="1" showErrorMessage="1" errorTitle="Invalid Entry" error="Please select From the Drop Box" promptTitle="Enter Month of Quote" sqref="R6:R88 C2:C295 R108:R2576">
      <formula1>"Apr,May,Jun,Jul,Aug,Sept,Oct,Nov,Dec,Jan,Feb,Mar"</formula1>
    </dataValidation>
    <dataValidation type="list" showInputMessage="1" showErrorMessage="1" errorTitle="Invalid Entry" error="Please select from the Drop Box" sqref="K108:K109 K92:K96 K2:K89 K111:K2576">
      <formula1>"125,140,160,180,200,250,275,300,320,350,360,380,400,450,500,590,600,630,650,750,1010,1250,1500,1650,1850,2000,2250,2500,2750,3000"</formula1>
    </dataValidation>
    <dataValidation type="list" showInputMessage="1" showErrorMessage="1" errorTitle="Invalid Entry" error="Please choose from the Drop Box" sqref="H2:H100 H103:H2576">
      <formula1>"MTU,PERKINS,VOLVO,MAXFORCE"</formula1>
    </dataValidation>
    <dataValidation type="list" showInputMessage="1" showErrorMessage="1" errorTitle="Invalid Entry" error="Please Select From the Drop Box" sqref="Q2:Q2576">
      <formula1>"Pending,Won,Lost"</formula1>
    </dataValidation>
    <dataValidation type="list" showInputMessage="1" showErrorMessage="1" errorTitle="Invalid Entry" error="Please Select From the Drop Box" sqref="T2:T2576">
      <formula1>"R,Y,G"</formula1>
    </dataValidation>
    <dataValidation type="list" showInputMessage="1" showErrorMessage="1" errorTitle="Invalid Entry" error="Please Select From the Drop Box" sqref="J2:J2576">
      <formula1>"R,P"</formula1>
    </dataValidation>
  </dataValidations>
  <pageMargins left="0.16" right="0.42" top="0.48" bottom="0.4" header="0.23" footer="0.2"/>
  <pageSetup paperSize="8"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J30" sqref="J30"/>
    </sheetView>
  </sheetViews>
  <sheetFormatPr defaultRowHeight="12.75"/>
  <cols>
    <col min="1" max="1" width="31.140625" style="19" customWidth="1" collapsed="1"/>
    <col min="2" max="2" width="13.85546875" style="19" bestFit="1" customWidth="1" collapsed="1"/>
    <col min="3" max="5" width="9.140625" style="19" collapsed="1"/>
    <col min="6" max="6" width="13.140625" style="19" customWidth="1" collapsed="1"/>
    <col min="7" max="16384" width="9.140625" style="19" collapsed="1"/>
  </cols>
  <sheetData>
    <row r="1" spans="1:6">
      <c r="A1" s="163" t="s">
        <v>47</v>
      </c>
      <c r="B1" s="163" t="s">
        <v>42</v>
      </c>
      <c r="C1" s="163" t="s">
        <v>43</v>
      </c>
      <c r="D1" s="163" t="s">
        <v>44</v>
      </c>
      <c r="E1" s="163" t="s">
        <v>45</v>
      </c>
      <c r="F1" s="163" t="s">
        <v>29</v>
      </c>
    </row>
    <row r="2" spans="1:6">
      <c r="A2" s="161" t="s">
        <v>48</v>
      </c>
      <c r="B2" s="117">
        <f>ROUND(('Booking-Val-WRK P'!B30+'Booking-Val-WRK P'!D30+'Booking-Val-WRK P'!F30)*0.85,)</f>
        <v>938</v>
      </c>
      <c r="C2" s="117">
        <f>ROUND(('Booking-Val-WRK P'!H30+'Booking-Val-WRK P'!J30+'Booking-Val-WRK P'!L30)*0.85,)</f>
        <v>2482</v>
      </c>
      <c r="D2" s="117">
        <f>ROUND(('Booking-Val-WRK P'!N30+'Booking-Val-WRK P'!P30+'Booking-Val-WRK P'!R30)*0.85,)</f>
        <v>546</v>
      </c>
      <c r="E2" s="117">
        <f>ROUND(('Booking-Val-WRK P'!T30+'Booking-Val-WRK P'!V30+'Booking-Val-WRK P'!X30)*0.85,)</f>
        <v>709</v>
      </c>
      <c r="F2" s="117">
        <f>SUM(B2:E2)</f>
        <v>4675</v>
      </c>
    </row>
    <row r="3" spans="1:6">
      <c r="A3" s="161" t="s">
        <v>6</v>
      </c>
      <c r="B3" s="117">
        <f>ROUND(('Booking-Val-WRK P'!B21+'Booking-Val-WRK P'!D21+'Booking-Val-WRK P'!F21)*0.85,)</f>
        <v>0</v>
      </c>
      <c r="C3" s="117">
        <f>ROUND(('Booking-Val-WRK P'!H21+'Booking-Val-WRK P'!J21+'Booking-Val-WRK P'!L21)*0.85,)</f>
        <v>0</v>
      </c>
      <c r="D3" s="117">
        <f>ROUND(('Booking-Val-WRK P'!N21+'Booking-Val-WRK P'!P21+'Booking-Val-WRK P'!R21)*0.85,)</f>
        <v>0</v>
      </c>
      <c r="E3" s="117">
        <f>ROUND(('Booking-Val-WRK P'!T21+'Booking-Val-WRK P'!V21+'Booking-Val-WRK P'!X21)*0.85,)</f>
        <v>0</v>
      </c>
      <c r="F3" s="117">
        <f>SUM(B3:E3)</f>
        <v>0</v>
      </c>
    </row>
    <row r="4" spans="1:6">
      <c r="A4" s="161" t="s">
        <v>49</v>
      </c>
      <c r="B4" s="117">
        <f>ROUND(((B2/0.85+B3/0.85)*0.15),)</f>
        <v>166</v>
      </c>
      <c r="C4" s="117">
        <f>ROUND(((C2/0.85+C3/0.85)*0.15),)</f>
        <v>438</v>
      </c>
      <c r="D4" s="117">
        <f>ROUND(((D2/0.85+D3/0.85)*0.15),)</f>
        <v>96</v>
      </c>
      <c r="E4" s="117">
        <f>ROUND(((E2/0.85+E3/0.85)*0.15),)</f>
        <v>125</v>
      </c>
      <c r="F4" s="117">
        <f>SUM(B4:E4)</f>
        <v>825</v>
      </c>
    </row>
    <row r="5" spans="1:6">
      <c r="A5" s="161" t="s">
        <v>339</v>
      </c>
      <c r="B5" s="117">
        <f>'Booking-VAL-WRK-R'!B40+'Booking-VAL-WRK-R'!D40+'Booking-VAL-WRK-R'!F40</f>
        <v>0</v>
      </c>
      <c r="C5" s="117">
        <f>'Booking-VAL-WRK-R'!H40+'Booking-VAL-WRK-R'!J40+'Booking-VAL-WRK-R'!L40</f>
        <v>0</v>
      </c>
      <c r="D5" s="117">
        <f>'Booking-VAL-WRK-R'!N40+'Booking-VAL-WRK-R'!P40+'Booking-VAL-WRK-R'!R40</f>
        <v>0</v>
      </c>
      <c r="E5" s="117">
        <f>'Booking-VAL-WRK-R'!T40+'Booking-VAL-WRK-R'!V40+'Booking-VAL-WRK-R'!X40</f>
        <v>0</v>
      </c>
      <c r="F5" s="117">
        <f>SUM(B5:E5)</f>
        <v>0</v>
      </c>
    </row>
    <row r="6" spans="1:6">
      <c r="A6" s="161" t="s">
        <v>29</v>
      </c>
      <c r="B6" s="117">
        <f>SUM(B2:B5)</f>
        <v>1104</v>
      </c>
      <c r="C6" s="117">
        <f>SUM(C2:C5)</f>
        <v>2920</v>
      </c>
      <c r="D6" s="117">
        <f>SUM(D2:D5)</f>
        <v>642</v>
      </c>
      <c r="E6" s="117">
        <f>SUM(E2:E5)</f>
        <v>834</v>
      </c>
      <c r="F6" s="117">
        <f>SUM(F2:F5)</f>
        <v>5500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40"/>
  <sheetViews>
    <sheetView view="pageBreakPreview" zoomScaleSheetLayoutView="100" workbookViewId="0">
      <selection activeCell="J14" sqref="J14"/>
    </sheetView>
  </sheetViews>
  <sheetFormatPr defaultRowHeight="12.75"/>
  <cols>
    <col min="1" max="1" width="6.140625" style="19" bestFit="1" customWidth="1" collapsed="1"/>
    <col min="2" max="2" width="21.5703125" style="19" bestFit="1" customWidth="1" collapsed="1"/>
    <col min="3" max="3" width="9.140625" style="106" bestFit="1" customWidth="1" collapsed="1"/>
    <col min="4" max="4" width="6.28515625" style="106" bestFit="1" customWidth="1" collapsed="1"/>
    <col min="5" max="5" width="5.42578125" style="106" customWidth="1" collapsed="1"/>
    <col min="6" max="6" width="7" style="106" customWidth="1" collapsed="1"/>
    <col min="7" max="7" width="10.42578125" style="106" bestFit="1" customWidth="1" collapsed="1"/>
    <col min="8" max="8" width="28" style="106" bestFit="1" customWidth="1" collapsed="1"/>
    <col min="9" max="10" width="9.140625" style="78" collapsed="1"/>
    <col min="11" max="11" width="14.140625" style="265" customWidth="1" collapsed="1"/>
    <col min="12" max="257" width="9.140625" style="19" collapsed="1"/>
    <col min="258" max="258" width="28.28515625" style="19" customWidth="1" collapsed="1"/>
    <col min="259" max="259" width="12.42578125" style="19" customWidth="1" collapsed="1"/>
    <col min="260" max="260" width="11.7109375" style="19" customWidth="1" collapsed="1"/>
    <col min="261" max="262" width="9.140625" style="19" collapsed="1"/>
    <col min="263" max="263" width="15" style="19" customWidth="1" collapsed="1"/>
    <col min="264" max="264" width="30.140625" style="19" customWidth="1" collapsed="1"/>
    <col min="265" max="513" width="9.140625" style="19" collapsed="1"/>
    <col min="514" max="514" width="28.28515625" style="19" customWidth="1" collapsed="1"/>
    <col min="515" max="515" width="12.42578125" style="19" customWidth="1" collapsed="1"/>
    <col min="516" max="516" width="11.7109375" style="19" customWidth="1" collapsed="1"/>
    <col min="517" max="518" width="9.140625" style="19" collapsed="1"/>
    <col min="519" max="519" width="15" style="19" customWidth="1" collapsed="1"/>
    <col min="520" max="520" width="30.140625" style="19" customWidth="1" collapsed="1"/>
    <col min="521" max="769" width="9.140625" style="19" collapsed="1"/>
    <col min="770" max="770" width="28.28515625" style="19" customWidth="1" collapsed="1"/>
    <col min="771" max="771" width="12.42578125" style="19" customWidth="1" collapsed="1"/>
    <col min="772" max="772" width="11.7109375" style="19" customWidth="1" collapsed="1"/>
    <col min="773" max="774" width="9.140625" style="19" collapsed="1"/>
    <col min="775" max="775" width="15" style="19" customWidth="1" collapsed="1"/>
    <col min="776" max="776" width="30.140625" style="19" customWidth="1" collapsed="1"/>
    <col min="777" max="1025" width="9.140625" style="19" collapsed="1"/>
    <col min="1026" max="1026" width="28.28515625" style="19" customWidth="1" collapsed="1"/>
    <col min="1027" max="1027" width="12.42578125" style="19" customWidth="1" collapsed="1"/>
    <col min="1028" max="1028" width="11.7109375" style="19" customWidth="1" collapsed="1"/>
    <col min="1029" max="1030" width="9.140625" style="19" collapsed="1"/>
    <col min="1031" max="1031" width="15" style="19" customWidth="1" collapsed="1"/>
    <col min="1032" max="1032" width="30.140625" style="19" customWidth="1" collapsed="1"/>
    <col min="1033" max="1281" width="9.140625" style="19" collapsed="1"/>
    <col min="1282" max="1282" width="28.28515625" style="19" customWidth="1" collapsed="1"/>
    <col min="1283" max="1283" width="12.42578125" style="19" customWidth="1" collapsed="1"/>
    <col min="1284" max="1284" width="11.7109375" style="19" customWidth="1" collapsed="1"/>
    <col min="1285" max="1286" width="9.140625" style="19" collapsed="1"/>
    <col min="1287" max="1287" width="15" style="19" customWidth="1" collapsed="1"/>
    <col min="1288" max="1288" width="30.140625" style="19" customWidth="1" collapsed="1"/>
    <col min="1289" max="1537" width="9.140625" style="19" collapsed="1"/>
    <col min="1538" max="1538" width="28.28515625" style="19" customWidth="1" collapsed="1"/>
    <col min="1539" max="1539" width="12.42578125" style="19" customWidth="1" collapsed="1"/>
    <col min="1540" max="1540" width="11.7109375" style="19" customWidth="1" collapsed="1"/>
    <col min="1541" max="1542" width="9.140625" style="19" collapsed="1"/>
    <col min="1543" max="1543" width="15" style="19" customWidth="1" collapsed="1"/>
    <col min="1544" max="1544" width="30.140625" style="19" customWidth="1" collapsed="1"/>
    <col min="1545" max="1793" width="9.140625" style="19" collapsed="1"/>
    <col min="1794" max="1794" width="28.28515625" style="19" customWidth="1" collapsed="1"/>
    <col min="1795" max="1795" width="12.42578125" style="19" customWidth="1" collapsed="1"/>
    <col min="1796" max="1796" width="11.7109375" style="19" customWidth="1" collapsed="1"/>
    <col min="1797" max="1798" width="9.140625" style="19" collapsed="1"/>
    <col min="1799" max="1799" width="15" style="19" customWidth="1" collapsed="1"/>
    <col min="1800" max="1800" width="30.140625" style="19" customWidth="1" collapsed="1"/>
    <col min="1801" max="2049" width="9.140625" style="19" collapsed="1"/>
    <col min="2050" max="2050" width="28.28515625" style="19" customWidth="1" collapsed="1"/>
    <col min="2051" max="2051" width="12.42578125" style="19" customWidth="1" collapsed="1"/>
    <col min="2052" max="2052" width="11.7109375" style="19" customWidth="1" collapsed="1"/>
    <col min="2053" max="2054" width="9.140625" style="19" collapsed="1"/>
    <col min="2055" max="2055" width="15" style="19" customWidth="1" collapsed="1"/>
    <col min="2056" max="2056" width="30.140625" style="19" customWidth="1" collapsed="1"/>
    <col min="2057" max="2305" width="9.140625" style="19" collapsed="1"/>
    <col min="2306" max="2306" width="28.28515625" style="19" customWidth="1" collapsed="1"/>
    <col min="2307" max="2307" width="12.42578125" style="19" customWidth="1" collapsed="1"/>
    <col min="2308" max="2308" width="11.7109375" style="19" customWidth="1" collapsed="1"/>
    <col min="2309" max="2310" width="9.140625" style="19" collapsed="1"/>
    <col min="2311" max="2311" width="15" style="19" customWidth="1" collapsed="1"/>
    <col min="2312" max="2312" width="30.140625" style="19" customWidth="1" collapsed="1"/>
    <col min="2313" max="2561" width="9.140625" style="19" collapsed="1"/>
    <col min="2562" max="2562" width="28.28515625" style="19" customWidth="1" collapsed="1"/>
    <col min="2563" max="2563" width="12.42578125" style="19" customWidth="1" collapsed="1"/>
    <col min="2564" max="2564" width="11.7109375" style="19" customWidth="1" collapsed="1"/>
    <col min="2565" max="2566" width="9.140625" style="19" collapsed="1"/>
    <col min="2567" max="2567" width="15" style="19" customWidth="1" collapsed="1"/>
    <col min="2568" max="2568" width="30.140625" style="19" customWidth="1" collapsed="1"/>
    <col min="2569" max="2817" width="9.140625" style="19" collapsed="1"/>
    <col min="2818" max="2818" width="28.28515625" style="19" customWidth="1" collapsed="1"/>
    <col min="2819" max="2819" width="12.42578125" style="19" customWidth="1" collapsed="1"/>
    <col min="2820" max="2820" width="11.7109375" style="19" customWidth="1" collapsed="1"/>
    <col min="2821" max="2822" width="9.140625" style="19" collapsed="1"/>
    <col min="2823" max="2823" width="15" style="19" customWidth="1" collapsed="1"/>
    <col min="2824" max="2824" width="30.140625" style="19" customWidth="1" collapsed="1"/>
    <col min="2825" max="3073" width="9.140625" style="19" collapsed="1"/>
    <col min="3074" max="3074" width="28.28515625" style="19" customWidth="1" collapsed="1"/>
    <col min="3075" max="3075" width="12.42578125" style="19" customWidth="1" collapsed="1"/>
    <col min="3076" max="3076" width="11.7109375" style="19" customWidth="1" collapsed="1"/>
    <col min="3077" max="3078" width="9.140625" style="19" collapsed="1"/>
    <col min="3079" max="3079" width="15" style="19" customWidth="1" collapsed="1"/>
    <col min="3080" max="3080" width="30.140625" style="19" customWidth="1" collapsed="1"/>
    <col min="3081" max="3329" width="9.140625" style="19" collapsed="1"/>
    <col min="3330" max="3330" width="28.28515625" style="19" customWidth="1" collapsed="1"/>
    <col min="3331" max="3331" width="12.42578125" style="19" customWidth="1" collapsed="1"/>
    <col min="3332" max="3332" width="11.7109375" style="19" customWidth="1" collapsed="1"/>
    <col min="3333" max="3334" width="9.140625" style="19" collapsed="1"/>
    <col min="3335" max="3335" width="15" style="19" customWidth="1" collapsed="1"/>
    <col min="3336" max="3336" width="30.140625" style="19" customWidth="1" collapsed="1"/>
    <col min="3337" max="3585" width="9.140625" style="19" collapsed="1"/>
    <col min="3586" max="3586" width="28.28515625" style="19" customWidth="1" collapsed="1"/>
    <col min="3587" max="3587" width="12.42578125" style="19" customWidth="1" collapsed="1"/>
    <col min="3588" max="3588" width="11.7109375" style="19" customWidth="1" collapsed="1"/>
    <col min="3589" max="3590" width="9.140625" style="19" collapsed="1"/>
    <col min="3591" max="3591" width="15" style="19" customWidth="1" collapsed="1"/>
    <col min="3592" max="3592" width="30.140625" style="19" customWidth="1" collapsed="1"/>
    <col min="3593" max="3841" width="9.140625" style="19" collapsed="1"/>
    <col min="3842" max="3842" width="28.28515625" style="19" customWidth="1" collapsed="1"/>
    <col min="3843" max="3843" width="12.42578125" style="19" customWidth="1" collapsed="1"/>
    <col min="3844" max="3844" width="11.7109375" style="19" customWidth="1" collapsed="1"/>
    <col min="3845" max="3846" width="9.140625" style="19" collapsed="1"/>
    <col min="3847" max="3847" width="15" style="19" customWidth="1" collapsed="1"/>
    <col min="3848" max="3848" width="30.140625" style="19" customWidth="1" collapsed="1"/>
    <col min="3849" max="4097" width="9.140625" style="19" collapsed="1"/>
    <col min="4098" max="4098" width="28.28515625" style="19" customWidth="1" collapsed="1"/>
    <col min="4099" max="4099" width="12.42578125" style="19" customWidth="1" collapsed="1"/>
    <col min="4100" max="4100" width="11.7109375" style="19" customWidth="1" collapsed="1"/>
    <col min="4101" max="4102" width="9.140625" style="19" collapsed="1"/>
    <col min="4103" max="4103" width="15" style="19" customWidth="1" collapsed="1"/>
    <col min="4104" max="4104" width="30.140625" style="19" customWidth="1" collapsed="1"/>
    <col min="4105" max="4353" width="9.140625" style="19" collapsed="1"/>
    <col min="4354" max="4354" width="28.28515625" style="19" customWidth="1" collapsed="1"/>
    <col min="4355" max="4355" width="12.42578125" style="19" customWidth="1" collapsed="1"/>
    <col min="4356" max="4356" width="11.7109375" style="19" customWidth="1" collapsed="1"/>
    <col min="4357" max="4358" width="9.140625" style="19" collapsed="1"/>
    <col min="4359" max="4359" width="15" style="19" customWidth="1" collapsed="1"/>
    <col min="4360" max="4360" width="30.140625" style="19" customWidth="1" collapsed="1"/>
    <col min="4361" max="4609" width="9.140625" style="19" collapsed="1"/>
    <col min="4610" max="4610" width="28.28515625" style="19" customWidth="1" collapsed="1"/>
    <col min="4611" max="4611" width="12.42578125" style="19" customWidth="1" collapsed="1"/>
    <col min="4612" max="4612" width="11.7109375" style="19" customWidth="1" collapsed="1"/>
    <col min="4613" max="4614" width="9.140625" style="19" collapsed="1"/>
    <col min="4615" max="4615" width="15" style="19" customWidth="1" collapsed="1"/>
    <col min="4616" max="4616" width="30.140625" style="19" customWidth="1" collapsed="1"/>
    <col min="4617" max="4865" width="9.140625" style="19" collapsed="1"/>
    <col min="4866" max="4866" width="28.28515625" style="19" customWidth="1" collapsed="1"/>
    <col min="4867" max="4867" width="12.42578125" style="19" customWidth="1" collapsed="1"/>
    <col min="4868" max="4868" width="11.7109375" style="19" customWidth="1" collapsed="1"/>
    <col min="4869" max="4870" width="9.140625" style="19" collapsed="1"/>
    <col min="4871" max="4871" width="15" style="19" customWidth="1" collapsed="1"/>
    <col min="4872" max="4872" width="30.140625" style="19" customWidth="1" collapsed="1"/>
    <col min="4873" max="5121" width="9.140625" style="19" collapsed="1"/>
    <col min="5122" max="5122" width="28.28515625" style="19" customWidth="1" collapsed="1"/>
    <col min="5123" max="5123" width="12.42578125" style="19" customWidth="1" collapsed="1"/>
    <col min="5124" max="5124" width="11.7109375" style="19" customWidth="1" collapsed="1"/>
    <col min="5125" max="5126" width="9.140625" style="19" collapsed="1"/>
    <col min="5127" max="5127" width="15" style="19" customWidth="1" collapsed="1"/>
    <col min="5128" max="5128" width="30.140625" style="19" customWidth="1" collapsed="1"/>
    <col min="5129" max="5377" width="9.140625" style="19" collapsed="1"/>
    <col min="5378" max="5378" width="28.28515625" style="19" customWidth="1" collapsed="1"/>
    <col min="5379" max="5379" width="12.42578125" style="19" customWidth="1" collapsed="1"/>
    <col min="5380" max="5380" width="11.7109375" style="19" customWidth="1" collapsed="1"/>
    <col min="5381" max="5382" width="9.140625" style="19" collapsed="1"/>
    <col min="5383" max="5383" width="15" style="19" customWidth="1" collapsed="1"/>
    <col min="5384" max="5384" width="30.140625" style="19" customWidth="1" collapsed="1"/>
    <col min="5385" max="5633" width="9.140625" style="19" collapsed="1"/>
    <col min="5634" max="5634" width="28.28515625" style="19" customWidth="1" collapsed="1"/>
    <col min="5635" max="5635" width="12.42578125" style="19" customWidth="1" collapsed="1"/>
    <col min="5636" max="5636" width="11.7109375" style="19" customWidth="1" collapsed="1"/>
    <col min="5637" max="5638" width="9.140625" style="19" collapsed="1"/>
    <col min="5639" max="5639" width="15" style="19" customWidth="1" collapsed="1"/>
    <col min="5640" max="5640" width="30.140625" style="19" customWidth="1" collapsed="1"/>
    <col min="5641" max="5889" width="9.140625" style="19" collapsed="1"/>
    <col min="5890" max="5890" width="28.28515625" style="19" customWidth="1" collapsed="1"/>
    <col min="5891" max="5891" width="12.42578125" style="19" customWidth="1" collapsed="1"/>
    <col min="5892" max="5892" width="11.7109375" style="19" customWidth="1" collapsed="1"/>
    <col min="5893" max="5894" width="9.140625" style="19" collapsed="1"/>
    <col min="5895" max="5895" width="15" style="19" customWidth="1" collapsed="1"/>
    <col min="5896" max="5896" width="30.140625" style="19" customWidth="1" collapsed="1"/>
    <col min="5897" max="6145" width="9.140625" style="19" collapsed="1"/>
    <col min="6146" max="6146" width="28.28515625" style="19" customWidth="1" collapsed="1"/>
    <col min="6147" max="6147" width="12.42578125" style="19" customWidth="1" collapsed="1"/>
    <col min="6148" max="6148" width="11.7109375" style="19" customWidth="1" collapsed="1"/>
    <col min="6149" max="6150" width="9.140625" style="19" collapsed="1"/>
    <col min="6151" max="6151" width="15" style="19" customWidth="1" collapsed="1"/>
    <col min="6152" max="6152" width="30.140625" style="19" customWidth="1" collapsed="1"/>
    <col min="6153" max="6401" width="9.140625" style="19" collapsed="1"/>
    <col min="6402" max="6402" width="28.28515625" style="19" customWidth="1" collapsed="1"/>
    <col min="6403" max="6403" width="12.42578125" style="19" customWidth="1" collapsed="1"/>
    <col min="6404" max="6404" width="11.7109375" style="19" customWidth="1" collapsed="1"/>
    <col min="6405" max="6406" width="9.140625" style="19" collapsed="1"/>
    <col min="6407" max="6407" width="15" style="19" customWidth="1" collapsed="1"/>
    <col min="6408" max="6408" width="30.140625" style="19" customWidth="1" collapsed="1"/>
    <col min="6409" max="6657" width="9.140625" style="19" collapsed="1"/>
    <col min="6658" max="6658" width="28.28515625" style="19" customWidth="1" collapsed="1"/>
    <col min="6659" max="6659" width="12.42578125" style="19" customWidth="1" collapsed="1"/>
    <col min="6660" max="6660" width="11.7109375" style="19" customWidth="1" collapsed="1"/>
    <col min="6661" max="6662" width="9.140625" style="19" collapsed="1"/>
    <col min="6663" max="6663" width="15" style="19" customWidth="1" collapsed="1"/>
    <col min="6664" max="6664" width="30.140625" style="19" customWidth="1" collapsed="1"/>
    <col min="6665" max="6913" width="9.140625" style="19" collapsed="1"/>
    <col min="6914" max="6914" width="28.28515625" style="19" customWidth="1" collapsed="1"/>
    <col min="6915" max="6915" width="12.42578125" style="19" customWidth="1" collapsed="1"/>
    <col min="6916" max="6916" width="11.7109375" style="19" customWidth="1" collapsed="1"/>
    <col min="6917" max="6918" width="9.140625" style="19" collapsed="1"/>
    <col min="6919" max="6919" width="15" style="19" customWidth="1" collapsed="1"/>
    <col min="6920" max="6920" width="30.140625" style="19" customWidth="1" collapsed="1"/>
    <col min="6921" max="7169" width="9.140625" style="19" collapsed="1"/>
    <col min="7170" max="7170" width="28.28515625" style="19" customWidth="1" collapsed="1"/>
    <col min="7171" max="7171" width="12.42578125" style="19" customWidth="1" collapsed="1"/>
    <col min="7172" max="7172" width="11.7109375" style="19" customWidth="1" collapsed="1"/>
    <col min="7173" max="7174" width="9.140625" style="19" collapsed="1"/>
    <col min="7175" max="7175" width="15" style="19" customWidth="1" collapsed="1"/>
    <col min="7176" max="7176" width="30.140625" style="19" customWidth="1" collapsed="1"/>
    <col min="7177" max="7425" width="9.140625" style="19" collapsed="1"/>
    <col min="7426" max="7426" width="28.28515625" style="19" customWidth="1" collapsed="1"/>
    <col min="7427" max="7427" width="12.42578125" style="19" customWidth="1" collapsed="1"/>
    <col min="7428" max="7428" width="11.7109375" style="19" customWidth="1" collapsed="1"/>
    <col min="7429" max="7430" width="9.140625" style="19" collapsed="1"/>
    <col min="7431" max="7431" width="15" style="19" customWidth="1" collapsed="1"/>
    <col min="7432" max="7432" width="30.140625" style="19" customWidth="1" collapsed="1"/>
    <col min="7433" max="7681" width="9.140625" style="19" collapsed="1"/>
    <col min="7682" max="7682" width="28.28515625" style="19" customWidth="1" collapsed="1"/>
    <col min="7683" max="7683" width="12.42578125" style="19" customWidth="1" collapsed="1"/>
    <col min="7684" max="7684" width="11.7109375" style="19" customWidth="1" collapsed="1"/>
    <col min="7685" max="7686" width="9.140625" style="19" collapsed="1"/>
    <col min="7687" max="7687" width="15" style="19" customWidth="1" collapsed="1"/>
    <col min="7688" max="7688" width="30.140625" style="19" customWidth="1" collapsed="1"/>
    <col min="7689" max="7937" width="9.140625" style="19" collapsed="1"/>
    <col min="7938" max="7938" width="28.28515625" style="19" customWidth="1" collapsed="1"/>
    <col min="7939" max="7939" width="12.42578125" style="19" customWidth="1" collapsed="1"/>
    <col min="7940" max="7940" width="11.7109375" style="19" customWidth="1" collapsed="1"/>
    <col min="7941" max="7942" width="9.140625" style="19" collapsed="1"/>
    <col min="7943" max="7943" width="15" style="19" customWidth="1" collapsed="1"/>
    <col min="7944" max="7944" width="30.140625" style="19" customWidth="1" collapsed="1"/>
    <col min="7945" max="8193" width="9.140625" style="19" collapsed="1"/>
    <col min="8194" max="8194" width="28.28515625" style="19" customWidth="1" collapsed="1"/>
    <col min="8195" max="8195" width="12.42578125" style="19" customWidth="1" collapsed="1"/>
    <col min="8196" max="8196" width="11.7109375" style="19" customWidth="1" collapsed="1"/>
    <col min="8197" max="8198" width="9.140625" style="19" collapsed="1"/>
    <col min="8199" max="8199" width="15" style="19" customWidth="1" collapsed="1"/>
    <col min="8200" max="8200" width="30.140625" style="19" customWidth="1" collapsed="1"/>
    <col min="8201" max="8449" width="9.140625" style="19" collapsed="1"/>
    <col min="8450" max="8450" width="28.28515625" style="19" customWidth="1" collapsed="1"/>
    <col min="8451" max="8451" width="12.42578125" style="19" customWidth="1" collapsed="1"/>
    <col min="8452" max="8452" width="11.7109375" style="19" customWidth="1" collapsed="1"/>
    <col min="8453" max="8454" width="9.140625" style="19" collapsed="1"/>
    <col min="8455" max="8455" width="15" style="19" customWidth="1" collapsed="1"/>
    <col min="8456" max="8456" width="30.140625" style="19" customWidth="1" collapsed="1"/>
    <col min="8457" max="8705" width="9.140625" style="19" collapsed="1"/>
    <col min="8706" max="8706" width="28.28515625" style="19" customWidth="1" collapsed="1"/>
    <col min="8707" max="8707" width="12.42578125" style="19" customWidth="1" collapsed="1"/>
    <col min="8708" max="8708" width="11.7109375" style="19" customWidth="1" collapsed="1"/>
    <col min="8709" max="8710" width="9.140625" style="19" collapsed="1"/>
    <col min="8711" max="8711" width="15" style="19" customWidth="1" collapsed="1"/>
    <col min="8712" max="8712" width="30.140625" style="19" customWidth="1" collapsed="1"/>
    <col min="8713" max="8961" width="9.140625" style="19" collapsed="1"/>
    <col min="8962" max="8962" width="28.28515625" style="19" customWidth="1" collapsed="1"/>
    <col min="8963" max="8963" width="12.42578125" style="19" customWidth="1" collapsed="1"/>
    <col min="8964" max="8964" width="11.7109375" style="19" customWidth="1" collapsed="1"/>
    <col min="8965" max="8966" width="9.140625" style="19" collapsed="1"/>
    <col min="8967" max="8967" width="15" style="19" customWidth="1" collapsed="1"/>
    <col min="8968" max="8968" width="30.140625" style="19" customWidth="1" collapsed="1"/>
    <col min="8969" max="9217" width="9.140625" style="19" collapsed="1"/>
    <col min="9218" max="9218" width="28.28515625" style="19" customWidth="1" collapsed="1"/>
    <col min="9219" max="9219" width="12.42578125" style="19" customWidth="1" collapsed="1"/>
    <col min="9220" max="9220" width="11.7109375" style="19" customWidth="1" collapsed="1"/>
    <col min="9221" max="9222" width="9.140625" style="19" collapsed="1"/>
    <col min="9223" max="9223" width="15" style="19" customWidth="1" collapsed="1"/>
    <col min="9224" max="9224" width="30.140625" style="19" customWidth="1" collapsed="1"/>
    <col min="9225" max="9473" width="9.140625" style="19" collapsed="1"/>
    <col min="9474" max="9474" width="28.28515625" style="19" customWidth="1" collapsed="1"/>
    <col min="9475" max="9475" width="12.42578125" style="19" customWidth="1" collapsed="1"/>
    <col min="9476" max="9476" width="11.7109375" style="19" customWidth="1" collapsed="1"/>
    <col min="9477" max="9478" width="9.140625" style="19" collapsed="1"/>
    <col min="9479" max="9479" width="15" style="19" customWidth="1" collapsed="1"/>
    <col min="9480" max="9480" width="30.140625" style="19" customWidth="1" collapsed="1"/>
    <col min="9481" max="9729" width="9.140625" style="19" collapsed="1"/>
    <col min="9730" max="9730" width="28.28515625" style="19" customWidth="1" collapsed="1"/>
    <col min="9731" max="9731" width="12.42578125" style="19" customWidth="1" collapsed="1"/>
    <col min="9732" max="9732" width="11.7109375" style="19" customWidth="1" collapsed="1"/>
    <col min="9733" max="9734" width="9.140625" style="19" collapsed="1"/>
    <col min="9735" max="9735" width="15" style="19" customWidth="1" collapsed="1"/>
    <col min="9736" max="9736" width="30.140625" style="19" customWidth="1" collapsed="1"/>
    <col min="9737" max="9985" width="9.140625" style="19" collapsed="1"/>
    <col min="9986" max="9986" width="28.28515625" style="19" customWidth="1" collapsed="1"/>
    <col min="9987" max="9987" width="12.42578125" style="19" customWidth="1" collapsed="1"/>
    <col min="9988" max="9988" width="11.7109375" style="19" customWidth="1" collapsed="1"/>
    <col min="9989" max="9990" width="9.140625" style="19" collapsed="1"/>
    <col min="9991" max="9991" width="15" style="19" customWidth="1" collapsed="1"/>
    <col min="9992" max="9992" width="30.140625" style="19" customWidth="1" collapsed="1"/>
    <col min="9993" max="10241" width="9.140625" style="19" collapsed="1"/>
    <col min="10242" max="10242" width="28.28515625" style="19" customWidth="1" collapsed="1"/>
    <col min="10243" max="10243" width="12.42578125" style="19" customWidth="1" collapsed="1"/>
    <col min="10244" max="10244" width="11.7109375" style="19" customWidth="1" collapsed="1"/>
    <col min="10245" max="10246" width="9.140625" style="19" collapsed="1"/>
    <col min="10247" max="10247" width="15" style="19" customWidth="1" collapsed="1"/>
    <col min="10248" max="10248" width="30.140625" style="19" customWidth="1" collapsed="1"/>
    <col min="10249" max="10497" width="9.140625" style="19" collapsed="1"/>
    <col min="10498" max="10498" width="28.28515625" style="19" customWidth="1" collapsed="1"/>
    <col min="10499" max="10499" width="12.42578125" style="19" customWidth="1" collapsed="1"/>
    <col min="10500" max="10500" width="11.7109375" style="19" customWidth="1" collapsed="1"/>
    <col min="10501" max="10502" width="9.140625" style="19" collapsed="1"/>
    <col min="10503" max="10503" width="15" style="19" customWidth="1" collapsed="1"/>
    <col min="10504" max="10504" width="30.140625" style="19" customWidth="1" collapsed="1"/>
    <col min="10505" max="10753" width="9.140625" style="19" collapsed="1"/>
    <col min="10754" max="10754" width="28.28515625" style="19" customWidth="1" collapsed="1"/>
    <col min="10755" max="10755" width="12.42578125" style="19" customWidth="1" collapsed="1"/>
    <col min="10756" max="10756" width="11.7109375" style="19" customWidth="1" collapsed="1"/>
    <col min="10757" max="10758" width="9.140625" style="19" collapsed="1"/>
    <col min="10759" max="10759" width="15" style="19" customWidth="1" collapsed="1"/>
    <col min="10760" max="10760" width="30.140625" style="19" customWidth="1" collapsed="1"/>
    <col min="10761" max="11009" width="9.140625" style="19" collapsed="1"/>
    <col min="11010" max="11010" width="28.28515625" style="19" customWidth="1" collapsed="1"/>
    <col min="11011" max="11011" width="12.42578125" style="19" customWidth="1" collapsed="1"/>
    <col min="11012" max="11012" width="11.7109375" style="19" customWidth="1" collapsed="1"/>
    <col min="11013" max="11014" width="9.140625" style="19" collapsed="1"/>
    <col min="11015" max="11015" width="15" style="19" customWidth="1" collapsed="1"/>
    <col min="11016" max="11016" width="30.140625" style="19" customWidth="1" collapsed="1"/>
    <col min="11017" max="11265" width="9.140625" style="19" collapsed="1"/>
    <col min="11266" max="11266" width="28.28515625" style="19" customWidth="1" collapsed="1"/>
    <col min="11267" max="11267" width="12.42578125" style="19" customWidth="1" collapsed="1"/>
    <col min="11268" max="11268" width="11.7109375" style="19" customWidth="1" collapsed="1"/>
    <col min="11269" max="11270" width="9.140625" style="19" collapsed="1"/>
    <col min="11271" max="11271" width="15" style="19" customWidth="1" collapsed="1"/>
    <col min="11272" max="11272" width="30.140625" style="19" customWidth="1" collapsed="1"/>
    <col min="11273" max="11521" width="9.140625" style="19" collapsed="1"/>
    <col min="11522" max="11522" width="28.28515625" style="19" customWidth="1" collapsed="1"/>
    <col min="11523" max="11523" width="12.42578125" style="19" customWidth="1" collapsed="1"/>
    <col min="11524" max="11524" width="11.7109375" style="19" customWidth="1" collapsed="1"/>
    <col min="11525" max="11526" width="9.140625" style="19" collapsed="1"/>
    <col min="11527" max="11527" width="15" style="19" customWidth="1" collapsed="1"/>
    <col min="11528" max="11528" width="30.140625" style="19" customWidth="1" collapsed="1"/>
    <col min="11529" max="11777" width="9.140625" style="19" collapsed="1"/>
    <col min="11778" max="11778" width="28.28515625" style="19" customWidth="1" collapsed="1"/>
    <col min="11779" max="11779" width="12.42578125" style="19" customWidth="1" collapsed="1"/>
    <col min="11780" max="11780" width="11.7109375" style="19" customWidth="1" collapsed="1"/>
    <col min="11781" max="11782" width="9.140625" style="19" collapsed="1"/>
    <col min="11783" max="11783" width="15" style="19" customWidth="1" collapsed="1"/>
    <col min="11784" max="11784" width="30.140625" style="19" customWidth="1" collapsed="1"/>
    <col min="11785" max="12033" width="9.140625" style="19" collapsed="1"/>
    <col min="12034" max="12034" width="28.28515625" style="19" customWidth="1" collapsed="1"/>
    <col min="12035" max="12035" width="12.42578125" style="19" customWidth="1" collapsed="1"/>
    <col min="12036" max="12036" width="11.7109375" style="19" customWidth="1" collapsed="1"/>
    <col min="12037" max="12038" width="9.140625" style="19" collapsed="1"/>
    <col min="12039" max="12039" width="15" style="19" customWidth="1" collapsed="1"/>
    <col min="12040" max="12040" width="30.140625" style="19" customWidth="1" collapsed="1"/>
    <col min="12041" max="12289" width="9.140625" style="19" collapsed="1"/>
    <col min="12290" max="12290" width="28.28515625" style="19" customWidth="1" collapsed="1"/>
    <col min="12291" max="12291" width="12.42578125" style="19" customWidth="1" collapsed="1"/>
    <col min="12292" max="12292" width="11.7109375" style="19" customWidth="1" collapsed="1"/>
    <col min="12293" max="12294" width="9.140625" style="19" collapsed="1"/>
    <col min="12295" max="12295" width="15" style="19" customWidth="1" collapsed="1"/>
    <col min="12296" max="12296" width="30.140625" style="19" customWidth="1" collapsed="1"/>
    <col min="12297" max="12545" width="9.140625" style="19" collapsed="1"/>
    <col min="12546" max="12546" width="28.28515625" style="19" customWidth="1" collapsed="1"/>
    <col min="12547" max="12547" width="12.42578125" style="19" customWidth="1" collapsed="1"/>
    <col min="12548" max="12548" width="11.7109375" style="19" customWidth="1" collapsed="1"/>
    <col min="12549" max="12550" width="9.140625" style="19" collapsed="1"/>
    <col min="12551" max="12551" width="15" style="19" customWidth="1" collapsed="1"/>
    <col min="12552" max="12552" width="30.140625" style="19" customWidth="1" collapsed="1"/>
    <col min="12553" max="12801" width="9.140625" style="19" collapsed="1"/>
    <col min="12802" max="12802" width="28.28515625" style="19" customWidth="1" collapsed="1"/>
    <col min="12803" max="12803" width="12.42578125" style="19" customWidth="1" collapsed="1"/>
    <col min="12804" max="12804" width="11.7109375" style="19" customWidth="1" collapsed="1"/>
    <col min="12805" max="12806" width="9.140625" style="19" collapsed="1"/>
    <col min="12807" max="12807" width="15" style="19" customWidth="1" collapsed="1"/>
    <col min="12808" max="12808" width="30.140625" style="19" customWidth="1" collapsed="1"/>
    <col min="12809" max="13057" width="9.140625" style="19" collapsed="1"/>
    <col min="13058" max="13058" width="28.28515625" style="19" customWidth="1" collapsed="1"/>
    <col min="13059" max="13059" width="12.42578125" style="19" customWidth="1" collapsed="1"/>
    <col min="13060" max="13060" width="11.7109375" style="19" customWidth="1" collapsed="1"/>
    <col min="13061" max="13062" width="9.140625" style="19" collapsed="1"/>
    <col min="13063" max="13063" width="15" style="19" customWidth="1" collapsed="1"/>
    <col min="13064" max="13064" width="30.140625" style="19" customWidth="1" collapsed="1"/>
    <col min="13065" max="13313" width="9.140625" style="19" collapsed="1"/>
    <col min="13314" max="13314" width="28.28515625" style="19" customWidth="1" collapsed="1"/>
    <col min="13315" max="13315" width="12.42578125" style="19" customWidth="1" collapsed="1"/>
    <col min="13316" max="13316" width="11.7109375" style="19" customWidth="1" collapsed="1"/>
    <col min="13317" max="13318" width="9.140625" style="19" collapsed="1"/>
    <col min="13319" max="13319" width="15" style="19" customWidth="1" collapsed="1"/>
    <col min="13320" max="13320" width="30.140625" style="19" customWidth="1" collapsed="1"/>
    <col min="13321" max="13569" width="9.140625" style="19" collapsed="1"/>
    <col min="13570" max="13570" width="28.28515625" style="19" customWidth="1" collapsed="1"/>
    <col min="13571" max="13571" width="12.42578125" style="19" customWidth="1" collapsed="1"/>
    <col min="13572" max="13572" width="11.7109375" style="19" customWidth="1" collapsed="1"/>
    <col min="13573" max="13574" width="9.140625" style="19" collapsed="1"/>
    <col min="13575" max="13575" width="15" style="19" customWidth="1" collapsed="1"/>
    <col min="13576" max="13576" width="30.140625" style="19" customWidth="1" collapsed="1"/>
    <col min="13577" max="13825" width="9.140625" style="19" collapsed="1"/>
    <col min="13826" max="13826" width="28.28515625" style="19" customWidth="1" collapsed="1"/>
    <col min="13827" max="13827" width="12.42578125" style="19" customWidth="1" collapsed="1"/>
    <col min="13828" max="13828" width="11.7109375" style="19" customWidth="1" collapsed="1"/>
    <col min="13829" max="13830" width="9.140625" style="19" collapsed="1"/>
    <col min="13831" max="13831" width="15" style="19" customWidth="1" collapsed="1"/>
    <col min="13832" max="13832" width="30.140625" style="19" customWidth="1" collapsed="1"/>
    <col min="13833" max="14081" width="9.140625" style="19" collapsed="1"/>
    <col min="14082" max="14082" width="28.28515625" style="19" customWidth="1" collapsed="1"/>
    <col min="14083" max="14083" width="12.42578125" style="19" customWidth="1" collapsed="1"/>
    <col min="14084" max="14084" width="11.7109375" style="19" customWidth="1" collapsed="1"/>
    <col min="14085" max="14086" width="9.140625" style="19" collapsed="1"/>
    <col min="14087" max="14087" width="15" style="19" customWidth="1" collapsed="1"/>
    <col min="14088" max="14088" width="30.140625" style="19" customWidth="1" collapsed="1"/>
    <col min="14089" max="14337" width="9.140625" style="19" collapsed="1"/>
    <col min="14338" max="14338" width="28.28515625" style="19" customWidth="1" collapsed="1"/>
    <col min="14339" max="14339" width="12.42578125" style="19" customWidth="1" collapsed="1"/>
    <col min="14340" max="14340" width="11.7109375" style="19" customWidth="1" collapsed="1"/>
    <col min="14341" max="14342" width="9.140625" style="19" collapsed="1"/>
    <col min="14343" max="14343" width="15" style="19" customWidth="1" collapsed="1"/>
    <col min="14344" max="14344" width="30.140625" style="19" customWidth="1" collapsed="1"/>
    <col min="14345" max="14593" width="9.140625" style="19" collapsed="1"/>
    <col min="14594" max="14594" width="28.28515625" style="19" customWidth="1" collapsed="1"/>
    <col min="14595" max="14595" width="12.42578125" style="19" customWidth="1" collapsed="1"/>
    <col min="14596" max="14596" width="11.7109375" style="19" customWidth="1" collapsed="1"/>
    <col min="14597" max="14598" width="9.140625" style="19" collapsed="1"/>
    <col min="14599" max="14599" width="15" style="19" customWidth="1" collapsed="1"/>
    <col min="14600" max="14600" width="30.140625" style="19" customWidth="1" collapsed="1"/>
    <col min="14601" max="14849" width="9.140625" style="19" collapsed="1"/>
    <col min="14850" max="14850" width="28.28515625" style="19" customWidth="1" collapsed="1"/>
    <col min="14851" max="14851" width="12.42578125" style="19" customWidth="1" collapsed="1"/>
    <col min="14852" max="14852" width="11.7109375" style="19" customWidth="1" collapsed="1"/>
    <col min="14853" max="14854" width="9.140625" style="19" collapsed="1"/>
    <col min="14855" max="14855" width="15" style="19" customWidth="1" collapsed="1"/>
    <col min="14856" max="14856" width="30.140625" style="19" customWidth="1" collapsed="1"/>
    <col min="14857" max="15105" width="9.140625" style="19" collapsed="1"/>
    <col min="15106" max="15106" width="28.28515625" style="19" customWidth="1" collapsed="1"/>
    <col min="15107" max="15107" width="12.42578125" style="19" customWidth="1" collapsed="1"/>
    <col min="15108" max="15108" width="11.7109375" style="19" customWidth="1" collapsed="1"/>
    <col min="15109" max="15110" width="9.140625" style="19" collapsed="1"/>
    <col min="15111" max="15111" width="15" style="19" customWidth="1" collapsed="1"/>
    <col min="15112" max="15112" width="30.140625" style="19" customWidth="1" collapsed="1"/>
    <col min="15113" max="15361" width="9.140625" style="19" collapsed="1"/>
    <col min="15362" max="15362" width="28.28515625" style="19" customWidth="1" collapsed="1"/>
    <col min="15363" max="15363" width="12.42578125" style="19" customWidth="1" collapsed="1"/>
    <col min="15364" max="15364" width="11.7109375" style="19" customWidth="1" collapsed="1"/>
    <col min="15365" max="15366" width="9.140625" style="19" collapsed="1"/>
    <col min="15367" max="15367" width="15" style="19" customWidth="1" collapsed="1"/>
    <col min="15368" max="15368" width="30.140625" style="19" customWidth="1" collapsed="1"/>
    <col min="15369" max="15617" width="9.140625" style="19" collapsed="1"/>
    <col min="15618" max="15618" width="28.28515625" style="19" customWidth="1" collapsed="1"/>
    <col min="15619" max="15619" width="12.42578125" style="19" customWidth="1" collapsed="1"/>
    <col min="15620" max="15620" width="11.7109375" style="19" customWidth="1" collapsed="1"/>
    <col min="15621" max="15622" width="9.140625" style="19" collapsed="1"/>
    <col min="15623" max="15623" width="15" style="19" customWidth="1" collapsed="1"/>
    <col min="15624" max="15624" width="30.140625" style="19" customWidth="1" collapsed="1"/>
    <col min="15625" max="15873" width="9.140625" style="19" collapsed="1"/>
    <col min="15874" max="15874" width="28.28515625" style="19" customWidth="1" collapsed="1"/>
    <col min="15875" max="15875" width="12.42578125" style="19" customWidth="1" collapsed="1"/>
    <col min="15876" max="15876" width="11.7109375" style="19" customWidth="1" collapsed="1"/>
    <col min="15877" max="15878" width="9.140625" style="19" collapsed="1"/>
    <col min="15879" max="15879" width="15" style="19" customWidth="1" collapsed="1"/>
    <col min="15880" max="15880" width="30.140625" style="19" customWidth="1" collapsed="1"/>
    <col min="15881" max="16129" width="9.140625" style="19" collapsed="1"/>
    <col min="16130" max="16130" width="28.28515625" style="19" customWidth="1" collapsed="1"/>
    <col min="16131" max="16131" width="12.42578125" style="19" customWidth="1" collapsed="1"/>
    <col min="16132" max="16132" width="11.7109375" style="19" customWidth="1" collapsed="1"/>
    <col min="16133" max="16134" width="9.140625" style="19" collapsed="1"/>
    <col min="16135" max="16135" width="15" style="19" customWidth="1" collapsed="1"/>
    <col min="16136" max="16136" width="30.140625" style="19" customWidth="1" collapsed="1"/>
    <col min="16137" max="16384" width="9.140625" style="19" collapsed="1"/>
  </cols>
  <sheetData>
    <row r="1" spans="1:15" s="76" customFormat="1">
      <c r="A1" s="72" t="s">
        <v>165</v>
      </c>
      <c r="B1" s="73" t="s">
        <v>166</v>
      </c>
      <c r="C1" s="72" t="s">
        <v>164</v>
      </c>
      <c r="D1" s="72" t="s">
        <v>0</v>
      </c>
      <c r="E1" s="72" t="s">
        <v>157</v>
      </c>
      <c r="F1" s="72" t="s">
        <v>163</v>
      </c>
      <c r="G1" s="74" t="s">
        <v>167</v>
      </c>
      <c r="H1" s="72" t="s">
        <v>158</v>
      </c>
      <c r="I1" s="72" t="s">
        <v>158</v>
      </c>
      <c r="J1" s="75"/>
      <c r="K1" s="264"/>
    </row>
    <row r="3" spans="1:15">
      <c r="A3" s="79">
        <v>1</v>
      </c>
      <c r="B3" s="83" t="s">
        <v>370</v>
      </c>
      <c r="C3" s="77" t="s">
        <v>5</v>
      </c>
      <c r="D3" s="77">
        <v>500</v>
      </c>
      <c r="E3" s="77">
        <v>3</v>
      </c>
      <c r="F3" s="298">
        <f>25*E3</f>
        <v>75</v>
      </c>
      <c r="G3" s="85" t="s">
        <v>169</v>
      </c>
      <c r="H3" s="85"/>
    </row>
    <row r="4" spans="1:15" s="82" customFormat="1">
      <c r="A4" s="79">
        <f>+A3+1</f>
        <v>2</v>
      </c>
      <c r="B4" s="80" t="s">
        <v>371</v>
      </c>
      <c r="C4" s="292" t="s">
        <v>372</v>
      </c>
      <c r="D4" s="292">
        <v>250</v>
      </c>
      <c r="E4" s="293">
        <v>6</v>
      </c>
      <c r="F4" s="152">
        <f>12.5*E4</f>
        <v>75</v>
      </c>
      <c r="G4" s="293" t="s">
        <v>169</v>
      </c>
      <c r="H4" s="293"/>
      <c r="I4" s="81"/>
      <c r="J4" s="81"/>
      <c r="K4" s="266"/>
    </row>
    <row r="5" spans="1:15" s="82" customFormat="1">
      <c r="A5" s="79">
        <f t="shared" ref="A5:A36" si="0">+A4+1</f>
        <v>3</v>
      </c>
      <c r="B5" s="80" t="s">
        <v>373</v>
      </c>
      <c r="C5" s="292" t="s">
        <v>372</v>
      </c>
      <c r="D5" s="292">
        <v>640</v>
      </c>
      <c r="E5" s="292">
        <v>1</v>
      </c>
      <c r="F5" s="79">
        <v>35</v>
      </c>
      <c r="G5" s="292" t="s">
        <v>169</v>
      </c>
      <c r="H5" s="292"/>
      <c r="I5" s="81"/>
      <c r="J5" s="81"/>
      <c r="K5" s="266"/>
    </row>
    <row r="6" spans="1:15" s="82" customFormat="1">
      <c r="A6" s="79">
        <f t="shared" si="0"/>
        <v>4</v>
      </c>
      <c r="B6" s="80" t="s">
        <v>374</v>
      </c>
      <c r="C6" s="292" t="s">
        <v>372</v>
      </c>
      <c r="D6" s="292">
        <v>365</v>
      </c>
      <c r="E6" s="293">
        <v>4</v>
      </c>
      <c r="F6" s="152">
        <f>16*E6</f>
        <v>64</v>
      </c>
      <c r="G6" s="292" t="s">
        <v>169</v>
      </c>
      <c r="H6" s="311"/>
      <c r="I6" s="81"/>
      <c r="J6" s="81"/>
      <c r="K6" s="267"/>
    </row>
    <row r="7" spans="1:15" s="82" customFormat="1">
      <c r="A7" s="79">
        <f t="shared" si="0"/>
        <v>5</v>
      </c>
      <c r="B7" s="80" t="s">
        <v>375</v>
      </c>
      <c r="C7" s="77" t="s">
        <v>5</v>
      </c>
      <c r="D7" s="292">
        <v>750</v>
      </c>
      <c r="E7" s="293">
        <v>1</v>
      </c>
      <c r="F7" s="152">
        <v>45</v>
      </c>
      <c r="G7" s="292" t="s">
        <v>169</v>
      </c>
      <c r="H7" s="311"/>
      <c r="I7" s="81"/>
      <c r="J7" s="81"/>
      <c r="K7" s="266"/>
    </row>
    <row r="8" spans="1:15" s="82" customFormat="1">
      <c r="A8" s="79">
        <f t="shared" si="0"/>
        <v>6</v>
      </c>
      <c r="B8" s="80" t="s">
        <v>375</v>
      </c>
      <c r="C8" s="77" t="s">
        <v>5</v>
      </c>
      <c r="D8" s="292">
        <v>500</v>
      </c>
      <c r="E8" s="293">
        <v>1</v>
      </c>
      <c r="F8" s="298">
        <f>25*E8</f>
        <v>25</v>
      </c>
      <c r="G8" s="292" t="s">
        <v>169</v>
      </c>
      <c r="H8" s="311"/>
      <c r="I8" s="81"/>
      <c r="J8" s="81"/>
      <c r="K8" s="266"/>
    </row>
    <row r="9" spans="1:15" s="82" customFormat="1">
      <c r="A9" s="79">
        <f t="shared" si="0"/>
        <v>7</v>
      </c>
      <c r="B9" s="312" t="s">
        <v>414</v>
      </c>
      <c r="C9" s="313" t="s">
        <v>48</v>
      </c>
      <c r="D9" s="313">
        <v>2000</v>
      </c>
      <c r="E9" s="313">
        <v>3</v>
      </c>
      <c r="F9" s="313">
        <v>4.83</v>
      </c>
      <c r="G9" s="313" t="s">
        <v>169</v>
      </c>
      <c r="H9" s="313" t="s">
        <v>415</v>
      </c>
      <c r="I9" s="81"/>
      <c r="J9" s="81"/>
      <c r="K9" s="266"/>
    </row>
    <row r="10" spans="1:15" s="82" customFormat="1">
      <c r="A10" s="79">
        <f t="shared" si="0"/>
        <v>8</v>
      </c>
      <c r="B10" s="312" t="s">
        <v>416</v>
      </c>
      <c r="C10" s="313"/>
      <c r="D10" s="313">
        <v>500</v>
      </c>
      <c r="E10" s="313">
        <v>1</v>
      </c>
      <c r="F10" s="313">
        <v>0.35</v>
      </c>
      <c r="G10" s="313" t="s">
        <v>169</v>
      </c>
      <c r="H10" s="313"/>
      <c r="I10" s="81"/>
      <c r="J10" s="81"/>
      <c r="K10" s="266"/>
    </row>
    <row r="11" spans="1:15" s="82" customFormat="1" ht="25.5">
      <c r="A11" s="79">
        <f t="shared" si="0"/>
        <v>9</v>
      </c>
      <c r="B11" s="312" t="s">
        <v>417</v>
      </c>
      <c r="C11" s="313" t="s">
        <v>48</v>
      </c>
      <c r="D11" s="313">
        <v>1010</v>
      </c>
      <c r="E11" s="313">
        <v>1</v>
      </c>
      <c r="F11" s="313">
        <v>1.36</v>
      </c>
      <c r="G11" s="313" t="s">
        <v>169</v>
      </c>
      <c r="H11" s="313" t="s">
        <v>418</v>
      </c>
      <c r="I11" s="81"/>
      <c r="J11" s="81"/>
      <c r="K11" s="266"/>
    </row>
    <row r="12" spans="1:15" s="82" customFormat="1">
      <c r="A12" s="79">
        <f t="shared" si="0"/>
        <v>10</v>
      </c>
      <c r="B12" s="312" t="s">
        <v>419</v>
      </c>
      <c r="C12" s="313"/>
      <c r="D12" s="313">
        <v>250</v>
      </c>
      <c r="E12" s="313">
        <v>2</v>
      </c>
      <c r="F12" s="313">
        <v>0.24</v>
      </c>
      <c r="G12" s="313" t="s">
        <v>420</v>
      </c>
      <c r="H12" s="313" t="s">
        <v>418</v>
      </c>
      <c r="I12" s="81"/>
      <c r="J12" s="81"/>
      <c r="K12" s="266"/>
    </row>
    <row r="13" spans="1:15" s="82" customFormat="1">
      <c r="A13" s="79">
        <f t="shared" si="0"/>
        <v>11</v>
      </c>
      <c r="B13" s="312" t="s">
        <v>421</v>
      </c>
      <c r="C13" s="313" t="s">
        <v>48</v>
      </c>
      <c r="D13" s="313">
        <v>1010</v>
      </c>
      <c r="E13" s="313">
        <v>1</v>
      </c>
      <c r="F13" s="313">
        <v>0.48</v>
      </c>
      <c r="G13" s="313" t="s">
        <v>169</v>
      </c>
      <c r="H13" s="313" t="s">
        <v>415</v>
      </c>
      <c r="I13" s="81"/>
      <c r="J13" s="81"/>
      <c r="K13" s="266"/>
    </row>
    <row r="14" spans="1:15" s="82" customFormat="1" ht="38.25">
      <c r="A14" s="79">
        <f t="shared" si="0"/>
        <v>12</v>
      </c>
      <c r="B14" s="312" t="s">
        <v>422</v>
      </c>
      <c r="C14" s="313" t="s">
        <v>48</v>
      </c>
      <c r="D14" s="313">
        <v>1010</v>
      </c>
      <c r="E14" s="313">
        <v>2</v>
      </c>
      <c r="F14" s="313">
        <v>1.6</v>
      </c>
      <c r="G14" s="313" t="s">
        <v>423</v>
      </c>
      <c r="H14" s="313" t="s">
        <v>424</v>
      </c>
      <c r="I14" s="81"/>
      <c r="J14" s="81"/>
      <c r="K14" s="266"/>
      <c r="O14" s="82">
        <v>2000</v>
      </c>
    </row>
    <row r="15" spans="1:15" s="82" customFormat="1" ht="38.25">
      <c r="A15" s="79">
        <f t="shared" si="0"/>
        <v>13</v>
      </c>
      <c r="B15" s="312" t="s">
        <v>425</v>
      </c>
      <c r="C15" s="313" t="s">
        <v>426</v>
      </c>
      <c r="D15" s="313">
        <v>500</v>
      </c>
      <c r="E15" s="313">
        <v>1</v>
      </c>
      <c r="F15" s="313">
        <v>0.22</v>
      </c>
      <c r="G15" s="313" t="s">
        <v>420</v>
      </c>
      <c r="H15" s="313" t="s">
        <v>424</v>
      </c>
      <c r="I15" s="81"/>
      <c r="J15" s="81"/>
      <c r="K15" s="266"/>
    </row>
    <row r="16" spans="1:15" s="82" customFormat="1" ht="38.25">
      <c r="A16" s="79">
        <f t="shared" si="0"/>
        <v>14</v>
      </c>
      <c r="B16" s="312" t="s">
        <v>425</v>
      </c>
      <c r="C16" s="313" t="s">
        <v>426</v>
      </c>
      <c r="D16" s="313">
        <v>250</v>
      </c>
      <c r="E16" s="313">
        <v>1</v>
      </c>
      <c r="F16" s="313">
        <v>0.12</v>
      </c>
      <c r="G16" s="313" t="s">
        <v>420</v>
      </c>
      <c r="H16" s="313" t="s">
        <v>424</v>
      </c>
      <c r="I16" s="81"/>
      <c r="J16" s="81"/>
      <c r="K16" s="266"/>
    </row>
    <row r="17" spans="1:11" s="82" customFormat="1" ht="25.5">
      <c r="A17" s="79">
        <f t="shared" si="0"/>
        <v>15</v>
      </c>
      <c r="B17" s="312" t="s">
        <v>427</v>
      </c>
      <c r="C17" s="313" t="s">
        <v>426</v>
      </c>
      <c r="D17" s="313">
        <v>380</v>
      </c>
      <c r="E17" s="313">
        <v>2</v>
      </c>
      <c r="F17" s="313">
        <f>0.16*E17</f>
        <v>0.32</v>
      </c>
      <c r="G17" s="313" t="s">
        <v>169</v>
      </c>
      <c r="H17" s="313" t="s">
        <v>428</v>
      </c>
      <c r="I17" s="81"/>
      <c r="J17" s="81"/>
      <c r="K17" s="267"/>
    </row>
    <row r="18" spans="1:11" s="82" customFormat="1" ht="25.5">
      <c r="A18" s="79">
        <f t="shared" si="0"/>
        <v>16</v>
      </c>
      <c r="B18" s="312" t="s">
        <v>429</v>
      </c>
      <c r="C18" s="313" t="s">
        <v>48</v>
      </c>
      <c r="D18" s="313">
        <v>1010</v>
      </c>
      <c r="E18" s="313">
        <v>2</v>
      </c>
      <c r="F18" s="313">
        <f>0.5*E18</f>
        <v>1</v>
      </c>
      <c r="G18" s="313" t="s">
        <v>394</v>
      </c>
      <c r="H18" s="313"/>
      <c r="I18" s="81"/>
      <c r="J18" s="81"/>
      <c r="K18" s="266"/>
    </row>
    <row r="19" spans="1:11" s="82" customFormat="1">
      <c r="A19" s="79">
        <f t="shared" si="0"/>
        <v>17</v>
      </c>
      <c r="B19" s="312" t="s">
        <v>430</v>
      </c>
      <c r="C19" s="313" t="s">
        <v>48</v>
      </c>
      <c r="D19" s="313">
        <v>1500</v>
      </c>
      <c r="E19" s="313">
        <v>1</v>
      </c>
      <c r="F19" s="313">
        <v>0.745</v>
      </c>
      <c r="G19" s="313" t="s">
        <v>169</v>
      </c>
      <c r="H19" s="313"/>
      <c r="I19" s="81"/>
      <c r="J19" s="81"/>
      <c r="K19" s="266"/>
    </row>
    <row r="20" spans="1:11" s="82" customFormat="1">
      <c r="A20" s="79">
        <f t="shared" si="0"/>
        <v>18</v>
      </c>
      <c r="B20" s="312" t="s">
        <v>430</v>
      </c>
      <c r="C20" s="313" t="s">
        <v>48</v>
      </c>
      <c r="D20" s="313">
        <v>1010</v>
      </c>
      <c r="E20" s="313">
        <v>1</v>
      </c>
      <c r="F20" s="313">
        <v>0.56999999999999995</v>
      </c>
      <c r="G20" s="313" t="s">
        <v>169</v>
      </c>
      <c r="H20" s="152"/>
      <c r="I20" s="81"/>
      <c r="J20" s="81"/>
      <c r="K20" s="266"/>
    </row>
    <row r="21" spans="1:11" s="255" customFormat="1" ht="16.5">
      <c r="A21" s="79">
        <f t="shared" si="0"/>
        <v>19</v>
      </c>
      <c r="B21" s="312" t="s">
        <v>430</v>
      </c>
      <c r="C21" s="313" t="s">
        <v>48</v>
      </c>
      <c r="D21" s="152">
        <v>750</v>
      </c>
      <c r="E21" s="152">
        <v>2</v>
      </c>
      <c r="F21" s="152">
        <v>0.38500000000000001</v>
      </c>
      <c r="G21" s="152" t="s">
        <v>431</v>
      </c>
      <c r="H21" s="152"/>
      <c r="I21" s="254"/>
      <c r="J21" s="254"/>
      <c r="K21" s="268"/>
    </row>
    <row r="22" spans="1:11" s="255" customFormat="1" ht="16.5">
      <c r="A22" s="79">
        <f t="shared" si="0"/>
        <v>20</v>
      </c>
      <c r="B22" s="127" t="s">
        <v>432</v>
      </c>
      <c r="C22" s="313" t="s">
        <v>48</v>
      </c>
      <c r="D22" s="152">
        <v>750</v>
      </c>
      <c r="E22" s="152">
        <v>1</v>
      </c>
      <c r="F22" s="152">
        <v>0.45</v>
      </c>
      <c r="G22" s="152" t="s">
        <v>169</v>
      </c>
      <c r="H22" s="152"/>
      <c r="I22" s="254"/>
      <c r="J22" s="254"/>
      <c r="K22" s="268"/>
    </row>
    <row r="23" spans="1:11">
      <c r="A23" s="79">
        <f t="shared" si="0"/>
        <v>21</v>
      </c>
      <c r="B23" s="127" t="s">
        <v>433</v>
      </c>
      <c r="C23" s="313" t="s">
        <v>48</v>
      </c>
      <c r="D23" s="152">
        <v>750</v>
      </c>
      <c r="E23" s="152">
        <v>2</v>
      </c>
      <c r="F23" s="152">
        <f>0.42*E23</f>
        <v>0.84</v>
      </c>
      <c r="G23" s="152" t="s">
        <v>169</v>
      </c>
      <c r="H23" s="152"/>
    </row>
    <row r="24" spans="1:11">
      <c r="A24" s="79">
        <f t="shared" si="0"/>
        <v>22</v>
      </c>
      <c r="B24" s="127" t="s">
        <v>434</v>
      </c>
      <c r="C24" s="313" t="s">
        <v>48</v>
      </c>
      <c r="D24" s="152">
        <v>1250</v>
      </c>
      <c r="E24" s="152">
        <v>1</v>
      </c>
      <c r="F24" s="152"/>
      <c r="G24" s="152" t="s">
        <v>169</v>
      </c>
      <c r="H24" s="152"/>
    </row>
    <row r="25" spans="1:11">
      <c r="A25" s="79">
        <f t="shared" si="0"/>
        <v>23</v>
      </c>
      <c r="B25" s="127" t="s">
        <v>435</v>
      </c>
      <c r="C25" s="152"/>
      <c r="D25" s="152">
        <v>810</v>
      </c>
      <c r="E25" s="152">
        <v>1</v>
      </c>
      <c r="F25" s="152"/>
      <c r="G25" s="152" t="s">
        <v>169</v>
      </c>
      <c r="H25" s="152"/>
    </row>
    <row r="26" spans="1:11">
      <c r="A26" s="79">
        <f t="shared" si="0"/>
        <v>24</v>
      </c>
      <c r="B26" s="314" t="s">
        <v>436</v>
      </c>
      <c r="C26" s="315"/>
      <c r="D26" s="315">
        <v>810</v>
      </c>
      <c r="E26" s="315">
        <v>1</v>
      </c>
      <c r="F26" s="315"/>
      <c r="G26" s="152" t="s">
        <v>169</v>
      </c>
      <c r="H26" s="315"/>
    </row>
    <row r="27" spans="1:11">
      <c r="A27" s="79">
        <f t="shared" si="0"/>
        <v>25</v>
      </c>
      <c r="B27" s="314" t="s">
        <v>437</v>
      </c>
      <c r="C27" s="315" t="s">
        <v>48</v>
      </c>
      <c r="D27" s="315">
        <v>2000</v>
      </c>
      <c r="E27" s="315">
        <v>2</v>
      </c>
      <c r="F27" s="315">
        <v>2.8</v>
      </c>
      <c r="G27" s="152" t="s">
        <v>169</v>
      </c>
      <c r="H27" s="315" t="s">
        <v>438</v>
      </c>
    </row>
    <row r="28" spans="1:11">
      <c r="A28" s="79">
        <f t="shared" si="0"/>
        <v>26</v>
      </c>
      <c r="B28" s="314" t="s">
        <v>439</v>
      </c>
      <c r="C28" s="315" t="s">
        <v>48</v>
      </c>
      <c r="D28" s="315">
        <v>1250</v>
      </c>
      <c r="E28" s="315">
        <v>1</v>
      </c>
      <c r="F28" s="315">
        <v>0.8</v>
      </c>
      <c r="G28" s="152" t="s">
        <v>169</v>
      </c>
      <c r="H28" s="315" t="s">
        <v>438</v>
      </c>
    </row>
    <row r="29" spans="1:11">
      <c r="A29" s="79">
        <f t="shared" si="0"/>
        <v>27</v>
      </c>
      <c r="B29" s="314" t="s">
        <v>440</v>
      </c>
      <c r="C29" s="315"/>
      <c r="D29" s="315">
        <v>1500</v>
      </c>
      <c r="E29" s="315">
        <v>4</v>
      </c>
      <c r="F29" s="315">
        <f>0.8*4</f>
        <v>3.2</v>
      </c>
      <c r="G29" s="152" t="s">
        <v>169</v>
      </c>
      <c r="H29" s="315" t="s">
        <v>441</v>
      </c>
    </row>
    <row r="30" spans="1:11">
      <c r="A30" s="79">
        <f t="shared" si="0"/>
        <v>28</v>
      </c>
      <c r="B30" s="314" t="s">
        <v>442</v>
      </c>
      <c r="C30" s="315" t="s">
        <v>48</v>
      </c>
      <c r="D30" s="315">
        <v>2000</v>
      </c>
      <c r="E30" s="315">
        <v>2</v>
      </c>
      <c r="F30" s="315"/>
      <c r="G30" s="152" t="s">
        <v>169</v>
      </c>
      <c r="H30" s="315" t="s">
        <v>443</v>
      </c>
    </row>
    <row r="31" spans="1:11" ht="25.5">
      <c r="A31" s="79">
        <f t="shared" si="0"/>
        <v>29</v>
      </c>
      <c r="B31" s="314" t="s">
        <v>444</v>
      </c>
      <c r="C31" s="315" t="s">
        <v>48</v>
      </c>
      <c r="D31" s="315">
        <v>2250</v>
      </c>
      <c r="E31" s="315">
        <v>13</v>
      </c>
      <c r="F31" s="315">
        <v>25</v>
      </c>
      <c r="G31" s="152" t="s">
        <v>169</v>
      </c>
      <c r="H31" s="315" t="s">
        <v>443</v>
      </c>
    </row>
    <row r="32" spans="1:11" ht="25.5">
      <c r="A32" s="79">
        <f t="shared" si="0"/>
        <v>30</v>
      </c>
      <c r="B32" s="314" t="s">
        <v>445</v>
      </c>
      <c r="C32" s="315" t="s">
        <v>426</v>
      </c>
      <c r="D32" s="315">
        <v>250</v>
      </c>
      <c r="E32" s="315">
        <v>3</v>
      </c>
      <c r="F32" s="315">
        <v>0.36</v>
      </c>
      <c r="G32" s="152" t="s">
        <v>420</v>
      </c>
      <c r="H32" s="315" t="s">
        <v>443</v>
      </c>
    </row>
    <row r="33" spans="1:8" ht="25.5">
      <c r="A33" s="79">
        <f t="shared" si="0"/>
        <v>31</v>
      </c>
      <c r="B33" s="314" t="s">
        <v>446</v>
      </c>
      <c r="C33" s="313" t="s">
        <v>48</v>
      </c>
      <c r="D33" s="152">
        <v>750</v>
      </c>
      <c r="E33" s="152">
        <v>1</v>
      </c>
      <c r="F33" s="315">
        <v>0.41499999999999998</v>
      </c>
      <c r="G33" s="152" t="s">
        <v>169</v>
      </c>
      <c r="H33" s="315" t="s">
        <v>447</v>
      </c>
    </row>
    <row r="34" spans="1:8">
      <c r="A34" s="79">
        <f t="shared" si="0"/>
        <v>32</v>
      </c>
      <c r="B34" s="127" t="s">
        <v>448</v>
      </c>
      <c r="C34" s="313"/>
      <c r="D34" s="152">
        <v>200</v>
      </c>
      <c r="E34" s="152">
        <v>8</v>
      </c>
      <c r="F34" s="152"/>
      <c r="G34" s="152" t="s">
        <v>449</v>
      </c>
      <c r="H34" s="315"/>
    </row>
    <row r="35" spans="1:8">
      <c r="A35" s="79">
        <f t="shared" si="0"/>
        <v>33</v>
      </c>
      <c r="B35" s="127" t="s">
        <v>448</v>
      </c>
      <c r="C35" s="313"/>
      <c r="D35" s="152">
        <v>125</v>
      </c>
      <c r="E35" s="152">
        <v>5</v>
      </c>
      <c r="F35" s="152"/>
      <c r="G35" s="152" t="s">
        <v>449</v>
      </c>
      <c r="H35" s="315"/>
    </row>
    <row r="36" spans="1:8">
      <c r="A36" s="79">
        <f t="shared" si="0"/>
        <v>34</v>
      </c>
      <c r="B36" s="127" t="s">
        <v>448</v>
      </c>
      <c r="C36" s="313"/>
      <c r="D36" s="152">
        <v>100</v>
      </c>
      <c r="E36" s="152">
        <v>1</v>
      </c>
      <c r="F36" s="152"/>
      <c r="G36" s="152" t="s">
        <v>449</v>
      </c>
      <c r="H36" s="152"/>
    </row>
    <row r="37" spans="1:8">
      <c r="A37" s="70"/>
      <c r="B37" s="316"/>
      <c r="C37" s="316"/>
      <c r="D37" s="316"/>
      <c r="E37" s="316"/>
      <c r="F37" s="316"/>
      <c r="G37" s="316"/>
      <c r="H37" s="316"/>
    </row>
    <row r="38" spans="1:8">
      <c r="A38" s="70"/>
      <c r="B38" s="70"/>
      <c r="C38" s="85"/>
      <c r="D38" s="85"/>
      <c r="E38" s="85"/>
      <c r="F38" s="85"/>
      <c r="G38" s="85"/>
      <c r="H38" s="152"/>
    </row>
    <row r="39" spans="1:8">
      <c r="A39" s="70"/>
      <c r="B39" s="70"/>
      <c r="C39" s="85"/>
      <c r="D39" s="85"/>
      <c r="E39" s="85"/>
      <c r="F39" s="85"/>
      <c r="G39" s="85"/>
      <c r="H39" s="152"/>
    </row>
    <row r="40" spans="1:8">
      <c r="A40" s="70"/>
      <c r="B40" s="70"/>
      <c r="C40" s="85"/>
      <c r="D40" s="85" t="s">
        <v>41</v>
      </c>
      <c r="E40" s="85">
        <f>+SUM(E3:E39)</f>
        <v>82</v>
      </c>
      <c r="F40" s="85">
        <f>+SUM(F3:F39)</f>
        <v>365.08500000000009</v>
      </c>
      <c r="G40" s="85"/>
      <c r="H40" s="152"/>
    </row>
  </sheetData>
  <autoFilter ref="A2:WVP23"/>
  <dataValidations count="1">
    <dataValidation type="list" showInputMessage="1" showErrorMessage="1" errorTitle="Invalid Entry" error="Please choose from the Drop Box" sqref="C3 C7:C8">
      <formula1>"MTU,PERKINS,VOLVO,MAXFORCE"</formula1>
    </dataValidation>
  </dataValidations>
  <pageMargins left="0.7" right="0.7" top="0.75" bottom="0.75" header="0.3" footer="0.3"/>
  <pageSetup scale="73" orientation="portrait" r:id="rId1"/>
  <colBreaks count="1" manualBreakCount="1">
    <brk id="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J8"/>
  <sheetViews>
    <sheetView zoomScale="145" zoomScaleNormal="145" workbookViewId="0">
      <selection activeCell="C3" sqref="C3:J8"/>
    </sheetView>
  </sheetViews>
  <sheetFormatPr defaultColWidth="8.140625" defaultRowHeight="12.75"/>
  <cols>
    <col min="1" max="1" width="6.28515625" style="66" bestFit="1" customWidth="1" collapsed="1"/>
    <col min="2" max="2" width="6.42578125" style="66" bestFit="1" customWidth="1" collapsed="1"/>
    <col min="3" max="3" width="7" style="66" bestFit="1" customWidth="1" collapsed="1"/>
    <col min="4" max="4" width="8.5703125" style="66" bestFit="1" customWidth="1" collapsed="1"/>
    <col min="5" max="5" width="5.42578125" style="66" bestFit="1" customWidth="1" collapsed="1"/>
    <col min="6" max="6" width="8.42578125" style="66" bestFit="1" customWidth="1" collapsed="1"/>
    <col min="7" max="7" width="4.42578125" style="66" bestFit="1" customWidth="1" collapsed="1"/>
    <col min="8" max="8" width="4.85546875" style="66" bestFit="1" customWidth="1" collapsed="1"/>
    <col min="9" max="9" width="10.85546875" style="66" bestFit="1" customWidth="1" collapsed="1"/>
    <col min="10" max="10" width="7.28515625" style="66" bestFit="1" customWidth="1" collapsed="1"/>
    <col min="11" max="16384" width="8.140625" style="66" collapsed="1"/>
  </cols>
  <sheetData>
    <row r="1" spans="1:10">
      <c r="A1" s="327"/>
      <c r="B1" s="325" t="s">
        <v>30</v>
      </c>
      <c r="C1" s="325" t="s">
        <v>228</v>
      </c>
      <c r="D1" s="325" t="s">
        <v>227</v>
      </c>
      <c r="E1" s="325" t="s">
        <v>224</v>
      </c>
      <c r="F1" s="325" t="s">
        <v>32</v>
      </c>
      <c r="G1" s="325" t="s">
        <v>223</v>
      </c>
      <c r="H1" s="325" t="s">
        <v>225</v>
      </c>
      <c r="I1" s="325" t="s">
        <v>33</v>
      </c>
      <c r="J1" s="325" t="s">
        <v>226</v>
      </c>
    </row>
    <row r="2" spans="1:10" ht="13.5" thickBot="1">
      <c r="A2" s="328"/>
      <c r="B2" s="326"/>
      <c r="C2" s="326"/>
      <c r="D2" s="326"/>
      <c r="E2" s="326"/>
      <c r="F2" s="326"/>
      <c r="G2" s="326"/>
      <c r="H2" s="326"/>
      <c r="I2" s="326"/>
      <c r="J2" s="326"/>
    </row>
    <row r="3" spans="1:10" ht="15" thickBot="1">
      <c r="A3" s="177" t="s">
        <v>23</v>
      </c>
      <c r="B3" s="178" t="s">
        <v>34</v>
      </c>
      <c r="C3" s="272">
        <f>SUMIFS('QUOTED PROJECTS-Current Year'!L2:L2526,'QUOTED PROJECTS-Current Year'!H2:H2526,"PERKINS",'QUOTED PROJECTS-Current Year'!J2:J2526,"P")</f>
        <v>90</v>
      </c>
      <c r="D3" s="272">
        <f>SUMIFS('QUOTED PROJECTS-Current Year'!L2:L2526,'QUOTED PROJECTS-Current Year'!H2:H2526,"PERKINS",'QUOTED PROJECTS-Current Year'!J2:J2526,"P",'QUOTED PROJECTS-Current Year'!Q2:Q2526,"WON")</f>
        <v>7</v>
      </c>
      <c r="E3" s="272">
        <f t="shared" ref="E3:E8" si="0">IFERROR(D3/C3*100,0)</f>
        <v>7.7777777777777777</v>
      </c>
      <c r="F3" s="272">
        <f>SUMIFS('QUOTED PROJECTS-Current Year'!L2:L2526,'QUOTED PROJECTS-Current Year'!H2:H2526,"PERKINS",'QUOTED PROJECTS-Current Year'!J2:J2526,"P",'QUOTED PROJECTS-Current Year'!Q2:Q2526,"LOST")</f>
        <v>16</v>
      </c>
      <c r="G3" s="272">
        <f t="shared" ref="G3:G8" si="1">IFERROR(F3/C3*100,0)</f>
        <v>17.777777777777779</v>
      </c>
      <c r="H3" s="272">
        <f t="shared" ref="H3:H8" si="2">IFERROR(D3/(D3+F3)*100,)</f>
        <v>30.434782608695656</v>
      </c>
      <c r="I3" s="272">
        <f>SUMIFS('QUOTED PROJECTS-Current Year'!L2:L2526,'QUOTED PROJECTS-Current Year'!H2:H2526,"PERKINS",'QUOTED PROJECTS-Current Year'!J2:J2526,"P",'QUOTED PROJECTS-Current Year'!Q2:Q2526,"PENDING")</f>
        <v>67</v>
      </c>
      <c r="J3" s="272">
        <f t="shared" ref="J3:J8" si="3">IFERROR(I3/C3*100,)</f>
        <v>74.444444444444443</v>
      </c>
    </row>
    <row r="4" spans="1:10" ht="15" thickBot="1">
      <c r="A4" s="177" t="s">
        <v>35</v>
      </c>
      <c r="B4" s="178" t="s">
        <v>36</v>
      </c>
      <c r="C4" s="272">
        <f>SUMIFS('QUOTED PROJECTS-Current Year'!O2:O2526,'QUOTED PROJECTS-Current Year'!H2:H2526,"PERKINS",'QUOTED PROJECTS-Current Year'!J2:J2526,"P")</f>
        <v>12356.784626018958</v>
      </c>
      <c r="D4" s="272">
        <f>SUMIFS('QUOTED PROJECTS-Current Year'!O2:O2526,'QUOTED PROJECTS-Current Year'!H2:H2526,"PERKINS",'QUOTED PROJECTS-Current Year'!J2:J2526,"P",'QUOTED PROJECTS-Current Year'!Q2:Q2526,"WON")</f>
        <v>520.87536601895727</v>
      </c>
      <c r="E4" s="272">
        <f t="shared" si="0"/>
        <v>4.2152985730784724</v>
      </c>
      <c r="F4" s="272">
        <f>SUMIFS('QUOTED PROJECTS-Current Year'!O2:O2526,'QUOTED PROJECTS-Current Year'!H2:H2526,"PERKINS",'QUOTED PROJECTS-Current Year'!J2:J2526,"P",'QUOTED PROJECTS-Current Year'!Q2:Q2526,"LOST")</f>
        <v>2339.98</v>
      </c>
      <c r="G4" s="272">
        <f t="shared" si="1"/>
        <v>18.93680330943732</v>
      </c>
      <c r="H4" s="272">
        <f t="shared" si="2"/>
        <v>18.206980059386396</v>
      </c>
      <c r="I4" s="272">
        <f>SUMIFS('QUOTED PROJECTS-Current Year'!O2:O2526,'QUOTED PROJECTS-Current Year'!H2:H2526,"PERKINS",'QUOTED PROJECTS-Current Year'!J2:J2526,"P",'QUOTED PROJECTS-Current Year'!Q2:Q2526,"PENDING")</f>
        <v>9495.9292600000008</v>
      </c>
      <c r="J4" s="272">
        <f t="shared" si="3"/>
        <v>76.847898117484206</v>
      </c>
    </row>
    <row r="5" spans="1:10" ht="15" thickBot="1">
      <c r="A5" s="177" t="s">
        <v>24</v>
      </c>
      <c r="B5" s="178" t="s">
        <v>34</v>
      </c>
      <c r="C5" s="272">
        <f>SUMIFS('QUOTED PROJECTS-Current Year'!L2:L2526,'QUOTED PROJECTS-Current Year'!H2:H2526,"MTU",'QUOTED PROJECTS-Current Year'!J2:J2526,"P")</f>
        <v>8</v>
      </c>
      <c r="D5" s="272">
        <f>SUMIFS('QUOTED PROJECTS-Current Year'!L2:L2526,'QUOTED PROJECTS-Current Year'!H2:H2526,"MTU",'QUOTED PROJECTS-Current Year'!J2:J2526,"P",'QUOTED PROJECTS-Current Year'!Q2:Q2526,"WON")</f>
        <v>0</v>
      </c>
      <c r="E5" s="272">
        <f t="shared" si="0"/>
        <v>0</v>
      </c>
      <c r="F5" s="272">
        <f>SUMIFS('QUOTED PROJECTS-Current Year'!L2:L2526,'QUOTED PROJECTS-Current Year'!H2:H2526,"MTU",'QUOTED PROJECTS-Current Year'!J2:J2526,"P",'QUOTED PROJECTS-Current Year'!Q2:Q2526,"LOST")</f>
        <v>0</v>
      </c>
      <c r="G5" s="272">
        <f t="shared" si="1"/>
        <v>0</v>
      </c>
      <c r="H5" s="272">
        <f t="shared" si="2"/>
        <v>0</v>
      </c>
      <c r="I5" s="272">
        <f>SUMIFS('QUOTED PROJECTS-Current Year'!L2:L2526,'QUOTED PROJECTS-Current Year'!H2:H2526,"MTU",'QUOTED PROJECTS-Current Year'!J2:J2526,"P",'QUOTED PROJECTS-Current Year'!Q2:Q2526,"PENDING")</f>
        <v>8</v>
      </c>
      <c r="J5" s="272">
        <f t="shared" si="3"/>
        <v>100</v>
      </c>
    </row>
    <row r="6" spans="1:10" ht="15" thickBot="1">
      <c r="A6" s="177" t="s">
        <v>35</v>
      </c>
      <c r="B6" s="178" t="s">
        <v>36</v>
      </c>
      <c r="C6" s="272">
        <f>SUMIFS('QUOTED PROJECTS-Current Year'!O2:O2526,'QUOTED PROJECTS-Current Year'!H2:H2526,"MTU",'QUOTED PROJECTS-Current Year'!J2:J2526,"P")</f>
        <v>5553.27</v>
      </c>
      <c r="D6" s="272">
        <f>SUMIFS('QUOTED PROJECTS-Current Year'!O2:O2526,'QUOTED PROJECTS-Current Year'!H2:H2526,"MTU",'QUOTED PROJECTS-Current Year'!J2:J2526,"P",'QUOTED PROJECTS-Current Year'!Q2:Q2526,"WON")</f>
        <v>0</v>
      </c>
      <c r="E6" s="272">
        <f t="shared" si="0"/>
        <v>0</v>
      </c>
      <c r="F6" s="272">
        <f>SUMIFS('QUOTED PROJECTS-Current Year'!O2:O2526,'QUOTED PROJECTS-Current Year'!H2:H2526,"MTU",'QUOTED PROJECTS-Current Year'!J2:J2526,"P",'QUOTED PROJECTS-Current Year'!Q2:Q2526,"LOST")</f>
        <v>0</v>
      </c>
      <c r="G6" s="272">
        <f t="shared" si="1"/>
        <v>0</v>
      </c>
      <c r="H6" s="272">
        <f t="shared" si="2"/>
        <v>0</v>
      </c>
      <c r="I6" s="272">
        <f>SUMIFS('QUOTED PROJECTS-Current Year'!O2:O2526,'QUOTED PROJECTS-Current Year'!H2:H2526,"MTU",'QUOTED PROJECTS-Current Year'!J2:J2526,"P",'QUOTED PROJECTS-Current Year'!Q2:Q2526,"PENDING")</f>
        <v>5553.27</v>
      </c>
      <c r="J6" s="272">
        <f t="shared" si="3"/>
        <v>100</v>
      </c>
    </row>
    <row r="7" spans="1:10" ht="15" thickBot="1">
      <c r="A7" s="177" t="s">
        <v>25</v>
      </c>
      <c r="B7" s="178" t="s">
        <v>37</v>
      </c>
      <c r="C7" s="272">
        <f>C3+C5</f>
        <v>98</v>
      </c>
      <c r="D7" s="272">
        <f>D3+D5</f>
        <v>7</v>
      </c>
      <c r="E7" s="272">
        <f t="shared" si="0"/>
        <v>7.1428571428571423</v>
      </c>
      <c r="F7" s="272">
        <f>F3+F5</f>
        <v>16</v>
      </c>
      <c r="G7" s="272">
        <f t="shared" si="1"/>
        <v>16.326530612244898</v>
      </c>
      <c r="H7" s="272">
        <f t="shared" si="2"/>
        <v>30.434782608695656</v>
      </c>
      <c r="I7" s="272">
        <f>I3+I5</f>
        <v>75</v>
      </c>
      <c r="J7" s="272">
        <f t="shared" si="3"/>
        <v>76.530612244897952</v>
      </c>
    </row>
    <row r="8" spans="1:10" ht="15" thickBot="1">
      <c r="A8" s="177"/>
      <c r="B8" s="178" t="s">
        <v>39</v>
      </c>
      <c r="C8" s="272">
        <f>C4+C6</f>
        <v>17910.054626018959</v>
      </c>
      <c r="D8" s="272">
        <f>D4+D6</f>
        <v>520.87536601895727</v>
      </c>
      <c r="E8" s="272">
        <f t="shared" si="0"/>
        <v>2.9082846305909746</v>
      </c>
      <c r="F8" s="272">
        <f>F4+F6</f>
        <v>2339.98</v>
      </c>
      <c r="G8" s="272">
        <f t="shared" si="1"/>
        <v>13.065175114544752</v>
      </c>
      <c r="H8" s="272">
        <f t="shared" si="2"/>
        <v>18.206980059386396</v>
      </c>
      <c r="I8" s="272">
        <f>I4+I6</f>
        <v>15049.199260000001</v>
      </c>
      <c r="J8" s="272">
        <f t="shared" si="3"/>
        <v>84.026540254864273</v>
      </c>
    </row>
  </sheetData>
  <mergeCells count="10">
    <mergeCell ref="J1:J2"/>
    <mergeCell ref="I1:I2"/>
    <mergeCell ref="A1:A2"/>
    <mergeCell ref="B1:B2"/>
    <mergeCell ref="C1:C2"/>
    <mergeCell ref="D1:D2"/>
    <mergeCell ref="F1:F2"/>
    <mergeCell ref="H1:H2"/>
    <mergeCell ref="E1:E2"/>
    <mergeCell ref="G1:G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9"/>
  <dimension ref="A1:J8"/>
  <sheetViews>
    <sheetView topLeftCell="B1" zoomScale="145" zoomScaleNormal="145" workbookViewId="0">
      <selection activeCell="D15" sqref="D15"/>
    </sheetView>
  </sheetViews>
  <sheetFormatPr defaultColWidth="8.140625" defaultRowHeight="12.75"/>
  <cols>
    <col min="1" max="1" width="6.28515625" style="66" bestFit="1" customWidth="1" collapsed="1"/>
    <col min="2" max="2" width="6.42578125" style="66" bestFit="1" customWidth="1" collapsed="1"/>
    <col min="3" max="3" width="7" style="66" bestFit="1" customWidth="1" collapsed="1"/>
    <col min="4" max="4" width="8.5703125" style="66" bestFit="1" customWidth="1" collapsed="1"/>
    <col min="5" max="5" width="5.42578125" style="66" bestFit="1" customWidth="1" collapsed="1"/>
    <col min="6" max="6" width="8.42578125" style="66" bestFit="1" customWidth="1" collapsed="1"/>
    <col min="7" max="7" width="5.140625" style="66" bestFit="1" customWidth="1" collapsed="1"/>
    <col min="8" max="8" width="4.85546875" style="66" bestFit="1" customWidth="1" collapsed="1"/>
    <col min="9" max="9" width="10.85546875" style="66" bestFit="1" customWidth="1" collapsed="1"/>
    <col min="10" max="10" width="7.28515625" style="66" bestFit="1" customWidth="1" collapsed="1"/>
    <col min="11" max="16384" width="8.140625" style="66" collapsed="1"/>
  </cols>
  <sheetData>
    <row r="1" spans="1:10">
      <c r="A1" s="327"/>
      <c r="B1" s="325" t="s">
        <v>30</v>
      </c>
      <c r="C1" s="325" t="s">
        <v>228</v>
      </c>
      <c r="D1" s="325" t="s">
        <v>227</v>
      </c>
      <c r="E1" s="325" t="s">
        <v>224</v>
      </c>
      <c r="F1" s="325" t="s">
        <v>32</v>
      </c>
      <c r="G1" s="325" t="s">
        <v>223</v>
      </c>
      <c r="H1" s="325" t="s">
        <v>225</v>
      </c>
      <c r="I1" s="325" t="s">
        <v>33</v>
      </c>
      <c r="J1" s="325" t="s">
        <v>226</v>
      </c>
    </row>
    <row r="2" spans="1:10" ht="13.5" thickBot="1">
      <c r="A2" s="328"/>
      <c r="B2" s="326"/>
      <c r="C2" s="326"/>
      <c r="D2" s="326"/>
      <c r="E2" s="326"/>
      <c r="F2" s="326"/>
      <c r="G2" s="326"/>
      <c r="H2" s="326"/>
      <c r="I2" s="326"/>
      <c r="J2" s="326"/>
    </row>
    <row r="3" spans="1:10" ht="15" thickBot="1">
      <c r="A3" s="177" t="s">
        <v>23</v>
      </c>
      <c r="B3" s="178" t="s">
        <v>34</v>
      </c>
      <c r="C3" s="179">
        <f>SUMIFS('QUOTED PROJECTS-Earlier Yr'!L2:L2598,'QUOTED PROJECTS-Earlier Yr'!H2:H2598,"PERKINS",'QUOTED PROJECTS-Earlier Yr'!J2:J2598,"P")</f>
        <v>72</v>
      </c>
      <c r="D3" s="179">
        <f>SUMIFS('QUOTED PROJECTS-Earlier Yr'!L2:L2598,'QUOTED PROJECTS-Earlier Yr'!H2:H2598,"PERKINS",'QUOTED PROJECTS-Earlier Yr'!J2:J2598,"P",'QUOTED PROJECTS-Earlier Yr'!Q2:Q2598,"WON")</f>
        <v>10</v>
      </c>
      <c r="E3" s="124">
        <f t="shared" ref="E3:E8" si="0">IFERROR(D3/C3*100,0)</f>
        <v>13.888888888888889</v>
      </c>
      <c r="F3" s="179">
        <f>SUMIFS('QUOTED PROJECTS-Earlier Yr'!L2:L2598,'QUOTED PROJECTS-Earlier Yr'!H2:H2598,"PERKINS",'QUOTED PROJECTS-Earlier Yr'!J2:J2598,"P",'QUOTED PROJECTS-Earlier Yr'!Q2:Q2598,"LOST")</f>
        <v>24</v>
      </c>
      <c r="G3" s="124">
        <f t="shared" ref="G3:G8" si="1">IFERROR(F3/C3*100,0)</f>
        <v>33.333333333333329</v>
      </c>
      <c r="H3" s="124">
        <f t="shared" ref="H3:H8" si="2">IFERROR(D3/(D3+F3)*100,)</f>
        <v>29.411764705882355</v>
      </c>
      <c r="I3" s="179">
        <f>SUMIFS('QUOTED PROJECTS-Earlier Yr'!L2:L2598,'QUOTED PROJECTS-Earlier Yr'!H2:H2598,"PERKINS",'QUOTED PROJECTS-Earlier Yr'!J2:J2598,"P",'QUOTED PROJECTS-Earlier Yr'!Q2:Q2598,"PENDING")</f>
        <v>38</v>
      </c>
      <c r="J3" s="124">
        <f t="shared" ref="J3:J8" si="3">IFERROR(I3/C3*100,)</f>
        <v>52.777777777777779</v>
      </c>
    </row>
    <row r="4" spans="1:10" ht="15" thickBot="1">
      <c r="A4" s="177" t="s">
        <v>35</v>
      </c>
      <c r="B4" s="178" t="s">
        <v>36</v>
      </c>
      <c r="C4" s="179">
        <f>SUMIFS('QUOTED PROJECTS-Earlier Yr'!O2:O2598,'QUOTED PROJECTS-Earlier Yr'!H2:H2598,"PERKINS",'QUOTED PROJECTS-Earlier Yr'!J2:J2598,"P")</f>
        <v>10392.75729</v>
      </c>
      <c r="D4" s="179">
        <f>SUMIFS('QUOTED PROJECTS-Earlier Yr'!O2:O2598,'QUOTED PROJECTS-Earlier Yr'!H2:H2598,"PERKINS",'QUOTED PROJECTS-Earlier Yr'!J2:J2598,"P",'QUOTED PROJECTS-Earlier Yr'!Q2:Q2598,"WON")</f>
        <v>1690.89029</v>
      </c>
      <c r="E4" s="124">
        <f t="shared" si="0"/>
        <v>16.269891067570576</v>
      </c>
      <c r="F4" s="179">
        <f>SUMIFS('QUOTED PROJECTS-Earlier Yr'!O2:O2598,'QUOTED PROJECTS-Earlier Yr'!H2:H2598,"PERKINS",'QUOTED PROJECTS-Earlier Yr'!J2:J2598,"P",'QUOTED PROJECTS-Earlier Yr'!Q2:Q2598,"LOST")</f>
        <v>4662.37</v>
      </c>
      <c r="G4" s="124">
        <f t="shared" si="1"/>
        <v>44.861723120255796</v>
      </c>
      <c r="H4" s="124">
        <f t="shared" si="2"/>
        <v>26.614528805965225</v>
      </c>
      <c r="I4" s="179">
        <f>SUMIFS('QUOTED PROJECTS-Earlier Yr'!O2:O2598,'QUOTED PROJECTS-Earlier Yr'!H2:H2598,"PERKINS",'QUOTED PROJECTS-Earlier Yr'!J2:J2598,"P",'QUOTED PROJECTS-Earlier Yr'!Q2:Q2598,"PENDING")</f>
        <v>4039.4970000000003</v>
      </c>
      <c r="J4" s="124">
        <f t="shared" si="3"/>
        <v>38.868385812173628</v>
      </c>
    </row>
    <row r="5" spans="1:10" ht="15" thickBot="1">
      <c r="A5" s="177" t="s">
        <v>24</v>
      </c>
      <c r="B5" s="178" t="s">
        <v>34</v>
      </c>
      <c r="C5" s="179">
        <f>SUMIFS('QUOTED PROJECTS-Earlier Yr'!L2:L2598,'QUOTED PROJECTS-Earlier Yr'!H2:H2598,"MTU",'QUOTED PROJECTS-Earlier Yr'!J2:J2598,"P")</f>
        <v>6</v>
      </c>
      <c r="D5" s="179">
        <f>SUMIFS('QUOTED PROJECTS-Earlier Yr'!L2:L2598,'QUOTED PROJECTS-Earlier Yr'!H2:H2598,"MTU",'QUOTED PROJECTS-Earlier Yr'!J2:J2598,"P",'QUOTED PROJECTS-Earlier Yr'!Q2:Q2598,"WON")</f>
        <v>0</v>
      </c>
      <c r="E5" s="124">
        <f t="shared" si="0"/>
        <v>0</v>
      </c>
      <c r="F5" s="179">
        <f>SUMIFS('QUOTED PROJECTS-Earlier Yr'!L2:L2598,'QUOTED PROJECTS-Earlier Yr'!H2:H2598,"MTU",'QUOTED PROJECTS-Earlier Yr'!J2:J2598,"P",'QUOTED PROJECTS-Earlier Yr'!Q2:Q2598,"LOST")</f>
        <v>2</v>
      </c>
      <c r="G5" s="124">
        <f t="shared" si="1"/>
        <v>33.333333333333329</v>
      </c>
      <c r="H5" s="124">
        <f t="shared" si="2"/>
        <v>0</v>
      </c>
      <c r="I5" s="179">
        <f>SUMIFS('QUOTED PROJECTS-Earlier Yr'!L2:L2598,'QUOTED PROJECTS-Earlier Yr'!H2:H2598,"MTU",'QUOTED PROJECTS-Earlier Yr'!J2:J2598,"P",'QUOTED PROJECTS-Earlier Yr'!Q2:Q2598,"PENDING")</f>
        <v>4</v>
      </c>
      <c r="J5" s="124">
        <f t="shared" si="3"/>
        <v>66.666666666666657</v>
      </c>
    </row>
    <row r="6" spans="1:10" ht="15" thickBot="1">
      <c r="A6" s="177" t="s">
        <v>35</v>
      </c>
      <c r="B6" s="178" t="s">
        <v>36</v>
      </c>
      <c r="C6" s="179">
        <f>SUMIFS('QUOTED PROJECTS-Earlier Yr'!O2:O2598,'QUOTED PROJECTS-Earlier Yr'!H2:H2598,"MTU",'QUOTED PROJECTS-Earlier Yr'!J2:J2598,"P")</f>
        <v>1578.51</v>
      </c>
      <c r="D6" s="179">
        <f>SUMIFS('QUOTED PROJECTS-Earlier Yr'!O2:O2598,'QUOTED PROJECTS-Earlier Yr'!H2:H2598,"MTU",'QUOTED PROJECTS-Earlier Yr'!J2:J2598,"P",'QUOTED PROJECTS-Earlier Yr'!Q2:Q2598,"WON")</f>
        <v>0</v>
      </c>
      <c r="E6" s="124">
        <f t="shared" si="0"/>
        <v>0</v>
      </c>
      <c r="F6" s="179">
        <f>SUMIFS('QUOTED PROJECTS-Earlier Yr'!O2:O2598,'QUOTED PROJECTS-Earlier Yr'!H2:H2598,"MTU",'QUOTED PROJECTS-Earlier Yr'!J2:J2598,"P",'QUOTED PROJECTS-Earlier Yr'!Q2:Q2598,"LOST")</f>
        <v>210.91</v>
      </c>
      <c r="G6" s="124">
        <f t="shared" si="1"/>
        <v>13.361334422968497</v>
      </c>
      <c r="H6" s="124">
        <f t="shared" si="2"/>
        <v>0</v>
      </c>
      <c r="I6" s="179">
        <f>SUMIFS('QUOTED PROJECTS-Earlier Yr'!O2:O2598,'QUOTED PROJECTS-Earlier Yr'!H2:H2598,"MTU",'QUOTED PROJECTS-Earlier Yr'!J2:J2598,"P",'QUOTED PROJECTS-Earlier Yr'!Q2:Q2598,"PENDING")</f>
        <v>1367.6</v>
      </c>
      <c r="J6" s="124">
        <f t="shared" si="3"/>
        <v>86.638665577031503</v>
      </c>
    </row>
    <row r="7" spans="1:10" ht="15" thickBot="1">
      <c r="A7" s="177" t="s">
        <v>25</v>
      </c>
      <c r="B7" s="178" t="s">
        <v>37</v>
      </c>
      <c r="C7" s="179">
        <f>C3+C5</f>
        <v>78</v>
      </c>
      <c r="D7" s="179">
        <f>D3+D5</f>
        <v>10</v>
      </c>
      <c r="E7" s="124">
        <f t="shared" si="0"/>
        <v>12.820512820512819</v>
      </c>
      <c r="F7" s="179">
        <f>F3+F5</f>
        <v>26</v>
      </c>
      <c r="G7" s="124">
        <f t="shared" si="1"/>
        <v>33.333333333333329</v>
      </c>
      <c r="H7" s="124">
        <f t="shared" si="2"/>
        <v>27.777777777777779</v>
      </c>
      <c r="I7" s="179">
        <f>I3+I5</f>
        <v>42</v>
      </c>
      <c r="J7" s="124">
        <f t="shared" si="3"/>
        <v>53.846153846153847</v>
      </c>
    </row>
    <row r="8" spans="1:10" ht="15" thickBot="1">
      <c r="A8" s="177" t="s">
        <v>38</v>
      </c>
      <c r="B8" s="178" t="s">
        <v>39</v>
      </c>
      <c r="C8" s="179">
        <f>C4+C6</f>
        <v>11971.26729</v>
      </c>
      <c r="D8" s="179">
        <f>D4+D6</f>
        <v>1690.89029</v>
      </c>
      <c r="E8" s="124">
        <f t="shared" si="0"/>
        <v>14.124572186375433</v>
      </c>
      <c r="F8" s="179">
        <f>F4+F6</f>
        <v>4873.28</v>
      </c>
      <c r="G8" s="124">
        <f t="shared" si="1"/>
        <v>40.708137926807581</v>
      </c>
      <c r="H8" s="124">
        <f t="shared" si="2"/>
        <v>25.759390986183572</v>
      </c>
      <c r="I8" s="179">
        <f>I4+I6</f>
        <v>5407.0969999999998</v>
      </c>
      <c r="J8" s="124">
        <f t="shared" si="3"/>
        <v>45.167289886816988</v>
      </c>
    </row>
  </sheetData>
  <mergeCells count="10">
    <mergeCell ref="J1:J2"/>
    <mergeCell ref="H1:H2"/>
    <mergeCell ref="I1:I2"/>
    <mergeCell ref="A1:A2"/>
    <mergeCell ref="B1:B2"/>
    <mergeCell ref="C1:C2"/>
    <mergeCell ref="D1:D2"/>
    <mergeCell ref="F1:F2"/>
    <mergeCell ref="G1:G2"/>
    <mergeCell ref="E1:E2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11</vt:i4>
      </vt:variant>
    </vt:vector>
  </HeadingPairs>
  <TitlesOfParts>
    <vt:vector size="41" baseType="lpstr">
      <vt:lpstr>MOP</vt:lpstr>
      <vt:lpstr>OB-Manual</vt:lpstr>
      <vt:lpstr>Prestige OB</vt:lpstr>
      <vt:lpstr>QUOTED PROJECTS-Current Year</vt:lpstr>
      <vt:lpstr>QUOTED PROJECTS-Earlier Yr</vt:lpstr>
      <vt:lpstr>Booking Plan-P-Val</vt:lpstr>
      <vt:lpstr>ORDER LOST</vt:lpstr>
      <vt:lpstr>Quote Analysis-Proj-Current</vt:lpstr>
      <vt:lpstr>Quote Analysis-Proj-Earlier</vt:lpstr>
      <vt:lpstr>Quote Analysis-Proj-Total</vt:lpstr>
      <vt:lpstr>Quote Analysis-Retail-Earlier</vt:lpstr>
      <vt:lpstr>Quote Analysis-Retail-Current</vt:lpstr>
      <vt:lpstr>Quote Analysis-Retail-Total</vt:lpstr>
      <vt:lpstr>Enquiry Bank Analysis -P</vt:lpstr>
      <vt:lpstr>Booking-QTY-WRK-P</vt:lpstr>
      <vt:lpstr>Booking-Val-WRK P</vt:lpstr>
      <vt:lpstr>Compition Analysis</vt:lpstr>
      <vt:lpstr>UPCOMNG PROJETCS</vt:lpstr>
      <vt:lpstr>Enquiry Bank Analysis-R</vt:lpstr>
      <vt:lpstr>Booking Plan-P</vt:lpstr>
      <vt:lpstr>BOOKING-PRF-PERKINS-LOOK UP</vt:lpstr>
      <vt:lpstr>BOOKING-PRF-MTU-LOOK UP</vt:lpstr>
      <vt:lpstr>BOOKING OUTLOOK</vt:lpstr>
      <vt:lpstr>Summary</vt:lpstr>
      <vt:lpstr>Key Proj Under Finalisation</vt:lpstr>
      <vt:lpstr>Booking-QTY-WRK-R</vt:lpstr>
      <vt:lpstr>Booking-VAL-WRK-R</vt:lpstr>
      <vt:lpstr>Booking Look Up Table</vt:lpstr>
      <vt:lpstr>Project Bank for The Year</vt:lpstr>
      <vt:lpstr>PRF</vt:lpstr>
      <vt:lpstr>MONTH</vt:lpstr>
      <vt:lpstr>MTUACTQTY</vt:lpstr>
      <vt:lpstr>MTUBUDQTY</vt:lpstr>
      <vt:lpstr>PERKINSACTQTY</vt:lpstr>
      <vt:lpstr>PERKINSBUDQTY</vt:lpstr>
      <vt:lpstr>'OB-Manual'!Print_Area</vt:lpstr>
      <vt:lpstr>'ORDER LOST'!Print_Area</vt:lpstr>
      <vt:lpstr>'Project Bank for The Year'!Print_Area</vt:lpstr>
      <vt:lpstr>'QUOTED PROJECTS-Current Year'!Print_Area</vt:lpstr>
      <vt:lpstr>'QUOTED PROJECTS-Earlier Yr'!Print_Area</vt:lpstr>
      <vt:lpstr>'UPCOMNG PROJETCS'!Print_Area</vt:lpstr>
    </vt:vector>
  </TitlesOfParts>
  <Company>MS 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OEM User</dc:creator>
  <cp:lastModifiedBy>admin</cp:lastModifiedBy>
  <cp:lastPrinted>2015-08-30T13:42:36Z</cp:lastPrinted>
  <dcterms:created xsi:type="dcterms:W3CDTF">2007-02-05T05:30:12Z</dcterms:created>
  <dcterms:modified xsi:type="dcterms:W3CDTF">2015-12-03T11:52:37Z</dcterms:modified>
</cp:coreProperties>
</file>