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sus\Downloads\Data Analyst\New folder\Excel\Functions\"/>
    </mc:Choice>
  </mc:AlternateContent>
  <xr:revisionPtr revIDLastSave="0" documentId="13_ncr:1_{C05049F9-197B-4EA0-8AD0-291509FC47EA}" xr6:coauthVersionLast="47" xr6:coauthVersionMax="47" xr10:uidLastSave="{00000000-0000-0000-0000-000000000000}"/>
  <bookViews>
    <workbookView xWindow="-108" yWindow="-108" windowWidth="23256" windowHeight="12456" firstSheet="5" activeTab="8" xr2:uid="{00000000-000D-0000-FFFF-FFFF00000000}"/>
  </bookViews>
  <sheets>
    <sheet name="6 Questions Lookup" sheetId="1" r:id="rId1"/>
    <sheet name="5 Questions Lookup" sheetId="2" r:id="rId2"/>
    <sheet name="11 Questions Xlookup" sheetId="3" r:id="rId3"/>
    <sheet name="9 Questions Filter" sheetId="4" r:id="rId4"/>
    <sheet name="6 Question INDEX + MATCH" sheetId="5" r:id="rId5"/>
    <sheet name="15 Question Functions" sheetId="6" r:id="rId6"/>
    <sheet name="Drop Downs" sheetId="7" r:id="rId7"/>
    <sheet name="3 Find Last Non-blank value" sheetId="8" r:id="rId8"/>
    <sheet name="5 Question Lookup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R4" i="4" l="1"/>
  <c r="N16" i="9" a="1"/>
  <c r="N16" i="9" s="1"/>
  <c r="N8" i="9" a="1"/>
  <c r="N8" i="9" s="1"/>
  <c r="J20" i="9" a="1"/>
  <c r="J20" i="9" s="1"/>
  <c r="J13" i="9"/>
  <c r="J6" i="9"/>
  <c r="L5" i="8" a="1"/>
  <c r="L5" i="8" s="1"/>
  <c r="K5" i="8"/>
  <c r="K4" i="8" a="1"/>
  <c r="K4" i="8" s="1"/>
  <c r="K3" i="8"/>
  <c r="K53" i="7" a="1"/>
  <c r="K53" i="7" s="1"/>
  <c r="G11" i="7" a="1"/>
  <c r="G11" i="7"/>
  <c r="F8" i="7"/>
  <c r="F11" i="7" s="1" a="1"/>
  <c r="F11" i="7" s="1"/>
  <c r="L152" i="6"/>
  <c r="M152" i="6" s="1" a="1"/>
  <c r="M152" i="6" s="1"/>
  <c r="L153" i="6"/>
  <c r="M153" i="6" s="1" a="1"/>
  <c r="M153" i="6" s="1"/>
  <c r="L154" i="6"/>
  <c r="M154" i="6" s="1" a="1"/>
  <c r="M154" i="6" s="1"/>
  <c r="L155" i="6"/>
  <c r="M155" i="6" s="1" a="1"/>
  <c r="M155" i="6" s="1"/>
  <c r="L156" i="6"/>
  <c r="M156" i="6" s="1" a="1"/>
  <c r="M156" i="6" s="1"/>
  <c r="L157" i="6"/>
  <c r="M157" i="6" s="1" a="1"/>
  <c r="M157" i="6" s="1"/>
  <c r="L158" i="6"/>
  <c r="M158" i="6" s="1" a="1"/>
  <c r="M158" i="6" s="1"/>
  <c r="L159" i="6"/>
  <c r="M159" i="6" s="1" a="1"/>
  <c r="M159" i="6" s="1"/>
  <c r="L160" i="6"/>
  <c r="M160" i="6" s="1" a="1"/>
  <c r="M160" i="6" s="1"/>
  <c r="L161" i="6"/>
  <c r="M161" i="6" s="1" a="1"/>
  <c r="M161" i="6" s="1"/>
  <c r="L162" i="6"/>
  <c r="M162" i="6" s="1" a="1"/>
  <c r="M162" i="6" s="1"/>
  <c r="L151" i="6"/>
  <c r="M151" i="6" s="1" a="1"/>
  <c r="M151" i="6" s="1"/>
  <c r="L140" i="6"/>
  <c r="L141" i="6"/>
  <c r="L142" i="6"/>
  <c r="L143" i="6"/>
  <c r="L144" i="6"/>
  <c r="L139" i="6"/>
  <c r="M131" i="6" a="1"/>
  <c r="M131" i="6" s="1"/>
  <c r="L131" i="6"/>
  <c r="L124" i="6"/>
  <c r="M124" i="6" s="1" a="1"/>
  <c r="M124" i="6" s="1"/>
  <c r="P74" i="6"/>
  <c r="Q74" i="6" s="1"/>
  <c r="N117" i="6"/>
  <c r="N116" i="6"/>
  <c r="N115" i="6"/>
  <c r="L117" i="6"/>
  <c r="L116" i="6"/>
  <c r="L115" i="6"/>
  <c r="L109" i="6"/>
  <c r="L108" i="6"/>
  <c r="L107" i="6"/>
  <c r="L91" i="6"/>
  <c r="L92" i="6"/>
  <c r="L93" i="6"/>
  <c r="L94" i="6"/>
  <c r="L95" i="6"/>
  <c r="L96" i="6"/>
  <c r="L97" i="6"/>
  <c r="L98" i="6"/>
  <c r="L99" i="6"/>
  <c r="L100" i="6"/>
  <c r="L101" i="6"/>
  <c r="L90" i="6"/>
  <c r="M73" i="6"/>
  <c r="N73" i="6" s="1"/>
  <c r="M74" i="6"/>
  <c r="N74" i="6" s="1"/>
  <c r="M75" i="6"/>
  <c r="N75" i="6" s="1"/>
  <c r="M76" i="6"/>
  <c r="N76" i="6" s="1"/>
  <c r="M77" i="6"/>
  <c r="N77" i="6" s="1"/>
  <c r="M78" i="6"/>
  <c r="N78" i="6" s="1"/>
  <c r="M79" i="6"/>
  <c r="N79" i="6" s="1"/>
  <c r="M80" i="6"/>
  <c r="N80" i="6" s="1"/>
  <c r="M81" i="6"/>
  <c r="N81" i="6" s="1"/>
  <c r="M82" i="6"/>
  <c r="N82" i="6" s="1"/>
  <c r="M83" i="6"/>
  <c r="N83" i="6" s="1"/>
  <c r="M72" i="6"/>
  <c r="N72" i="6" s="1"/>
  <c r="L73" i="6"/>
  <c r="L74" i="6"/>
  <c r="L75" i="6"/>
  <c r="L76" i="6"/>
  <c r="L77" i="6"/>
  <c r="L78" i="6"/>
  <c r="L79" i="6"/>
  <c r="L80" i="6"/>
  <c r="L81" i="6"/>
  <c r="L82" i="6"/>
  <c r="L83" i="6"/>
  <c r="L72" i="6"/>
  <c r="L66" i="6"/>
  <c r="L58" i="6"/>
  <c r="L57" i="6"/>
  <c r="L59" i="6" s="1"/>
  <c r="L51" i="6"/>
  <c r="L44" i="6"/>
  <c r="L36" i="6"/>
  <c r="L29" i="6"/>
  <c r="L23" i="6"/>
  <c r="G71" i="1" a="1"/>
  <c r="G71" i="1" s="1"/>
  <c r="H43" i="1"/>
  <c r="G65" i="1"/>
  <c r="G58" i="1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31" i="5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31" i="5" a="1"/>
  <c r="G31" i="5" s="1"/>
  <c r="H6" i="5" a="1"/>
  <c r="H6" i="5" s="1"/>
  <c r="H7" i="5" a="1"/>
  <c r="H7" i="5" s="1"/>
  <c r="H8" i="5" a="1"/>
  <c r="H8" i="5" s="1"/>
  <c r="H9" i="5" a="1"/>
  <c r="H9" i="5" s="1"/>
  <c r="H10" i="5" a="1"/>
  <c r="H10" i="5" s="1"/>
  <c r="H11" i="5" a="1"/>
  <c r="H11" i="5" s="1"/>
  <c r="H12" i="5" a="1"/>
  <c r="H12" i="5" s="1"/>
  <c r="H13" i="5" a="1"/>
  <c r="H13" i="5" s="1"/>
  <c r="H14" i="5" a="1"/>
  <c r="H14" i="5" s="1"/>
  <c r="H15" i="5" a="1"/>
  <c r="H15" i="5" s="1"/>
  <c r="H16" i="5" a="1"/>
  <c r="H16" i="5" s="1"/>
  <c r="H17" i="5" a="1"/>
  <c r="H17" i="5" s="1"/>
  <c r="H18" i="5" a="1"/>
  <c r="H18" i="5" s="1"/>
  <c r="H19" i="5" a="1"/>
  <c r="H19" i="5" s="1"/>
  <c r="H20" i="5" a="1"/>
  <c r="H20" i="5" s="1"/>
  <c r="H21" i="5" a="1"/>
  <c r="H21" i="5" s="1"/>
  <c r="H22" i="5" a="1"/>
  <c r="H22" i="5" s="1"/>
  <c r="H23" i="5" a="1"/>
  <c r="H23" i="5" s="1"/>
  <c r="H24" i="5" a="1"/>
  <c r="H24" i="5" s="1"/>
  <c r="H25" i="5" a="1"/>
  <c r="H25" i="5" s="1"/>
  <c r="K9" i="5"/>
  <c r="K6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M24" i="3"/>
  <c r="N24" i="3" s="1" a="1"/>
  <c r="N24" i="3" s="1"/>
  <c r="N16" i="3"/>
  <c r="M21" i="3"/>
  <c r="N21" i="3" s="1"/>
  <c r="N11" i="3"/>
  <c r="N6" i="3"/>
  <c r="Q57" i="4" a="1"/>
  <c r="Q57" i="4" s="1"/>
  <c r="Q56" i="4" a="1"/>
  <c r="Q56" i="4" s="1"/>
  <c r="X56" i="4" a="1"/>
  <c r="X56" i="4" s="1"/>
  <c r="U57" i="4" s="1"/>
  <c r="W56" i="4" a="1"/>
  <c r="W56" i="4" s="1"/>
  <c r="U56" i="4" s="1"/>
  <c r="P46" i="4" a="1"/>
  <c r="P46" i="4" s="1"/>
  <c r="I43" i="4" a="1"/>
  <c r="I43" i="4" s="1"/>
  <c r="I44" i="4" a="1"/>
  <c r="I44" i="4" s="1"/>
  <c r="V38" i="4" a="1"/>
  <c r="V38" i="4" s="1"/>
  <c r="V5" i="4" a="1"/>
  <c r="V5" i="4" s="1"/>
  <c r="V25" i="4" a="1"/>
  <c r="V25" i="4" s="1"/>
  <c r="V26" i="4" a="1"/>
  <c r="V26" i="4" s="1"/>
  <c r="V6" i="4" a="1"/>
  <c r="V6" i="4" s="1"/>
  <c r="P4" i="4" a="1"/>
  <c r="P4" i="4" s="1"/>
  <c r="I4" i="4" a="1"/>
  <c r="I4" i="4" s="1"/>
  <c r="M33" i="3" a="1"/>
  <c r="M33" i="3" s="1"/>
  <c r="M31" i="3" a="1"/>
  <c r="M31" i="3" s="1"/>
  <c r="K38" i="3"/>
  <c r="K37" i="3"/>
  <c r="K36" i="3"/>
  <c r="K30" i="3"/>
  <c r="K27" i="3"/>
  <c r="K19" i="3"/>
  <c r="K12" i="3"/>
  <c r="K11" i="3"/>
  <c r="K5" i="3"/>
  <c r="O24" i="2"/>
  <c r="O16" i="2" a="1"/>
  <c r="O16" i="2" s="1"/>
  <c r="K24" i="2"/>
  <c r="J43" i="1"/>
  <c r="I43" i="1"/>
  <c r="J32" i="1"/>
  <c r="K32" i="1"/>
  <c r="I32" i="1"/>
  <c r="K16" i="2" a="1"/>
  <c r="K16" i="2" s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5" i="2"/>
  <c r="K6" i="1"/>
  <c r="J6" i="1"/>
  <c r="I6" i="1"/>
  <c r="M116" i="6" l="1"/>
  <c r="M115" i="6"/>
  <c r="M117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<sst xmlns="http://schemas.openxmlformats.org/spreadsheetml/2006/main" count="1236" uniqueCount="431">
  <si>
    <t>Sales Person</t>
  </si>
  <si>
    <t>No. Customers</t>
  </si>
  <si>
    <t>Net Sales</t>
  </si>
  <si>
    <t>Profit / Loss</t>
  </si>
  <si>
    <t>Aditi</t>
  </si>
  <si>
    <t>Rohan</t>
  </si>
  <si>
    <t>Neha</t>
  </si>
  <si>
    <t>Arjun</t>
  </si>
  <si>
    <t>Kavita</t>
  </si>
  <si>
    <t>Vikram</t>
  </si>
  <si>
    <t>Priya</t>
  </si>
  <si>
    <t>Sameer</t>
  </si>
  <si>
    <t>Meena</t>
  </si>
  <si>
    <t>Rajesh</t>
  </si>
  <si>
    <t>Anjali</t>
  </si>
  <si>
    <t>Suresh</t>
  </si>
  <si>
    <t>Deepa</t>
  </si>
  <si>
    <t>Karan</t>
  </si>
  <si>
    <t>Sneha</t>
  </si>
  <si>
    <t>Manish</t>
  </si>
  <si>
    <t>Rekha</t>
  </si>
  <si>
    <t>Sunil</t>
  </si>
  <si>
    <t>Pooja</t>
  </si>
  <si>
    <t>Ajay</t>
  </si>
  <si>
    <t>Name</t>
  </si>
  <si>
    <t>May</t>
  </si>
  <si>
    <t>June</t>
  </si>
  <si>
    <t>April</t>
  </si>
  <si>
    <t>Amit Sharma</t>
  </si>
  <si>
    <t>P28-x-13</t>
  </si>
  <si>
    <t>New Products</t>
  </si>
  <si>
    <t>Product ID</t>
  </si>
  <si>
    <t>Old Products</t>
  </si>
  <si>
    <t>Milk Bars</t>
  </si>
  <si>
    <t>P18-x-13</t>
  </si>
  <si>
    <t>Orange Choco</t>
  </si>
  <si>
    <t>Neha Gupta</t>
  </si>
  <si>
    <t>P29-x-14</t>
  </si>
  <si>
    <t>Rohan Verma</t>
  </si>
  <si>
    <t>P30-x-15</t>
  </si>
  <si>
    <t>Kavita Rao</t>
  </si>
  <si>
    <t>P31-x-16</t>
  </si>
  <si>
    <t>Sunil Kumar</t>
  </si>
  <si>
    <t>P32-x-17</t>
  </si>
  <si>
    <t>Priya Mehta</t>
  </si>
  <si>
    <t>P33-x-18</t>
  </si>
  <si>
    <t>Arjun Das</t>
  </si>
  <si>
    <t>Sneha Joshi</t>
  </si>
  <si>
    <t>P19-x-14</t>
  </si>
  <si>
    <t>Manish Jain</t>
  </si>
  <si>
    <t>P20-x-15</t>
  </si>
  <si>
    <t>Pooja Nair</t>
  </si>
  <si>
    <t>P21-x-16</t>
  </si>
  <si>
    <t>Rajesh Yadav</t>
  </si>
  <si>
    <t>P22-x-17</t>
  </si>
  <si>
    <t>Anjali Sen</t>
  </si>
  <si>
    <t>Deepa Kaur</t>
  </si>
  <si>
    <t>Sameer Khan</t>
  </si>
  <si>
    <t>Rekha Singh</t>
  </si>
  <si>
    <t>Ajay Patil</t>
  </si>
  <si>
    <t>Meena Iyer</t>
  </si>
  <si>
    <t>Suresh Roy</t>
  </si>
  <si>
    <t>Karan Shah</t>
  </si>
  <si>
    <t>Aditi Reddy</t>
  </si>
  <si>
    <t>Vikram Mal</t>
  </si>
  <si>
    <t>Choco Bites</t>
  </si>
  <si>
    <t>Energy Drink</t>
  </si>
  <si>
    <t>Protein Bar</t>
  </si>
  <si>
    <t>Candy Pop</t>
  </si>
  <si>
    <t>Juice Mix</t>
  </si>
  <si>
    <t>Mango Bar</t>
  </si>
  <si>
    <t>Cola Drink</t>
  </si>
  <si>
    <t>Lemon Candy</t>
  </si>
  <si>
    <t>Coffee Choco</t>
  </si>
  <si>
    <t>Product Name</t>
  </si>
  <si>
    <t>3 Months Total</t>
  </si>
  <si>
    <t>Sum + Array + Vlookup</t>
  </si>
  <si>
    <t>Iferror + Vlookup</t>
  </si>
  <si>
    <t>Vlookup + Match</t>
  </si>
  <si>
    <t>Index + Match</t>
  </si>
  <si>
    <t>Vlookup</t>
  </si>
  <si>
    <t>Name Starts with</t>
  </si>
  <si>
    <t>Ami</t>
  </si>
  <si>
    <t>Quantity Of</t>
  </si>
  <si>
    <t>Vlookup + "*" + Match</t>
  </si>
  <si>
    <t>All IDs</t>
  </si>
  <si>
    <t>Textjoin + If</t>
  </si>
  <si>
    <t>April Quantity</t>
  </si>
  <si>
    <t>Xlookup</t>
  </si>
  <si>
    <t>Gender</t>
  </si>
  <si>
    <t>Department</t>
  </si>
  <si>
    <t>Date of Birth</t>
  </si>
  <si>
    <t>Start Date</t>
  </si>
  <si>
    <t>Salary</t>
  </si>
  <si>
    <t>Male</t>
  </si>
  <si>
    <t>Sales</t>
  </si>
  <si>
    <t>Female</t>
  </si>
  <si>
    <t>Marketing</t>
  </si>
  <si>
    <t>HR</t>
  </si>
  <si>
    <t>IT</t>
  </si>
  <si>
    <t>Finance</t>
  </si>
  <si>
    <t>Admin</t>
  </si>
  <si>
    <t>Operations</t>
  </si>
  <si>
    <t>Shweta Pillai</t>
  </si>
  <si>
    <t>Nikhil Bansal</t>
  </si>
  <si>
    <t>Tanya Kapoor</t>
  </si>
  <si>
    <t>Mohan Lal</t>
  </si>
  <si>
    <t>Ritu Sharma</t>
  </si>
  <si>
    <t>Harish Mehta</t>
  </si>
  <si>
    <t>Sonali Desai</t>
  </si>
  <si>
    <t>Gaurav Joshi</t>
  </si>
  <si>
    <t>Pallavi Rao</t>
  </si>
  <si>
    <t>With Tables</t>
  </si>
  <si>
    <t>&gt; Condition</t>
  </si>
  <si>
    <t>Salary &gt;</t>
  </si>
  <si>
    <t xml:space="preserve"> Wild Card</t>
  </si>
  <si>
    <t>Name Contains</t>
  </si>
  <si>
    <t>Full Name</t>
  </si>
  <si>
    <t>Entire Row</t>
  </si>
  <si>
    <t>Details</t>
  </si>
  <si>
    <t>Salary &lt;</t>
  </si>
  <si>
    <t>een</t>
  </si>
  <si>
    <t>Count</t>
  </si>
  <si>
    <t>Salary Above</t>
  </si>
  <si>
    <t>OR Condition</t>
  </si>
  <si>
    <t>Country</t>
  </si>
  <si>
    <t>Product</t>
  </si>
  <si>
    <t>Amount</t>
  </si>
  <si>
    <t>Units</t>
  </si>
  <si>
    <t>India</t>
  </si>
  <si>
    <t>USA</t>
  </si>
  <si>
    <t>UK</t>
  </si>
  <si>
    <t>Canada</t>
  </si>
  <si>
    <t>Germany</t>
  </si>
  <si>
    <t>Ashok Menon</t>
  </si>
  <si>
    <t>Jyoti Kapoor</t>
  </si>
  <si>
    <t>Devendra Rao</t>
  </si>
  <si>
    <t>Anusha Nair</t>
  </si>
  <si>
    <t>Rohit Malhotra</t>
  </si>
  <si>
    <t>Swati Singh</t>
  </si>
  <si>
    <t>Aditya Sethi</t>
  </si>
  <si>
    <t>Leena Thomas</t>
  </si>
  <si>
    <t>Naveen Kumar</t>
  </si>
  <si>
    <t>Karishma Jain</t>
  </si>
  <si>
    <t>Parthiv Shah</t>
  </si>
  <si>
    <t>Bhavna Patel</t>
  </si>
  <si>
    <t>Chirag Bansal</t>
  </si>
  <si>
    <t>Ramesh Iyer</t>
  </si>
  <si>
    <t>Geeta Kapoor</t>
  </si>
  <si>
    <t>Farhan Ali</t>
  </si>
  <si>
    <t>Vandana Reddy</t>
  </si>
  <si>
    <t>Kunal Deshmukh</t>
  </si>
  <si>
    <t>Sanjay Tiwari</t>
  </si>
  <si>
    <t>Monica D’Souza</t>
  </si>
  <si>
    <t>Not Condtion</t>
  </si>
  <si>
    <t>Country is not</t>
  </si>
  <si>
    <t>Total Amount</t>
  </si>
  <si>
    <t>Complex Condition</t>
  </si>
  <si>
    <t>Sales From</t>
  </si>
  <si>
    <t>Amount above</t>
  </si>
  <si>
    <t>Total Amounts</t>
  </si>
  <si>
    <t>Total Units</t>
  </si>
  <si>
    <t>Or</t>
  </si>
  <si>
    <t>And</t>
  </si>
  <si>
    <t>Date of Joining</t>
  </si>
  <si>
    <t>Date Joined</t>
  </si>
  <si>
    <t>Rahul Sharma</t>
  </si>
  <si>
    <t>Arjun Patel</t>
  </si>
  <si>
    <t>Sneha Iyer</t>
  </si>
  <si>
    <t>Vivek Agarwal</t>
  </si>
  <si>
    <t>Anjali Gupta</t>
  </si>
  <si>
    <t>Karan Malhotra</t>
  </si>
  <si>
    <t>Neha Singh</t>
  </si>
  <si>
    <t>Meera Joshi</t>
  </si>
  <si>
    <t>Aditya Kapoor</t>
  </si>
  <si>
    <t>Sandeep Yadav</t>
  </si>
  <si>
    <t>Manish Kumar</t>
  </si>
  <si>
    <t>Kavita Desai</t>
  </si>
  <si>
    <t>Deepak Soni</t>
  </si>
  <si>
    <t>Swati Pandey</t>
  </si>
  <si>
    <t>Ajay Rathore</t>
  </si>
  <si>
    <t>Nisha Bhatia</t>
  </si>
  <si>
    <t>Date of Joined</t>
  </si>
  <si>
    <t>Bonus %</t>
  </si>
  <si>
    <t>Bonus</t>
  </si>
  <si>
    <t>Answers</t>
  </si>
  <si>
    <t>rahul.sharma@gmail.com</t>
  </si>
  <si>
    <t>priya.mehta@gmail.com</t>
  </si>
  <si>
    <t>arjun.patel@gmail.com</t>
  </si>
  <si>
    <t>sneha.iyer@gmail.com</t>
  </si>
  <si>
    <t>vivek.agarwal@gmail.com</t>
  </si>
  <si>
    <t>anjali.gupta@gmail.com</t>
  </si>
  <si>
    <t>karan.malhotra@gmail.com</t>
  </si>
  <si>
    <t>neha.singh@gmail.com</t>
  </si>
  <si>
    <t>rohan.verma@gmail.com</t>
  </si>
  <si>
    <t>meera.joshi@gmail.com</t>
  </si>
  <si>
    <t>aditya.kapoor@gmail.com</t>
  </si>
  <si>
    <t>pooja.nair@gmail.com</t>
  </si>
  <si>
    <t>sandeep.yadav@gmail.com</t>
  </si>
  <si>
    <t>ritu.sharma@gmail.com</t>
  </si>
  <si>
    <t>manish.kumar@gmail.com</t>
  </si>
  <si>
    <t>kavita.desai@gmail.com</t>
  </si>
  <si>
    <t>deepak.soni@gmail.com</t>
  </si>
  <si>
    <t>swati.pandey@gmail.com</t>
  </si>
  <si>
    <t>ajay.rathore@gmail.com</t>
  </si>
  <si>
    <t>nisha.bhatia@gmail.com</t>
  </si>
  <si>
    <t>Name &amp; Emils</t>
  </si>
  <si>
    <t>Emil ID</t>
  </si>
  <si>
    <t>Date</t>
  </si>
  <si>
    <t>Location</t>
  </si>
  <si>
    <t>Mumbai</t>
  </si>
  <si>
    <t>Delhi</t>
  </si>
  <si>
    <t>Bangalore</t>
  </si>
  <si>
    <t>Where?</t>
  </si>
  <si>
    <t>Month</t>
  </si>
  <si>
    <t>App Name</t>
  </si>
  <si>
    <t>Downloads</t>
  </si>
  <si>
    <t>Uninstalls</t>
  </si>
  <si>
    <t>5 Star Ratings</t>
  </si>
  <si>
    <t>1 Star Ratings</t>
  </si>
  <si>
    <t>Total Ratings</t>
  </si>
  <si>
    <t>WhatsUp</t>
  </si>
  <si>
    <t>InstaPic</t>
  </si>
  <si>
    <t>QuickPay</t>
  </si>
  <si>
    <t>Questions</t>
  </si>
  <si>
    <t>Total downloads for QuickPay</t>
  </si>
  <si>
    <t>Uninstalls in Decmber 25</t>
  </si>
  <si>
    <t>Downloads in Oct, Nov, Dec 25</t>
  </si>
  <si>
    <t>5 star rating % for InstaPic</t>
  </si>
  <si>
    <t>Which month has highest uninstall ration?</t>
  </si>
  <si>
    <t>Average monthly downloads</t>
  </si>
  <si>
    <t>Most downloads in any month / app ?, 2nd and 3rd places also?</t>
  </si>
  <si>
    <t>Which month and app was that?</t>
  </si>
  <si>
    <t>As of October 2025, which app has most 1 star ratings?</t>
  </si>
  <si>
    <t>What are the best download figures for each app?</t>
  </si>
  <si>
    <t>What is the least downloaded app in each month?</t>
  </si>
  <si>
    <t>Formulas</t>
  </si>
  <si>
    <t>Sumifs</t>
  </si>
  <si>
    <t>Countifs</t>
  </si>
  <si>
    <t>Averageifs</t>
  </si>
  <si>
    <t>Max/Minifs</t>
  </si>
  <si>
    <t>Small/Large</t>
  </si>
  <si>
    <t>1. Total downloads for QuickPay</t>
  </si>
  <si>
    <t>Foodiez</t>
  </si>
  <si>
    <t>FitTrack</t>
  </si>
  <si>
    <t>EduLearn</t>
  </si>
  <si>
    <t>Total downloads for F apps</t>
  </si>
  <si>
    <t>2. Total downloads for F apps</t>
  </si>
  <si>
    <t>Starting with</t>
  </si>
  <si>
    <t>F</t>
  </si>
  <si>
    <t>Total Downloads</t>
  </si>
  <si>
    <t>Does it change by December 2025?</t>
  </si>
  <si>
    <t>3. Uninstalls in Decmber 25</t>
  </si>
  <si>
    <t>4. Downloads in Oct, Nov, Dec 25</t>
  </si>
  <si>
    <t>Sart</t>
  </si>
  <si>
    <t>End</t>
  </si>
  <si>
    <t>Dounloads</t>
  </si>
  <si>
    <t>More then</t>
  </si>
  <si>
    <t>total counts</t>
  </si>
  <si>
    <t>5. How many times we had more than 30000 downloads per app month?</t>
  </si>
  <si>
    <t>How many times we had more than 30000 downloads per app month?</t>
  </si>
  <si>
    <t>6. 5 star rating % for InstaPic</t>
  </si>
  <si>
    <t>Average uninstalls for FitTrack</t>
  </si>
  <si>
    <t>App</t>
  </si>
  <si>
    <t>Total 5 Star ratings</t>
  </si>
  <si>
    <t xml:space="preserve">5 star rating % </t>
  </si>
  <si>
    <t>7. Average uninstalls for FitTrack</t>
  </si>
  <si>
    <t>Unistalls</t>
  </si>
  <si>
    <t>Average</t>
  </si>
  <si>
    <t>8. Which month has highest uninstall ration?</t>
  </si>
  <si>
    <t>Uninstall Ration</t>
  </si>
  <si>
    <t>Highest</t>
  </si>
  <si>
    <t>9. Average monthly downloads</t>
  </si>
  <si>
    <t>Avg. Downloads</t>
  </si>
  <si>
    <t>10. Most downloads in any month / app ?, 2nd and 3rd places also?</t>
  </si>
  <si>
    <t>Most Downloads</t>
  </si>
  <si>
    <t>2 nd</t>
  </si>
  <si>
    <t>3 rd</t>
  </si>
  <si>
    <t>App name</t>
  </si>
  <si>
    <t>12. As of October 2025, which app has most 1 star ratings?</t>
  </si>
  <si>
    <t>11. Which month and app was that?</t>
  </si>
  <si>
    <t>Most 1 Star ratings</t>
  </si>
  <si>
    <t>13. Does it change by December 2025?</t>
  </si>
  <si>
    <t>Most Downloads Ever</t>
  </si>
  <si>
    <t>Least Downloads</t>
  </si>
  <si>
    <t>Effective Date</t>
  </si>
  <si>
    <t>Price per Box</t>
  </si>
  <si>
    <t>Soap</t>
  </si>
  <si>
    <t>Shampoo</t>
  </si>
  <si>
    <t>Toothpaste</t>
  </si>
  <si>
    <t>What is the price per box of</t>
  </si>
  <si>
    <t>Lastest Date</t>
  </si>
  <si>
    <t>Price</t>
  </si>
  <si>
    <t>Using xlooup</t>
  </si>
  <si>
    <t>Bars</t>
  </si>
  <si>
    <t>Bites</t>
  </si>
  <si>
    <t>Powders</t>
  </si>
  <si>
    <t>Frozen</t>
  </si>
  <si>
    <t>Other</t>
  </si>
  <si>
    <t>Choco Crunch Bar</t>
  </si>
  <si>
    <t>Cocoa Bites</t>
  </si>
  <si>
    <t>Hot Cocoa Mix</t>
  </si>
  <si>
    <t>Choco Lava Sundae</t>
  </si>
  <si>
    <t>White Cocoa</t>
  </si>
  <si>
    <t>Nutty Delight Bar</t>
  </si>
  <si>
    <t>Almond Truffle Bites</t>
  </si>
  <si>
    <t>Instant Mocha Powder</t>
  </si>
  <si>
    <t>Fudge Swirl Icecream</t>
  </si>
  <si>
    <t>Mocha Drizzle</t>
  </si>
  <si>
    <t>Caramel Bliss Bar</t>
  </si>
  <si>
    <t>Hazelnut Choco Cubes</t>
  </si>
  <si>
    <t>Chocolate Shake Mix</t>
  </si>
  <si>
    <t>Double Choco Cone</t>
  </si>
  <si>
    <t>Spiced Cocoa</t>
  </si>
  <si>
    <t>Dark Silk Bar</t>
  </si>
  <si>
    <t>Peanut Butter Pops</t>
  </si>
  <si>
    <t>Drinking Chocolate – 70%</t>
  </si>
  <si>
    <t>Brownie Sundae</t>
  </si>
  <si>
    <t>Mint Choco Syrup</t>
  </si>
  <si>
    <t>Berry Blast Bar</t>
  </si>
  <si>
    <t>Coconut Crunchies</t>
  </si>
  <si>
    <t>Cocoa Mix Sachets</t>
  </si>
  <si>
    <t>Oreo Choco Sandwich</t>
  </si>
  <si>
    <t>Honey Choco Spread</t>
  </si>
  <si>
    <t>Crispy Nougat Bar</t>
  </si>
  <si>
    <t>Crispy Rice Bites</t>
  </si>
  <si>
    <t>Hot Fudge Mix</t>
  </si>
  <si>
    <t>Caramel Choco Swirl</t>
  </si>
  <si>
    <t>Mocha Magic Bar</t>
  </si>
  <si>
    <t>Cashew Choco Squares</t>
  </si>
  <si>
    <t>Dark Cocoa Powder</t>
  </si>
  <si>
    <t>Dark Fantasy Icecream</t>
  </si>
  <si>
    <t>Almond Fusion Bar</t>
  </si>
  <si>
    <t>Coffee Bean Bites</t>
  </si>
  <si>
    <t>Mocha Energy Powder</t>
  </si>
  <si>
    <t>Smooth Creamy Bar</t>
  </si>
  <si>
    <t>Pistachio Choco Bites</t>
  </si>
  <si>
    <t>Ready Bake Brownie Mix</t>
  </si>
  <si>
    <t>Golden Caramel Bar</t>
  </si>
  <si>
    <t>Choco Raisin Cubes</t>
  </si>
  <si>
    <t>Honey Crisp Bar</t>
  </si>
  <si>
    <t>Rocky Road Bites</t>
  </si>
  <si>
    <t>Velvet Dark Bar</t>
  </si>
  <si>
    <t>Fruity Delight Bar</t>
  </si>
  <si>
    <t>Crunchy Malt Bar</t>
  </si>
  <si>
    <t>Silky Milk Bar</t>
  </si>
  <si>
    <t>Order Number</t>
  </si>
  <si>
    <t>Category</t>
  </si>
  <si>
    <t>ORD-0001</t>
  </si>
  <si>
    <t>ORD-0003</t>
  </si>
  <si>
    <t>ORD-0002</t>
  </si>
  <si>
    <t>ORD-0004</t>
  </si>
  <si>
    <t>ORD-0005</t>
  </si>
  <si>
    <t>ORD-0006</t>
  </si>
  <si>
    <t>ORD-0007</t>
  </si>
  <si>
    <t>ORD-0008</t>
  </si>
  <si>
    <t>ORD-0009</t>
  </si>
  <si>
    <t>ORD-0010</t>
  </si>
  <si>
    <t>ORD-0011</t>
  </si>
  <si>
    <t>ORD-0012</t>
  </si>
  <si>
    <t>ORD-0013</t>
  </si>
  <si>
    <t>ORD-0014</t>
  </si>
  <si>
    <t>ORD-0015</t>
  </si>
  <si>
    <t>ORD-0016</t>
  </si>
  <si>
    <t>ORD-0017</t>
  </si>
  <si>
    <t>ORD-0018</t>
  </si>
  <si>
    <t>ORD-0019</t>
  </si>
  <si>
    <t>ORD-0020</t>
  </si>
  <si>
    <t>Acct Number</t>
  </si>
  <si>
    <t>Level_01</t>
  </si>
  <si>
    <t>Level_02</t>
  </si>
  <si>
    <t>Level_03</t>
  </si>
  <si>
    <t>Level_04</t>
  </si>
  <si>
    <t>Cash</t>
  </si>
  <si>
    <t>Bank</t>
  </si>
  <si>
    <t>Private</t>
  </si>
  <si>
    <t>Freedom</t>
  </si>
  <si>
    <t>Comm</t>
  </si>
  <si>
    <t>Elite</t>
  </si>
  <si>
    <t>Corp</t>
  </si>
  <si>
    <t>Account Number</t>
  </si>
  <si>
    <t>Value in Last NonBlank Cell</t>
  </si>
  <si>
    <t>With Xlookup</t>
  </si>
  <si>
    <t>With Count</t>
  </si>
  <si>
    <t>Calories</t>
  </si>
  <si>
    <t>Scenario 1</t>
  </si>
  <si>
    <t>Simple Lookup</t>
  </si>
  <si>
    <t>Price of</t>
  </si>
  <si>
    <t>Ans</t>
  </si>
  <si>
    <t>Scenario 2</t>
  </si>
  <si>
    <t>Lookup in middle</t>
  </si>
  <si>
    <t>Two way lookup</t>
  </si>
  <si>
    <t>Option</t>
  </si>
  <si>
    <t>Scenario 3</t>
  </si>
  <si>
    <t>Scenario 4</t>
  </si>
  <si>
    <t>Multiple conditions</t>
  </si>
  <si>
    <t>with Coffee</t>
  </si>
  <si>
    <t>Scenario 5</t>
  </si>
  <si>
    <t>Multiple Results</t>
  </si>
  <si>
    <t>x12 Price</t>
  </si>
  <si>
    <t>Original</t>
  </si>
  <si>
    <t>Sugar coated</t>
  </si>
  <si>
    <t>Glazed</t>
  </si>
  <si>
    <t>Chocolate Iced</t>
  </si>
  <si>
    <t>Strawberry Iced</t>
  </si>
  <si>
    <t>Powered</t>
  </si>
  <si>
    <t>Coffee Roll</t>
  </si>
  <si>
    <t>Cinna Bun</t>
  </si>
  <si>
    <t>Boston Crème</t>
  </si>
  <si>
    <t>Chocolate Cruller</t>
  </si>
  <si>
    <t>Glazed Cruller</t>
  </si>
  <si>
    <t>Jelly Filled</t>
  </si>
  <si>
    <t>Sour Cream</t>
  </si>
  <si>
    <t>Glazed Raspberry</t>
  </si>
  <si>
    <t>Glazed Chocolate</t>
  </si>
  <si>
    <t>Apple Fritter</t>
  </si>
  <si>
    <t>Vlookup + Date</t>
  </si>
  <si>
    <t>Textjoin + IF + Text</t>
  </si>
  <si>
    <t>XVlookup</t>
  </si>
  <si>
    <t>Xvlookup + "*"</t>
  </si>
  <si>
    <t>Xvlookup + "&gt;,&lt;,&lt;&gt;,="</t>
  </si>
  <si>
    <t>14. What are the best download figures for each app?</t>
  </si>
  <si>
    <t>15. What is the least downloaded app in each month?</t>
  </si>
  <si>
    <t>Minifs and Filter</t>
  </si>
  <si>
    <t>Maxifs</t>
  </si>
  <si>
    <t>Maxifs and Filter</t>
  </si>
  <si>
    <t>Max, Large,Xlookup,Index + Match</t>
  </si>
  <si>
    <t>Max and Large</t>
  </si>
  <si>
    <t>Sumifs, Max and Xlookup</t>
  </si>
  <si>
    <t>Sumifs + "*"</t>
  </si>
  <si>
    <t>Index + Match +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</si>
</sst>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ddd\,\ d\ mmmm\,\ yyyy;@"/>
    <numFmt numFmtId="165" formatCode="mmm/dd/yyyy"/>
    <numFmt numFmtId="166" formatCode="_-[$$-409]* #,##0.00_ ;_-[$$-409]* \-#,##0.00\ ;_-[$$-409]* &quot;-&quot;??_ ;_-@_ 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1"/>
      <color theme="0" tint="-4.9989318521683403E-2"/>
      <name val="Arial Black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Arial"/>
      <family val="2"/>
    </font>
    <font>
      <sz val="11"/>
      <color theme="0"/>
      <name val="Arial Black"/>
      <family val="2"/>
    </font>
    <font>
      <b/>
      <sz val="13"/>
      <color theme="0" tint="-4.9989318521683403E-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sz val="11"/>
      <name val="Arial Black"/>
      <family val="2"/>
    </font>
    <font>
      <b/>
      <sz val="14"/>
      <color theme="1"/>
      <name val="Arial Black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8"/>
      <color theme="5" tint="-0.499984740745262"/>
      <name val="Arial Black"/>
      <family val="2"/>
    </font>
    <font>
      <b/>
      <sz val="12"/>
      <color theme="5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6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0" borderId="1" xfId="0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3" fontId="6" fillId="3" borderId="1" xfId="0" applyNumberFormat="1" applyFont="1" applyFill="1" applyBorder="1" applyAlignment="1">
      <alignment vertical="center"/>
    </xf>
    <xf numFmtId="3" fontId="6" fillId="3" borderId="6" xfId="0" applyNumberFormat="1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3" fontId="6" fillId="3" borderId="8" xfId="0" applyNumberFormat="1" applyFont="1" applyFill="1" applyBorder="1" applyAlignment="1">
      <alignment vertical="center"/>
    </xf>
    <xf numFmtId="3" fontId="6" fillId="3" borderId="9" xfId="0" applyNumberFormat="1" applyFont="1" applyFill="1" applyBorder="1" applyAlignment="1">
      <alignment vertical="center"/>
    </xf>
    <xf numFmtId="0" fontId="0" fillId="5" borderId="1" xfId="0" applyFill="1" applyBorder="1"/>
    <xf numFmtId="0" fontId="0" fillId="6" borderId="1" xfId="0" applyFill="1" applyBorder="1"/>
    <xf numFmtId="0" fontId="9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/>
    </xf>
    <xf numFmtId="0" fontId="0" fillId="10" borderId="5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10" borderId="9" xfId="0" applyFill="1" applyBorder="1" applyAlignment="1">
      <alignment vertical="center"/>
    </xf>
    <xf numFmtId="0" fontId="0" fillId="12" borderId="5" xfId="0" applyFill="1" applyBorder="1" applyAlignment="1">
      <alignment vertical="center"/>
    </xf>
    <xf numFmtId="0" fontId="0" fillId="12" borderId="6" xfId="0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0" fontId="0" fillId="12" borderId="9" xfId="0" applyFill="1" applyBorder="1" applyAlignment="1">
      <alignment vertical="center"/>
    </xf>
    <xf numFmtId="0" fontId="16" fillId="11" borderId="2" xfId="0" applyFont="1" applyFill="1" applyBorder="1" applyAlignment="1">
      <alignment horizontal="center" vertical="center"/>
    </xf>
    <xf numFmtId="0" fontId="16" fillId="11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17" fillId="13" borderId="2" xfId="0" applyFont="1" applyFill="1" applyBorder="1" applyAlignment="1">
      <alignment horizontal="center" vertical="center"/>
    </xf>
    <xf numFmtId="0" fontId="17" fillId="13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8" xfId="0" applyFont="1" applyFill="1" applyBorder="1" applyAlignment="1">
      <alignment vertical="center"/>
    </xf>
    <xf numFmtId="0" fontId="3" fillId="14" borderId="6" xfId="0" applyFont="1" applyFill="1" applyBorder="1"/>
    <xf numFmtId="0" fontId="0" fillId="16" borderId="1" xfId="0" applyFill="1" applyBorder="1"/>
    <xf numFmtId="0" fontId="15" fillId="17" borderId="2" xfId="0" applyFont="1" applyFill="1" applyBorder="1" applyAlignment="1">
      <alignment horizontal="center" vertical="center"/>
    </xf>
    <xf numFmtId="0" fontId="15" fillId="17" borderId="4" xfId="0" applyFont="1" applyFill="1" applyBorder="1"/>
    <xf numFmtId="0" fontId="20" fillId="18" borderId="7" xfId="0" applyFont="1" applyFill="1" applyBorder="1"/>
    <xf numFmtId="0" fontId="12" fillId="19" borderId="9" xfId="0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 vertical="center"/>
    </xf>
    <xf numFmtId="0" fontId="9" fillId="22" borderId="1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13" fillId="25" borderId="17" xfId="0" applyFont="1" applyFill="1" applyBorder="1" applyAlignment="1">
      <alignment horizontal="center"/>
    </xf>
    <xf numFmtId="0" fontId="13" fillId="25" borderId="18" xfId="0" applyFont="1" applyFill="1" applyBorder="1"/>
    <xf numFmtId="0" fontId="13" fillId="24" borderId="1" xfId="0" applyFont="1" applyFill="1" applyBorder="1"/>
    <xf numFmtId="0" fontId="26" fillId="26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2" fillId="27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vertical="center"/>
    </xf>
    <xf numFmtId="14" fontId="0" fillId="0" borderId="1" xfId="0" applyNumberFormat="1" applyBorder="1"/>
    <xf numFmtId="0" fontId="15" fillId="28" borderId="1" xfId="0" applyFont="1" applyFill="1" applyBorder="1" applyAlignment="1">
      <alignment horizontal="center" vertical="center"/>
    </xf>
    <xf numFmtId="0" fontId="0" fillId="29" borderId="1" xfId="0" applyFill="1" applyBorder="1"/>
    <xf numFmtId="0" fontId="7" fillId="29" borderId="1" xfId="0" applyFont="1" applyFill="1" applyBorder="1" applyAlignment="1">
      <alignment vertical="center"/>
    </xf>
    <xf numFmtId="0" fontId="23" fillId="30" borderId="1" xfId="0" applyFont="1" applyFill="1" applyBorder="1" applyAlignment="1">
      <alignment horizontal="center" vertical="center"/>
    </xf>
    <xf numFmtId="0" fontId="2" fillId="20" borderId="1" xfId="0" applyFont="1" applyFill="1" applyBorder="1"/>
    <xf numFmtId="14" fontId="2" fillId="20" borderId="1" xfId="0" applyNumberFormat="1" applyFont="1" applyFill="1" applyBorder="1"/>
    <xf numFmtId="0" fontId="0" fillId="16" borderId="1" xfId="0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center"/>
    </xf>
    <xf numFmtId="0" fontId="24" fillId="11" borderId="1" xfId="0" applyFont="1" applyFill="1" applyBorder="1"/>
    <xf numFmtId="0" fontId="3" fillId="31" borderId="1" xfId="0" applyFont="1" applyFill="1" applyBorder="1"/>
    <xf numFmtId="0" fontId="0" fillId="4" borderId="1" xfId="0" applyFill="1" applyBorder="1"/>
    <xf numFmtId="0" fontId="0" fillId="14" borderId="1" xfId="0" applyFill="1" applyBorder="1"/>
    <xf numFmtId="0" fontId="0" fillId="5" borderId="1" xfId="0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vertical="center"/>
    </xf>
    <xf numFmtId="0" fontId="14" fillId="2" borderId="1" xfId="0" applyFont="1" applyFill="1" applyBorder="1"/>
    <xf numFmtId="0" fontId="0" fillId="23" borderId="1" xfId="0" applyFill="1" applyBorder="1"/>
    <xf numFmtId="0" fontId="14" fillId="28" borderId="1" xfId="0" applyFont="1" applyFill="1" applyBorder="1"/>
    <xf numFmtId="0" fontId="14" fillId="8" borderId="1" xfId="0" applyFont="1" applyFill="1" applyBorder="1"/>
    <xf numFmtId="0" fontId="14" fillId="8" borderId="18" xfId="0" applyFont="1" applyFill="1" applyBorder="1"/>
    <xf numFmtId="0" fontId="0" fillId="9" borderId="1" xfId="0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1" fontId="0" fillId="0" borderId="0" xfId="0" applyNumberFormat="1"/>
    <xf numFmtId="0" fontId="4" fillId="0" borderId="0" xfId="2"/>
    <xf numFmtId="0" fontId="0" fillId="0" borderId="17" xfId="0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24" xfId="0" applyBorder="1" applyAlignment="1">
      <alignment vertical="center"/>
    </xf>
    <xf numFmtId="164" fontId="0" fillId="0" borderId="20" xfId="0" applyNumberFormat="1" applyBorder="1" applyAlignment="1">
      <alignment vertical="center"/>
    </xf>
    <xf numFmtId="164" fontId="0" fillId="0" borderId="23" xfId="0" applyNumberForma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17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0" borderId="18" xfId="0" applyNumberFormat="1" applyBorder="1" applyAlignment="1">
      <alignment vertical="center"/>
    </xf>
    <xf numFmtId="165" fontId="0" fillId="0" borderId="1" xfId="0" applyNumberFormat="1" applyFont="1" applyBorder="1" applyAlignment="1">
      <alignment vertical="center"/>
    </xf>
    <xf numFmtId="166" fontId="0" fillId="0" borderId="0" xfId="0" applyNumberFormat="1" applyAlignment="1">
      <alignment vertical="center"/>
    </xf>
    <xf numFmtId="0" fontId="0" fillId="5" borderId="0" xfId="0" applyFill="1"/>
    <xf numFmtId="0" fontId="13" fillId="8" borderId="1" xfId="0" applyFont="1" applyFill="1" applyBorder="1"/>
    <xf numFmtId="0" fontId="14" fillId="36" borderId="1" xfId="0" applyFont="1" applyFill="1" applyBorder="1"/>
    <xf numFmtId="0" fontId="0" fillId="10" borderId="1" xfId="0" applyFill="1" applyBorder="1"/>
    <xf numFmtId="17" fontId="0" fillId="4" borderId="1" xfId="0" applyNumberFormat="1" applyFill="1" applyBorder="1"/>
    <xf numFmtId="0" fontId="29" fillId="13" borderId="1" xfId="0" applyFont="1" applyFill="1" applyBorder="1"/>
    <xf numFmtId="0" fontId="0" fillId="4" borderId="1" xfId="0" applyFill="1" applyBorder="1" applyAlignment="1">
      <alignment horizontal="center" vertical="center"/>
    </xf>
    <xf numFmtId="17" fontId="0" fillId="4" borderId="1" xfId="0" applyNumberForma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  <xf numFmtId="17" fontId="0" fillId="5" borderId="25" xfId="0" applyNumberFormat="1" applyFill="1" applyBorder="1" applyAlignment="1">
      <alignment horizontal="center" vertical="center"/>
    </xf>
    <xf numFmtId="9" fontId="0" fillId="5" borderId="1" xfId="1" applyFont="1" applyFill="1" applyBorder="1"/>
    <xf numFmtId="9" fontId="0" fillId="14" borderId="0" xfId="1" applyFont="1" applyFill="1" applyAlignment="1">
      <alignment vertical="center"/>
    </xf>
    <xf numFmtId="0" fontId="0" fillId="14" borderId="0" xfId="0" applyFill="1" applyAlignment="1">
      <alignment vertical="center"/>
    </xf>
    <xf numFmtId="0" fontId="0" fillId="38" borderId="1" xfId="0" applyFill="1" applyBorder="1"/>
    <xf numFmtId="14" fontId="0" fillId="38" borderId="1" xfId="0" applyNumberFormat="1" applyFill="1" applyBorder="1"/>
    <xf numFmtId="0" fontId="0" fillId="7" borderId="1" xfId="0" applyFill="1" applyBorder="1"/>
    <xf numFmtId="9" fontId="0" fillId="38" borderId="1" xfId="0" applyNumberFormat="1" applyFill="1" applyBorder="1"/>
    <xf numFmtId="0" fontId="0" fillId="33" borderId="1" xfId="0" applyFill="1" applyBorder="1"/>
    <xf numFmtId="0" fontId="33" fillId="33" borderId="1" xfId="0" applyFont="1" applyFill="1" applyBorder="1"/>
    <xf numFmtId="9" fontId="0" fillId="10" borderId="1" xfId="1" applyFont="1" applyFill="1" applyBorder="1"/>
    <xf numFmtId="0" fontId="22" fillId="23" borderId="13" xfId="0" applyFont="1" applyFill="1" applyBorder="1" applyAlignment="1">
      <alignment horizontal="center" vertical="center"/>
    </xf>
    <xf numFmtId="0" fontId="22" fillId="23" borderId="14" xfId="0" applyFont="1" applyFill="1" applyBorder="1" applyAlignment="1">
      <alignment horizontal="center" vertical="center"/>
    </xf>
    <xf numFmtId="0" fontId="22" fillId="23" borderId="15" xfId="0" applyFont="1" applyFill="1" applyBorder="1" applyAlignment="1">
      <alignment horizontal="center" vertical="center"/>
    </xf>
    <xf numFmtId="0" fontId="22" fillId="23" borderId="1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18" fillId="8" borderId="10" xfId="0" applyFont="1" applyFill="1" applyBorder="1" applyAlignment="1">
      <alignment horizontal="center" vertical="center"/>
    </xf>
    <xf numFmtId="0" fontId="18" fillId="8" borderId="11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1" xfId="0" applyFont="1" applyFill="1" applyBorder="1" applyAlignment="1">
      <alignment horizontal="center" vertical="center"/>
    </xf>
    <xf numFmtId="0" fontId="15" fillId="21" borderId="12" xfId="0" applyFont="1" applyFill="1" applyBorder="1" applyAlignment="1">
      <alignment horizontal="center" vertical="center"/>
    </xf>
    <xf numFmtId="0" fontId="15" fillId="21" borderId="0" xfId="0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/>
    </xf>
    <xf numFmtId="0" fontId="15" fillId="13" borderId="10" xfId="0" applyFont="1" applyFill="1" applyBorder="1" applyAlignment="1">
      <alignment horizontal="center" vertical="center"/>
    </xf>
    <xf numFmtId="0" fontId="15" fillId="13" borderId="1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1" borderId="10" xfId="0" applyFont="1" applyFill="1" applyBorder="1" applyAlignment="1">
      <alignment horizontal="center" vertical="center"/>
    </xf>
    <xf numFmtId="0" fontId="15" fillId="21" borderId="11" xfId="0" applyFont="1" applyFill="1" applyBorder="1" applyAlignment="1">
      <alignment horizontal="center" vertical="center"/>
    </xf>
    <xf numFmtId="0" fontId="8" fillId="25" borderId="0" xfId="0" applyFont="1" applyFill="1" applyAlignment="1">
      <alignment horizontal="center"/>
    </xf>
    <xf numFmtId="0" fontId="8" fillId="21" borderId="0" xfId="0" applyFont="1" applyFill="1" applyAlignment="1">
      <alignment horizontal="center"/>
    </xf>
    <xf numFmtId="0" fontId="8" fillId="32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7" fillId="17" borderId="19" xfId="0" applyFont="1" applyFill="1" applyBorder="1" applyAlignment="1">
      <alignment horizontal="center"/>
    </xf>
    <xf numFmtId="0" fontId="27" fillId="17" borderId="0" xfId="0" applyFont="1" applyFill="1" applyBorder="1" applyAlignment="1">
      <alignment horizontal="center"/>
    </xf>
    <xf numFmtId="0" fontId="28" fillId="15" borderId="0" xfId="0" applyFont="1" applyFill="1" applyAlignment="1">
      <alignment horizontal="center" vertical="center"/>
    </xf>
    <xf numFmtId="0" fontId="11" fillId="34" borderId="1" xfId="0" applyFont="1" applyFill="1" applyBorder="1" applyAlignment="1">
      <alignment horizontal="center" vertical="center"/>
    </xf>
    <xf numFmtId="0" fontId="30" fillId="35" borderId="0" xfId="0" applyFont="1" applyFill="1" applyBorder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0" fontId="15" fillId="11" borderId="10" xfId="0" applyFont="1" applyFill="1" applyBorder="1" applyAlignment="1">
      <alignment horizontal="center" vertical="center"/>
    </xf>
    <xf numFmtId="0" fontId="15" fillId="11" borderId="1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33" fillId="37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Hyperlink" xfId="2" builtinId="8"/>
    <cellStyle name="Normal" xfId="0" builtinId="0"/>
    <cellStyle name="Percent" xfId="1" builtinId="5"/>
  </cellStyles>
  <dxfs count="62">
    <dxf>
      <numFmt numFmtId="166" formatCode="_-[$$-409]* #,##0.00_ ;_-[$$-409]* \-#,##0.00\ ;_-[$$-409]* &quot;-&quot;??_ ;_-@_ "/>
      <alignment horizontal="general" vertical="center" textRotation="0" wrapText="0" indent="0" justifyLastLine="0" shrinkToFit="0" readingOrder="0"/>
    </dxf>
    <dxf>
      <numFmt numFmtId="166" formatCode="_-[$$-409]* #,##0.00_ ;_-[$$-409]* \-#,##0.00\ ;_-[$$-409]* &quot;-&quot;??_ ;_-@_ "/>
      <alignment horizontal="general" vertical="center" textRotation="0" wrapText="0" indent="0" justifyLastLine="0" shrinkToFit="0" readingOrder="0"/>
    </dxf>
    <dxf>
      <numFmt numFmtId="166" formatCode="_-[$$-409]* #,##0.00_ ;_-[$$-409]* \-#,##0.00\ ;_-[$$-409]* &quot;-&quot;??_ ;_-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mmm/dd/yyyy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  <alignment horizontal="general" vertical="center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2" formatCode="mmm/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" formatCode="#,##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" formatCode="0"/>
    </dxf>
    <dxf>
      <numFmt numFmtId="19" formatCode="dd/mm/yyyy"/>
    </dxf>
    <dxf>
      <numFmt numFmtId="3" formatCode="#,##0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[$-14009]dddd\,\ d\ mmmm\,\ yyyy;@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3" formatCode="#,##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3" formatCode="#,##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F6839-6C27-4BD9-A8F2-39329E4A9FC4}" name="Sales" displayName="Sales" ref="B30:E50" totalsRowShown="0" headerRowBorderDxfId="61" tableBorderDxfId="60" totalsRowBorderDxfId="59">
  <autoFilter ref="B30:E50" xr:uid="{275F6839-6C27-4BD9-A8F2-39329E4A9FC4}">
    <filterColumn colId="0" hiddenButton="1"/>
    <filterColumn colId="1" hiddenButton="1"/>
    <filterColumn colId="2" hiddenButton="1"/>
    <filterColumn colId="3" hiddenButton="1"/>
  </autoFilter>
  <tableColumns count="4">
    <tableColumn id="1" xr3:uid="{0E280520-7358-4402-BD3F-9ACC3CB3EAE1}" name="Sales Person" dataDxfId="58"/>
    <tableColumn id="2" xr3:uid="{957B30BF-E6B4-4E47-A028-9F73BA641B0F}" name="No. Customers" dataDxfId="57"/>
    <tableColumn id="3" xr3:uid="{CF337093-8C11-44AD-B151-83F635B18D6B}" name="Net Sales" dataDxfId="56"/>
    <tableColumn id="4" xr3:uid="{1EFD2875-2B53-4EBB-BE21-7ECABA1DCC32}" name="Profit / Loss" dataDxfId="5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92F602-01E7-44AE-9289-41EA6513CE65}" name="Locations_A" displayName="Locations_A" ref="B54:C79" totalsRowShown="0" headerRowDxfId="54" headerRowBorderDxfId="53" tableBorderDxfId="52" totalsRowBorderDxfId="51">
  <autoFilter ref="B54:C79" xr:uid="{5292F602-01E7-44AE-9289-41EA6513CE65}"/>
  <tableColumns count="2">
    <tableColumn id="1" xr3:uid="{82E46CF7-7E65-4B46-B3B7-3E89157FA3CD}" name="Date" dataDxfId="50"/>
    <tableColumn id="2" xr3:uid="{8E1967A4-9BB8-442B-AA12-9EC915316E22}" name="Location" dataDxfId="4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068450-C29C-4736-A524-5ED3BECFDAE5}" name="Employees" displayName="Employees" ref="B2:G32" totalsRowShown="0" headerRowDxfId="48" dataDxfId="47">
  <autoFilter ref="B2:G32" xr:uid="{F6068450-C29C-4736-A524-5ED3BECFDAE5}"/>
  <tableColumns count="6">
    <tableColumn id="1" xr3:uid="{A3CCA1B5-6201-4B02-BD2E-E8A867322EFF}" name="Name" dataDxfId="46"/>
    <tableColumn id="2" xr3:uid="{F9D2922D-3378-4A40-A91D-3433D44D0592}" name="Gender" dataDxfId="45"/>
    <tableColumn id="3" xr3:uid="{A9A2AD9D-3442-479D-A730-CC480520E60F}" name="Department" dataDxfId="44"/>
    <tableColumn id="4" xr3:uid="{3589B873-9E20-47A3-892B-FA9DF20AC28E}" name="Date of Birth" dataDxfId="43"/>
    <tableColumn id="5" xr3:uid="{471EAA1B-5C04-4147-A3B6-88989E58ED81}" name="Start Date" dataDxfId="42"/>
    <tableColumn id="6" xr3:uid="{B6B930B5-4AA8-49FD-91C5-03871035624A}" name="Salary" dataDxfId="4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90A750-0996-4C5E-B8B6-0BC7127692FC}" name="Company_A" displayName="Company_A" ref="B2:F32" totalsRowShown="0">
  <autoFilter ref="B2:F32" xr:uid="{AE90A750-0996-4C5E-B8B6-0BC7127692F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EA86CA2-5A61-4BFA-9EAC-D92572AFE670}" name="Name"/>
    <tableColumn id="2" xr3:uid="{DC96D187-F209-4121-AAA4-4E74F5B4A15C}" name="Gender"/>
    <tableColumn id="3" xr3:uid="{3C72AFC3-FD62-4816-B9EA-3411018BF5A9}" name="Department"/>
    <tableColumn id="4" xr3:uid="{7CE0D89F-B9EE-4F8A-86D9-7EFC45ED5B7A}" name="Start Date" dataDxfId="40"/>
    <tableColumn id="5" xr3:uid="{470B1044-62A0-426A-9CFB-39810712E07C}" name="Salary" dataDxfId="3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E8B544-BF1F-410F-A3A2-20F797DDD3C9}" name="Sales_A" displayName="Sales_A" ref="B39:F89" totalsRowShown="0" headerRowDxfId="38" dataDxfId="37">
  <autoFilter ref="B39:F89" xr:uid="{6BE8B544-BF1F-410F-A3A2-20F797DDD3C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0412557-35BE-4D6C-83C4-850E2AEB9A52}" name="Sales Person" dataDxfId="36"/>
    <tableColumn id="2" xr3:uid="{E6526616-0C5F-4E3E-AC6E-B6B80E9D72F1}" name="Country" dataDxfId="35"/>
    <tableColumn id="3" xr3:uid="{050B362D-DC7A-49B9-9BBB-16FB6B34042F}" name="Product" dataDxfId="34"/>
    <tableColumn id="4" xr3:uid="{D85D36C0-34C3-406A-A899-7A1F72805E86}" name="Amount" dataDxfId="33"/>
    <tableColumn id="5" xr3:uid="{2F37D13D-8E90-497B-9C4C-84050BAC8CF3}" name="Units" dataDxfId="3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F8AC2A-FB14-44B8-9598-35AE437CBFB1}" name="Employees_A" displayName="Employees_A" ref="B5:H25" totalsRowShown="0" headerRowDxfId="31" dataDxfId="30">
  <autoFilter ref="B5:H25" xr:uid="{AAF8AC2A-FB14-44B8-9598-35AE437CBF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529C196-9209-4C42-B8FC-62FD8F04ABAA}" name="Name" dataDxfId="29"/>
    <tableColumn id="2" xr3:uid="{678271B9-CA5F-4EA3-823D-D18188911F58}" name="Gender" dataDxfId="28"/>
    <tableColumn id="3" xr3:uid="{6F90CAA0-B0FE-4EF8-BD00-2D9D652BF38E}" name="Department" dataDxfId="27"/>
    <tableColumn id="4" xr3:uid="{A2351E9F-3F88-4D46-85E0-341F54093F1D}" name="Date Joined" dataDxfId="26"/>
    <tableColumn id="5" xr3:uid="{3C653142-372E-47C8-A99D-EC32260D9DBD}" name="Salary" dataDxfId="25"/>
    <tableColumn id="6" xr3:uid="{96743AB9-2015-4CE8-851A-9774D1847270}" name="Bonus" dataDxfId="24" dataCellStyle="Percent">
      <calculatedColumnFormula>INDEX($M$3:$M$8,MATCH(Employees_A[[#This Row],[Department]],$N$3:$N$8,0))</calculatedColumnFormula>
    </tableColumn>
    <tableColumn id="7" xr3:uid="{57242CB7-9583-4ECE-A547-5F5639E71C45}" name="Emil ID" dataDxfId="23">
      <calculatedColumnFormula array="1">INDEX($Q$2:$Q$41,MATCH(Employees_A[[#This Row],[Name]],$Q$2:$Q$41,0)+1)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D00C57-F8DE-41D0-BB72-A6D6AFA24DBD}" name="App_download" displayName="App_download" ref="B2:H76" totalsRowShown="0" headerRowDxfId="22" dataDxfId="21">
  <autoFilter ref="B2:H76" xr:uid="{4AD00C57-F8DE-41D0-BB72-A6D6AFA24DB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E46A228-C74B-4B8A-8F60-5A90BBE4C521}" name="Month" dataDxfId="20"/>
    <tableColumn id="2" xr3:uid="{413F0D7B-E7AD-428B-9759-1F2509BE9D06}" name="App Name" dataDxfId="19"/>
    <tableColumn id="3" xr3:uid="{B67BBD2A-B6A9-4A78-A72A-780A6E03A466}" name="Downloads" dataDxfId="18"/>
    <tableColumn id="4" xr3:uid="{75B9B40F-56F9-49D2-9E41-99988FE09266}" name="Uninstalls" dataDxfId="17"/>
    <tableColumn id="5" xr3:uid="{3E752FC1-3362-4CF8-95D3-CA9301D25622}" name="5 Star Ratings" dataDxfId="16"/>
    <tableColumn id="6" xr3:uid="{F2FD984F-D1B5-4D4E-86A6-90C93AB9EB30}" name="1 Star Ratings" dataDxfId="15"/>
    <tableColumn id="7" xr3:uid="{633C7369-4D9E-454B-9987-B347755FE27B}" name="Total Ratings" dataDxfId="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73E8F7-08A0-4D9F-B40C-2B7E4D863861}" name="Products_A" displayName="Products_A" ref="B3:D28" totalsRowShown="0" headerRowDxfId="13" headerRowBorderDxfId="12" tableBorderDxfId="11" totalsRowBorderDxfId="10">
  <autoFilter ref="B3:D28" xr:uid="{6373E8F7-08A0-4D9F-B40C-2B7E4D863861}"/>
  <tableColumns count="3">
    <tableColumn id="1" xr3:uid="{69FCF18B-671D-49F7-AEBF-90E153921F76}" name="Product" dataDxfId="9"/>
    <tableColumn id="2" xr3:uid="{CC3E48C1-92C6-46A6-9F36-7EEA993072FB}" name="Effective Date" dataDxfId="8"/>
    <tableColumn id="3" xr3:uid="{F5997BE9-543A-4CE5-9C4B-7D8F3142B4F4}" name="Price per Box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9B7AE81-FA90-443D-B26D-4967C5C0B750}" name="Menu" displayName="Menu" ref="B3:F19" totalsRowShown="0" headerRowDxfId="6" dataDxfId="5">
  <autoFilter ref="B3:F19" xr:uid="{D9B7AE81-FA90-443D-B26D-4967C5C0B75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CB5D7F6-B71C-44AD-973C-5D110C335730}" name="Name" dataDxfId="4"/>
    <tableColumn id="2" xr3:uid="{04A09A6A-C421-4C07-91B0-986937CB87D0}" name="Calories" dataDxfId="3"/>
    <tableColumn id="3" xr3:uid="{404A0F8F-BD2E-4398-96DF-EE7A05BCB569}" name="Price" dataDxfId="2"/>
    <tableColumn id="4" xr3:uid="{28B6840C-BC1F-4ACE-B2D8-2AA5C1F59C7A}" name="with Coffee" dataDxfId="1"/>
    <tableColumn id="5" xr3:uid="{0ECB46B6-2597-44F5-B8A1-7A9160461ED6}" name="x12 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8"/>
  <sheetViews>
    <sheetView showGridLines="0" zoomScaleNormal="100" workbookViewId="0">
      <selection activeCell="I58" sqref="I58"/>
    </sheetView>
  </sheetViews>
  <sheetFormatPr defaultRowHeight="14.4" x14ac:dyDescent="0.3"/>
  <cols>
    <col min="2" max="2" width="25.21875" bestFit="1" customWidth="1"/>
    <col min="3" max="3" width="16.5546875" customWidth="1"/>
    <col min="4" max="4" width="11.44140625" customWidth="1"/>
    <col min="5" max="5" width="14.109375" customWidth="1"/>
    <col min="7" max="7" width="21.77734375" customWidth="1"/>
    <col min="8" max="8" width="20.109375" customWidth="1"/>
    <col min="9" max="9" width="22.5546875" bestFit="1" customWidth="1"/>
    <col min="10" max="10" width="12.21875" bestFit="1" customWidth="1"/>
    <col min="11" max="11" width="14.109375" bestFit="1" customWidth="1"/>
  </cols>
  <sheetData>
    <row r="1" spans="2:11" ht="15" thickBot="1" x14ac:dyDescent="0.35"/>
    <row r="2" spans="2:11" ht="15.6" x14ac:dyDescent="0.3">
      <c r="B2" s="5" t="s">
        <v>0</v>
      </c>
      <c r="C2" s="6" t="s">
        <v>1</v>
      </c>
      <c r="D2" s="6" t="s">
        <v>2</v>
      </c>
      <c r="E2" s="7" t="s">
        <v>3</v>
      </c>
      <c r="I2" s="128" t="s">
        <v>80</v>
      </c>
      <c r="J2" s="129"/>
    </row>
    <row r="3" spans="2:11" ht="15" thickBot="1" x14ac:dyDescent="0.35">
      <c r="B3" s="8" t="s">
        <v>4</v>
      </c>
      <c r="C3" s="9">
        <v>12</v>
      </c>
      <c r="D3" s="10">
        <v>45000</v>
      </c>
      <c r="E3" s="11">
        <v>5200</v>
      </c>
      <c r="I3" s="130"/>
      <c r="J3" s="131"/>
    </row>
    <row r="4" spans="2:11" x14ac:dyDescent="0.3">
      <c r="B4" s="8" t="s">
        <v>5</v>
      </c>
      <c r="C4" s="9">
        <v>18</v>
      </c>
      <c r="D4" s="10">
        <v>62000</v>
      </c>
      <c r="E4" s="11">
        <v>8500</v>
      </c>
    </row>
    <row r="5" spans="2:11" ht="17.399999999999999" x14ac:dyDescent="0.3">
      <c r="B5" s="8" t="s">
        <v>6</v>
      </c>
      <c r="C5" s="9">
        <v>9</v>
      </c>
      <c r="D5" s="10">
        <v>28500</v>
      </c>
      <c r="E5" s="11">
        <v>3200</v>
      </c>
      <c r="H5" s="19" t="s">
        <v>0</v>
      </c>
      <c r="I5" s="19" t="s">
        <v>1</v>
      </c>
      <c r="J5" s="19" t="s">
        <v>2</v>
      </c>
      <c r="K5" s="19" t="s">
        <v>3</v>
      </c>
    </row>
    <row r="6" spans="2:11" ht="15" x14ac:dyDescent="0.3">
      <c r="B6" s="8" t="s">
        <v>7</v>
      </c>
      <c r="C6" s="9">
        <v>15</v>
      </c>
      <c r="D6" s="10">
        <v>51200</v>
      </c>
      <c r="E6" s="11">
        <v>6800</v>
      </c>
      <c r="H6" s="20" t="s">
        <v>5</v>
      </c>
      <c r="I6" s="18">
        <f>VLOOKUP($H$6,$B$3:$E$22,2,0)</f>
        <v>18</v>
      </c>
      <c r="J6" s="18">
        <f>VLOOKUP($H$6,$B$3:$E$22,3,0)</f>
        <v>62000</v>
      </c>
      <c r="K6" s="18">
        <f>VLOOKUP($H$6,$B$3:$E$22,4,0)</f>
        <v>8500</v>
      </c>
    </row>
    <row r="7" spans="2:11" x14ac:dyDescent="0.3">
      <c r="B7" s="8" t="s">
        <v>8</v>
      </c>
      <c r="C7" s="9">
        <v>7</v>
      </c>
      <c r="D7" s="10">
        <v>19800</v>
      </c>
      <c r="E7" s="11">
        <v>-1500</v>
      </c>
    </row>
    <row r="8" spans="2:11" x14ac:dyDescent="0.3">
      <c r="B8" s="8" t="s">
        <v>9</v>
      </c>
      <c r="C8" s="9">
        <v>22</v>
      </c>
      <c r="D8" s="10">
        <v>75000</v>
      </c>
      <c r="E8" s="11">
        <v>10200</v>
      </c>
    </row>
    <row r="9" spans="2:11" x14ac:dyDescent="0.3">
      <c r="B9" s="8" t="s">
        <v>10</v>
      </c>
      <c r="C9" s="9">
        <v>10</v>
      </c>
      <c r="D9" s="10">
        <v>32000</v>
      </c>
      <c r="E9" s="11">
        <v>4100</v>
      </c>
    </row>
    <row r="10" spans="2:11" x14ac:dyDescent="0.3">
      <c r="B10" s="8" t="s">
        <v>11</v>
      </c>
      <c r="C10" s="9">
        <v>14</v>
      </c>
      <c r="D10" s="10">
        <v>48500</v>
      </c>
      <c r="E10" s="11">
        <v>5900</v>
      </c>
    </row>
    <row r="11" spans="2:11" x14ac:dyDescent="0.3">
      <c r="B11" s="8" t="s">
        <v>12</v>
      </c>
      <c r="C11" s="9">
        <v>8</v>
      </c>
      <c r="D11" s="10">
        <v>24000</v>
      </c>
      <c r="E11" s="11">
        <v>2800</v>
      </c>
    </row>
    <row r="12" spans="2:11" x14ac:dyDescent="0.3">
      <c r="B12" s="8" t="s">
        <v>13</v>
      </c>
      <c r="C12" s="9">
        <v>20</v>
      </c>
      <c r="D12" s="10">
        <v>68000</v>
      </c>
      <c r="E12" s="11">
        <v>7600</v>
      </c>
    </row>
    <row r="13" spans="2:11" x14ac:dyDescent="0.3">
      <c r="B13" s="8" t="s">
        <v>14</v>
      </c>
      <c r="C13" s="9">
        <v>11</v>
      </c>
      <c r="D13" s="10">
        <v>36500</v>
      </c>
      <c r="E13" s="11">
        <v>4700</v>
      </c>
    </row>
    <row r="14" spans="2:11" x14ac:dyDescent="0.3">
      <c r="B14" s="8" t="s">
        <v>15</v>
      </c>
      <c r="C14" s="9">
        <v>16</v>
      </c>
      <c r="D14" s="10">
        <v>54800</v>
      </c>
      <c r="E14" s="11">
        <v>6200</v>
      </c>
    </row>
    <row r="15" spans="2:11" x14ac:dyDescent="0.3">
      <c r="B15" s="8" t="s">
        <v>16</v>
      </c>
      <c r="C15" s="9">
        <v>9</v>
      </c>
      <c r="D15" s="10">
        <v>27200</v>
      </c>
      <c r="E15" s="11">
        <v>3000</v>
      </c>
    </row>
    <row r="16" spans="2:11" x14ac:dyDescent="0.3">
      <c r="B16" s="8" t="s">
        <v>17</v>
      </c>
      <c r="C16" s="9">
        <v>13</v>
      </c>
      <c r="D16" s="10">
        <v>41000</v>
      </c>
      <c r="E16" s="11">
        <v>5300</v>
      </c>
    </row>
    <row r="17" spans="2:11" x14ac:dyDescent="0.3">
      <c r="B17" s="8" t="s">
        <v>18</v>
      </c>
      <c r="C17" s="9">
        <v>7</v>
      </c>
      <c r="D17" s="10">
        <v>21500</v>
      </c>
      <c r="E17" s="12">
        <v>-800</v>
      </c>
    </row>
    <row r="18" spans="2:11" x14ac:dyDescent="0.3">
      <c r="B18" s="8" t="s">
        <v>19</v>
      </c>
      <c r="C18" s="9">
        <v>18</v>
      </c>
      <c r="D18" s="10">
        <v>63400</v>
      </c>
      <c r="E18" s="11">
        <v>8100</v>
      </c>
    </row>
    <row r="19" spans="2:11" x14ac:dyDescent="0.3">
      <c r="B19" s="8" t="s">
        <v>20</v>
      </c>
      <c r="C19" s="9">
        <v>12</v>
      </c>
      <c r="D19" s="10">
        <v>39600</v>
      </c>
      <c r="E19" s="11">
        <v>4400</v>
      </c>
    </row>
    <row r="20" spans="2:11" x14ac:dyDescent="0.3">
      <c r="B20" s="8" t="s">
        <v>21</v>
      </c>
      <c r="C20" s="9">
        <v>15</v>
      </c>
      <c r="D20" s="10">
        <v>52700</v>
      </c>
      <c r="E20" s="11">
        <v>6700</v>
      </c>
    </row>
    <row r="21" spans="2:11" x14ac:dyDescent="0.3">
      <c r="B21" s="8" t="s">
        <v>22</v>
      </c>
      <c r="C21" s="9">
        <v>10</v>
      </c>
      <c r="D21" s="10">
        <v>30800</v>
      </c>
      <c r="E21" s="11">
        <v>3900</v>
      </c>
    </row>
    <row r="22" spans="2:11" ht="15" thickBot="1" x14ac:dyDescent="0.35">
      <c r="B22" s="13" t="s">
        <v>23</v>
      </c>
      <c r="C22" s="14">
        <v>21</v>
      </c>
      <c r="D22" s="15">
        <v>72500</v>
      </c>
      <c r="E22" s="16">
        <v>9500</v>
      </c>
    </row>
    <row r="27" spans="2:11" ht="15" thickBot="1" x14ac:dyDescent="0.35"/>
    <row r="28" spans="2:11" x14ac:dyDescent="0.3">
      <c r="I28" s="128" t="s">
        <v>78</v>
      </c>
      <c r="J28" s="129"/>
    </row>
    <row r="29" spans="2:11" ht="15" thickBot="1" x14ac:dyDescent="0.35">
      <c r="I29" s="130"/>
      <c r="J29" s="131"/>
    </row>
    <row r="30" spans="2:11" x14ac:dyDescent="0.3">
      <c r="B30" t="s">
        <v>0</v>
      </c>
      <c r="C30" t="s">
        <v>1</v>
      </c>
      <c r="D30" t="s">
        <v>2</v>
      </c>
      <c r="E30" t="s">
        <v>3</v>
      </c>
    </row>
    <row r="31" spans="2:11" ht="17.399999999999999" x14ac:dyDescent="0.3">
      <c r="B31" t="s">
        <v>4</v>
      </c>
      <c r="C31">
        <v>12</v>
      </c>
      <c r="D31">
        <v>45000</v>
      </c>
      <c r="E31">
        <v>5200</v>
      </c>
      <c r="H31" s="46" t="s">
        <v>0</v>
      </c>
      <c r="I31" s="46" t="s">
        <v>1</v>
      </c>
      <c r="J31" s="46" t="s">
        <v>2</v>
      </c>
      <c r="K31" s="46" t="s">
        <v>3</v>
      </c>
    </row>
    <row r="32" spans="2:11" ht="15" x14ac:dyDescent="0.3">
      <c r="B32" t="s">
        <v>5</v>
      </c>
      <c r="C32">
        <v>18</v>
      </c>
      <c r="D32">
        <v>62000</v>
      </c>
      <c r="E32">
        <v>8500</v>
      </c>
      <c r="H32" s="20" t="s">
        <v>12</v>
      </c>
      <c r="I32" s="40">
        <f>VLOOKUP($H$32,Sales[],MATCH(I$31,Sales[#Headers],0),0)</f>
        <v>8</v>
      </c>
      <c r="J32" s="40">
        <f>VLOOKUP($H$32,Sales[],MATCH(J$31,Sales[#Headers],0),0)</f>
        <v>24000</v>
      </c>
      <c r="K32" s="40">
        <f>VLOOKUP($H$32,Sales[],MATCH(K$31,Sales[#Headers],0),0)</f>
        <v>2800</v>
      </c>
    </row>
    <row r="33" spans="2:10" x14ac:dyDescent="0.3">
      <c r="B33" t="s">
        <v>6</v>
      </c>
      <c r="C33">
        <v>9</v>
      </c>
      <c r="D33">
        <v>28500</v>
      </c>
      <c r="E33">
        <v>3200</v>
      </c>
    </row>
    <row r="34" spans="2:10" x14ac:dyDescent="0.3">
      <c r="B34" t="s">
        <v>7</v>
      </c>
      <c r="C34">
        <v>15</v>
      </c>
      <c r="D34">
        <v>51200</v>
      </c>
      <c r="E34">
        <v>6800</v>
      </c>
    </row>
    <row r="35" spans="2:10" x14ac:dyDescent="0.3">
      <c r="B35" t="s">
        <v>8</v>
      </c>
      <c r="C35">
        <v>7</v>
      </c>
      <c r="D35">
        <v>19800</v>
      </c>
      <c r="E35">
        <v>-1500</v>
      </c>
    </row>
    <row r="36" spans="2:10" ht="15" thickBot="1" x14ac:dyDescent="0.35">
      <c r="B36" t="s">
        <v>9</v>
      </c>
      <c r="C36">
        <v>22</v>
      </c>
      <c r="D36">
        <v>75000</v>
      </c>
      <c r="E36">
        <v>10200</v>
      </c>
    </row>
    <row r="37" spans="2:10" x14ac:dyDescent="0.3">
      <c r="B37" t="s">
        <v>10</v>
      </c>
      <c r="C37">
        <v>10</v>
      </c>
      <c r="D37">
        <v>32000</v>
      </c>
      <c r="E37">
        <v>4100</v>
      </c>
      <c r="I37" s="128" t="s">
        <v>79</v>
      </c>
      <c r="J37" s="129"/>
    </row>
    <row r="38" spans="2:10" ht="15" thickBot="1" x14ac:dyDescent="0.35">
      <c r="B38" t="s">
        <v>11</v>
      </c>
      <c r="C38">
        <v>14</v>
      </c>
      <c r="D38">
        <v>48500</v>
      </c>
      <c r="E38">
        <v>5900</v>
      </c>
      <c r="I38" s="130"/>
      <c r="J38" s="131"/>
    </row>
    <row r="39" spans="2:10" x14ac:dyDescent="0.3">
      <c r="B39" t="s">
        <v>12</v>
      </c>
      <c r="C39">
        <v>8</v>
      </c>
      <c r="D39">
        <v>24000</v>
      </c>
      <c r="E39">
        <v>2800</v>
      </c>
    </row>
    <row r="40" spans="2:10" ht="15" thickBot="1" x14ac:dyDescent="0.35">
      <c r="B40" t="s">
        <v>13</v>
      </c>
      <c r="C40">
        <v>20</v>
      </c>
      <c r="D40">
        <v>68000</v>
      </c>
      <c r="E40">
        <v>7600</v>
      </c>
    </row>
    <row r="41" spans="2:10" ht="15.6" x14ac:dyDescent="0.3">
      <c r="B41" t="s">
        <v>14</v>
      </c>
      <c r="C41">
        <v>11</v>
      </c>
      <c r="D41">
        <v>36500</v>
      </c>
      <c r="E41">
        <v>4700</v>
      </c>
      <c r="H41" s="50" t="s">
        <v>1</v>
      </c>
      <c r="I41" s="51" t="s">
        <v>2</v>
      </c>
      <c r="J41" s="52" t="s">
        <v>3</v>
      </c>
    </row>
    <row r="42" spans="2:10" ht="15.6" x14ac:dyDescent="0.3">
      <c r="B42" t="s">
        <v>15</v>
      </c>
      <c r="C42">
        <v>16</v>
      </c>
      <c r="D42">
        <v>54800</v>
      </c>
      <c r="E42">
        <v>6200</v>
      </c>
      <c r="H42" s="47">
        <v>18</v>
      </c>
      <c r="I42" s="48">
        <v>28500</v>
      </c>
      <c r="J42" s="49">
        <v>-1500</v>
      </c>
    </row>
    <row r="43" spans="2:10" ht="15" thickBot="1" x14ac:dyDescent="0.35">
      <c r="B43" t="s">
        <v>16</v>
      </c>
      <c r="C43">
        <v>9</v>
      </c>
      <c r="D43">
        <v>27200</v>
      </c>
      <c r="E43">
        <v>3000</v>
      </c>
      <c r="H43" s="53" t="str">
        <f>INDEX(Sales[Sales Person],MATCH(H42,Sales[No. Customers],0))</f>
        <v>Rohan</v>
      </c>
      <c r="I43" s="54" t="str">
        <f>INDEX(Sales[Sales Person],MATCH(I42,Sales[Net Sales],0))</f>
        <v>Neha</v>
      </c>
      <c r="J43" s="55" t="str">
        <f>INDEX(Sales[Sales Person],MATCH(J42,Sales[Profit / Loss],0))</f>
        <v>Kavita</v>
      </c>
    </row>
    <row r="44" spans="2:10" x14ac:dyDescent="0.3">
      <c r="B44" t="s">
        <v>17</v>
      </c>
      <c r="C44">
        <v>13</v>
      </c>
      <c r="D44">
        <v>41000</v>
      </c>
      <c r="E44">
        <v>5300</v>
      </c>
    </row>
    <row r="45" spans="2:10" x14ac:dyDescent="0.3">
      <c r="B45" t="s">
        <v>18</v>
      </c>
      <c r="C45">
        <v>7</v>
      </c>
      <c r="D45">
        <v>21500</v>
      </c>
      <c r="E45">
        <v>-800</v>
      </c>
    </row>
    <row r="46" spans="2:10" x14ac:dyDescent="0.3">
      <c r="B46" t="s">
        <v>19</v>
      </c>
      <c r="C46">
        <v>18</v>
      </c>
      <c r="D46">
        <v>63400</v>
      </c>
      <c r="E46">
        <v>8100</v>
      </c>
    </row>
    <row r="47" spans="2:10" x14ac:dyDescent="0.3">
      <c r="B47" t="s">
        <v>20</v>
      </c>
      <c r="C47">
        <v>12</v>
      </c>
      <c r="D47">
        <v>39600</v>
      </c>
      <c r="E47">
        <v>4400</v>
      </c>
    </row>
    <row r="48" spans="2:10" x14ac:dyDescent="0.3">
      <c r="B48" t="s">
        <v>21</v>
      </c>
      <c r="C48">
        <v>15</v>
      </c>
      <c r="D48">
        <v>52700</v>
      </c>
      <c r="E48">
        <v>6700</v>
      </c>
    </row>
    <row r="49" spans="2:13" x14ac:dyDescent="0.3">
      <c r="B49" t="s">
        <v>22</v>
      </c>
      <c r="C49">
        <v>10</v>
      </c>
      <c r="D49">
        <v>30800</v>
      </c>
      <c r="E49">
        <v>3900</v>
      </c>
    </row>
    <row r="50" spans="2:13" x14ac:dyDescent="0.3">
      <c r="B50" t="s">
        <v>23</v>
      </c>
      <c r="C50">
        <v>21</v>
      </c>
      <c r="D50">
        <v>72500</v>
      </c>
      <c r="E50">
        <v>9500</v>
      </c>
    </row>
    <row r="53" spans="2:13" ht="15" thickBot="1" x14ac:dyDescent="0.35"/>
    <row r="54" spans="2:13" x14ac:dyDescent="0.3">
      <c r="B54" s="90" t="s">
        <v>208</v>
      </c>
      <c r="C54" s="91" t="s">
        <v>209</v>
      </c>
      <c r="F54" s="128" t="s">
        <v>416</v>
      </c>
      <c r="G54" s="129"/>
      <c r="I54" s="63"/>
    </row>
    <row r="55" spans="2:13" ht="15" thickBot="1" x14ac:dyDescent="0.35">
      <c r="B55" s="93">
        <v>45658</v>
      </c>
      <c r="C55" s="89" t="s">
        <v>210</v>
      </c>
      <c r="F55" s="130"/>
      <c r="G55" s="131"/>
      <c r="K55" s="63"/>
    </row>
    <row r="56" spans="2:13" x14ac:dyDescent="0.3">
      <c r="B56" s="93">
        <v>45659</v>
      </c>
      <c r="C56" s="89" t="s">
        <v>211</v>
      </c>
    </row>
    <row r="57" spans="2:13" x14ac:dyDescent="0.3">
      <c r="B57" s="93">
        <v>45660</v>
      </c>
      <c r="C57" s="89" t="s">
        <v>212</v>
      </c>
      <c r="F57" s="4" t="s">
        <v>208</v>
      </c>
      <c r="G57" s="4">
        <v>20</v>
      </c>
    </row>
    <row r="58" spans="2:13" x14ac:dyDescent="0.3">
      <c r="B58" s="93">
        <v>45661</v>
      </c>
      <c r="C58" s="89" t="s">
        <v>210</v>
      </c>
      <c r="F58" s="4" t="s">
        <v>213</v>
      </c>
      <c r="G58" s="4" t="str">
        <f>VLOOKUP(DATE(2025,1,G57),Locations_A[],2,0)</f>
        <v>Delhi</v>
      </c>
    </row>
    <row r="59" spans="2:13" x14ac:dyDescent="0.3">
      <c r="B59" s="93">
        <v>45662</v>
      </c>
      <c r="C59" s="89" t="s">
        <v>211</v>
      </c>
    </row>
    <row r="60" spans="2:13" ht="15" thickBot="1" x14ac:dyDescent="0.35">
      <c r="B60" s="93">
        <v>45663</v>
      </c>
      <c r="C60" s="89" t="s">
        <v>212</v>
      </c>
    </row>
    <row r="61" spans="2:13" x14ac:dyDescent="0.3">
      <c r="B61" s="93">
        <v>45664</v>
      </c>
      <c r="C61" s="89" t="s">
        <v>210</v>
      </c>
      <c r="F61" s="128" t="s">
        <v>79</v>
      </c>
      <c r="G61" s="129"/>
      <c r="L61" s="1"/>
      <c r="M61" s="1"/>
    </row>
    <row r="62" spans="2:13" ht="14.4" customHeight="1" thickBot="1" x14ac:dyDescent="0.35">
      <c r="B62" s="93">
        <v>45665</v>
      </c>
      <c r="C62" s="89" t="s">
        <v>211</v>
      </c>
      <c r="F62" s="130"/>
      <c r="G62" s="131"/>
      <c r="L62" s="64"/>
      <c r="M62" s="2"/>
    </row>
    <row r="63" spans="2:13" x14ac:dyDescent="0.3">
      <c r="B63" s="93">
        <v>45666</v>
      </c>
      <c r="C63" s="89" t="s">
        <v>212</v>
      </c>
      <c r="H63" s="1"/>
      <c r="I63" s="1"/>
      <c r="L63" s="64"/>
      <c r="M63" s="2"/>
    </row>
    <row r="64" spans="2:13" x14ac:dyDescent="0.3">
      <c r="B64" s="93">
        <v>45667</v>
      </c>
      <c r="C64" s="89" t="s">
        <v>210</v>
      </c>
      <c r="F64" s="4" t="s">
        <v>209</v>
      </c>
      <c r="G64" s="4" t="s">
        <v>211</v>
      </c>
      <c r="H64" s="64"/>
      <c r="L64" s="64"/>
      <c r="M64" s="2"/>
    </row>
    <row r="65" spans="2:13" x14ac:dyDescent="0.3">
      <c r="B65" s="93">
        <v>45668</v>
      </c>
      <c r="C65" s="89" t="s">
        <v>211</v>
      </c>
      <c r="F65" s="4" t="s">
        <v>208</v>
      </c>
      <c r="G65" s="95">
        <f>INDEX(Locations_A[Date],MATCH(G64,Locations_A[Location],0))</f>
        <v>45659</v>
      </c>
      <c r="H65" s="64"/>
      <c r="L65" s="64"/>
      <c r="M65" s="2"/>
    </row>
    <row r="66" spans="2:13" x14ac:dyDescent="0.3">
      <c r="B66" s="93">
        <v>45669</v>
      </c>
      <c r="C66" s="89" t="s">
        <v>212</v>
      </c>
      <c r="H66" s="64"/>
      <c r="L66" s="64"/>
      <c r="M66" s="2"/>
    </row>
    <row r="67" spans="2:13" ht="15" thickBot="1" x14ac:dyDescent="0.35">
      <c r="B67" s="93">
        <v>45670</v>
      </c>
      <c r="C67" s="89" t="s">
        <v>210</v>
      </c>
      <c r="H67" s="64"/>
      <c r="L67" s="64"/>
      <c r="M67" s="2"/>
    </row>
    <row r="68" spans="2:13" x14ac:dyDescent="0.3">
      <c r="B68" s="93">
        <v>45671</v>
      </c>
      <c r="C68" s="89" t="s">
        <v>211</v>
      </c>
      <c r="F68" s="128" t="s">
        <v>417</v>
      </c>
      <c r="G68" s="129"/>
      <c r="L68" s="64"/>
      <c r="M68" s="2"/>
    </row>
    <row r="69" spans="2:13" ht="15" thickBot="1" x14ac:dyDescent="0.35">
      <c r="B69" s="93">
        <v>45672</v>
      </c>
      <c r="C69" s="89" t="s">
        <v>212</v>
      </c>
      <c r="F69" s="130"/>
      <c r="G69" s="131"/>
      <c r="L69" s="64"/>
      <c r="M69" s="2"/>
    </row>
    <row r="70" spans="2:13" x14ac:dyDescent="0.3">
      <c r="B70" s="93">
        <v>45673</v>
      </c>
      <c r="C70" s="89" t="s">
        <v>210</v>
      </c>
      <c r="L70" s="64"/>
      <c r="M70" s="2"/>
    </row>
    <row r="71" spans="2:13" x14ac:dyDescent="0.3">
      <c r="B71" s="93">
        <v>45674</v>
      </c>
      <c r="C71" s="89" t="s">
        <v>211</v>
      </c>
      <c r="F71" s="4" t="s">
        <v>208</v>
      </c>
      <c r="G71" s="132" t="str" cm="1">
        <f t="array" ref="G71">_xlfn.TEXTJOIN(",",TRUE,IF(Locations_A[Location]=G64,TEXT(Locations_A[Date],"dddd dd-mmm"),""))</f>
        <v>Thursday 02-Jan,Sunday 05-Jan,Wednesday 08-Jan,Saturday 11-Jan,Tuesday 14-Jan,Friday 17-Jan,Monday 20-Jan,Thursday 23-Jan</v>
      </c>
      <c r="L71" s="64"/>
      <c r="M71" s="2"/>
    </row>
    <row r="72" spans="2:13" x14ac:dyDescent="0.3">
      <c r="B72" s="93">
        <v>45675</v>
      </c>
      <c r="C72" s="89" t="s">
        <v>212</v>
      </c>
      <c r="G72" s="132"/>
      <c r="L72" s="64"/>
      <c r="M72" s="2"/>
    </row>
    <row r="73" spans="2:13" x14ac:dyDescent="0.3">
      <c r="B73" s="93">
        <v>45676</v>
      </c>
      <c r="C73" s="89" t="s">
        <v>210</v>
      </c>
      <c r="G73" s="132"/>
      <c r="L73" s="64"/>
      <c r="M73" s="2"/>
    </row>
    <row r="74" spans="2:13" x14ac:dyDescent="0.3">
      <c r="B74" s="93">
        <v>45677</v>
      </c>
      <c r="C74" s="89" t="s">
        <v>211</v>
      </c>
      <c r="G74" s="132"/>
      <c r="I74" s="2"/>
      <c r="L74" s="64"/>
      <c r="M74" s="2"/>
    </row>
    <row r="75" spans="2:13" x14ac:dyDescent="0.3">
      <c r="B75" s="93">
        <v>45678</v>
      </c>
      <c r="C75" s="89" t="s">
        <v>212</v>
      </c>
      <c r="G75" s="132"/>
      <c r="H75" s="64"/>
      <c r="I75" s="2"/>
      <c r="L75" s="64"/>
      <c r="M75" s="2"/>
    </row>
    <row r="76" spans="2:13" x14ac:dyDescent="0.3">
      <c r="B76" s="93">
        <v>45679</v>
      </c>
      <c r="C76" s="89" t="s">
        <v>210</v>
      </c>
      <c r="G76" s="132"/>
      <c r="H76" s="64"/>
      <c r="I76" s="2"/>
      <c r="L76" s="64"/>
      <c r="M76" s="2"/>
    </row>
    <row r="77" spans="2:13" x14ac:dyDescent="0.3">
      <c r="B77" s="93">
        <v>45680</v>
      </c>
      <c r="C77" s="89" t="s">
        <v>211</v>
      </c>
      <c r="H77" s="64"/>
      <c r="I77" s="2"/>
      <c r="L77" s="64"/>
      <c r="M77" s="2"/>
    </row>
    <row r="78" spans="2:13" x14ac:dyDescent="0.3">
      <c r="B78" s="93">
        <v>45681</v>
      </c>
      <c r="C78" s="89" t="s">
        <v>212</v>
      </c>
      <c r="H78" s="64"/>
      <c r="I78" s="2"/>
      <c r="L78" s="64"/>
      <c r="M78" s="2"/>
    </row>
    <row r="79" spans="2:13" x14ac:dyDescent="0.3">
      <c r="B79" s="94">
        <v>45682</v>
      </c>
      <c r="C79" s="92" t="s">
        <v>210</v>
      </c>
      <c r="H79" s="64"/>
      <c r="I79" s="2"/>
      <c r="L79" s="64"/>
      <c r="M79" s="2"/>
    </row>
    <row r="80" spans="2:13" x14ac:dyDescent="0.3">
      <c r="H80" s="64"/>
      <c r="I80" s="2"/>
      <c r="L80" s="64"/>
      <c r="M80" s="2"/>
    </row>
    <row r="81" spans="8:13" x14ac:dyDescent="0.3">
      <c r="H81" s="64"/>
      <c r="I81" s="2"/>
      <c r="L81" s="64"/>
      <c r="M81" s="2"/>
    </row>
    <row r="82" spans="8:13" x14ac:dyDescent="0.3">
      <c r="H82" s="64"/>
      <c r="I82" s="2"/>
      <c r="L82" s="64"/>
      <c r="M82" s="2"/>
    </row>
    <row r="83" spans="8:13" x14ac:dyDescent="0.3">
      <c r="H83" s="64"/>
      <c r="I83" s="2"/>
      <c r="L83" s="64"/>
      <c r="M83" s="2"/>
    </row>
    <row r="84" spans="8:13" x14ac:dyDescent="0.3">
      <c r="H84" s="64"/>
      <c r="I84" s="2"/>
      <c r="L84" s="64"/>
      <c r="M84" s="2"/>
    </row>
    <row r="85" spans="8:13" x14ac:dyDescent="0.3">
      <c r="H85" s="64"/>
      <c r="I85" s="2"/>
      <c r="L85" s="64"/>
      <c r="M85" s="2"/>
    </row>
    <row r="86" spans="8:13" x14ac:dyDescent="0.3">
      <c r="H86" s="64"/>
      <c r="I86" s="2"/>
      <c r="L86" s="64"/>
      <c r="M86" s="2"/>
    </row>
    <row r="87" spans="8:13" x14ac:dyDescent="0.3">
      <c r="H87" s="64"/>
      <c r="I87" s="2"/>
    </row>
    <row r="88" spans="8:13" x14ac:dyDescent="0.3">
      <c r="H88" s="64"/>
      <c r="I88" s="2"/>
    </row>
  </sheetData>
  <mergeCells count="7">
    <mergeCell ref="I28:J29"/>
    <mergeCell ref="I37:J38"/>
    <mergeCell ref="I2:J3"/>
    <mergeCell ref="G71:G76"/>
    <mergeCell ref="F54:G55"/>
    <mergeCell ref="F61:G62"/>
    <mergeCell ref="F68:G69"/>
  </mergeCells>
  <dataValidations count="1">
    <dataValidation type="list" allowBlank="1" showInputMessage="1" showErrorMessage="1" sqref="H6 H32" xr:uid="{9524863B-76EA-453F-9394-F64528612C93}">
      <formula1>$B$3:$B$22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186E-DFC4-419E-A357-DCC6D87F826C}">
  <dimension ref="B1:O25"/>
  <sheetViews>
    <sheetView showGridLines="0" workbookViewId="0">
      <selection activeCell="G5" sqref="G5"/>
    </sheetView>
  </sheetViews>
  <sheetFormatPr defaultRowHeight="14.4" x14ac:dyDescent="0.3"/>
  <cols>
    <col min="2" max="2" width="12" bestFit="1" customWidth="1"/>
    <col min="3" max="3" width="12.5546875" bestFit="1" customWidth="1"/>
    <col min="7" max="7" width="19.109375" customWidth="1"/>
    <col min="9" max="9" width="10.77734375" bestFit="1" customWidth="1"/>
    <col min="10" max="10" width="15.33203125" bestFit="1" customWidth="1"/>
    <col min="11" max="11" width="16.5546875" customWidth="1"/>
    <col min="13" max="13" width="11.109375" bestFit="1" customWidth="1"/>
    <col min="14" max="14" width="14.33203125" bestFit="1" customWidth="1"/>
    <col min="15" max="15" width="16.33203125" bestFit="1" customWidth="1"/>
    <col min="16" max="16" width="11.109375" bestFit="1" customWidth="1"/>
    <col min="19" max="19" width="11.109375" bestFit="1" customWidth="1"/>
    <col min="20" max="20" width="12.5546875" bestFit="1" customWidth="1"/>
  </cols>
  <sheetData>
    <row r="1" spans="2:15" ht="15" thickBot="1" x14ac:dyDescent="0.35"/>
    <row r="2" spans="2:15" ht="18" thickBot="1" x14ac:dyDescent="0.35">
      <c r="E2" s="139" t="s">
        <v>77</v>
      </c>
      <c r="F2" s="140"/>
      <c r="G2" s="140"/>
      <c r="J2" s="135" t="s">
        <v>30</v>
      </c>
      <c r="K2" s="136"/>
      <c r="M2" s="133" t="s">
        <v>32</v>
      </c>
      <c r="N2" s="134"/>
    </row>
    <row r="3" spans="2:15" ht="15" thickBot="1" x14ac:dyDescent="0.35"/>
    <row r="4" spans="2:15" ht="17.399999999999999" x14ac:dyDescent="0.3">
      <c r="B4" s="34" t="s">
        <v>24</v>
      </c>
      <c r="C4" s="35" t="s">
        <v>31</v>
      </c>
      <c r="D4" s="35" t="s">
        <v>27</v>
      </c>
      <c r="E4" s="35" t="s">
        <v>25</v>
      </c>
      <c r="F4" s="35" t="s">
        <v>26</v>
      </c>
      <c r="G4" s="45" t="s">
        <v>74</v>
      </c>
      <c r="J4" s="21" t="s">
        <v>31</v>
      </c>
      <c r="K4" s="22" t="s">
        <v>24</v>
      </c>
      <c r="M4" s="31" t="s">
        <v>31</v>
      </c>
      <c r="N4" s="32" t="s">
        <v>24</v>
      </c>
    </row>
    <row r="5" spans="2:15" x14ac:dyDescent="0.3">
      <c r="B5" s="36" t="s">
        <v>28</v>
      </c>
      <c r="C5" s="33" t="s">
        <v>29</v>
      </c>
      <c r="D5" s="33">
        <v>56</v>
      </c>
      <c r="E5" s="33">
        <v>28</v>
      </c>
      <c r="F5" s="33">
        <v>24</v>
      </c>
      <c r="G5" s="39" t="str">
        <f t="shared" ref="G5:G25" si="0">IFERROR(VLOOKUP(C5,$J$5:$K$10,2,0),VLOOKUP(C5,$M$5:$N$9,2,0))</f>
        <v>Milk Bars</v>
      </c>
      <c r="J5" s="23" t="s">
        <v>29</v>
      </c>
      <c r="K5" s="24" t="s">
        <v>33</v>
      </c>
      <c r="M5" s="27" t="s">
        <v>34</v>
      </c>
      <c r="N5" s="28" t="s">
        <v>35</v>
      </c>
    </row>
    <row r="6" spans="2:15" x14ac:dyDescent="0.3">
      <c r="B6" s="36" t="s">
        <v>36</v>
      </c>
      <c r="C6" s="33" t="s">
        <v>37</v>
      </c>
      <c r="D6" s="33">
        <v>44</v>
      </c>
      <c r="E6" s="33">
        <v>30</v>
      </c>
      <c r="F6" s="33">
        <v>22</v>
      </c>
      <c r="G6" s="39" t="str">
        <f t="shared" si="0"/>
        <v>Choco Bites</v>
      </c>
      <c r="J6" s="23" t="s">
        <v>37</v>
      </c>
      <c r="K6" s="24" t="s">
        <v>65</v>
      </c>
      <c r="M6" s="27" t="s">
        <v>48</v>
      </c>
      <c r="N6" s="28" t="s">
        <v>70</v>
      </c>
    </row>
    <row r="7" spans="2:15" x14ac:dyDescent="0.3">
      <c r="B7" s="36" t="s">
        <v>38</v>
      </c>
      <c r="C7" s="33" t="s">
        <v>39</v>
      </c>
      <c r="D7" s="33">
        <v>38</v>
      </c>
      <c r="E7" s="33">
        <v>25</v>
      </c>
      <c r="F7" s="33">
        <v>20</v>
      </c>
      <c r="G7" s="39" t="str">
        <f t="shared" si="0"/>
        <v>Energy Drink</v>
      </c>
      <c r="J7" s="23" t="s">
        <v>39</v>
      </c>
      <c r="K7" s="24" t="s">
        <v>66</v>
      </c>
      <c r="M7" s="27" t="s">
        <v>50</v>
      </c>
      <c r="N7" s="28" t="s">
        <v>71</v>
      </c>
    </row>
    <row r="8" spans="2:15" x14ac:dyDescent="0.3">
      <c r="B8" s="36" t="s">
        <v>40</v>
      </c>
      <c r="C8" s="33" t="s">
        <v>41</v>
      </c>
      <c r="D8" s="33">
        <v>60</v>
      </c>
      <c r="E8" s="33">
        <v>42</v>
      </c>
      <c r="F8" s="33">
        <v>35</v>
      </c>
      <c r="G8" s="39" t="str">
        <f t="shared" si="0"/>
        <v>Protein Bar</v>
      </c>
      <c r="J8" s="23" t="s">
        <v>41</v>
      </c>
      <c r="K8" s="24" t="s">
        <v>67</v>
      </c>
      <c r="M8" s="27" t="s">
        <v>52</v>
      </c>
      <c r="N8" s="28" t="s">
        <v>72</v>
      </c>
    </row>
    <row r="9" spans="2:15" ht="15" thickBot="1" x14ac:dyDescent="0.35">
      <c r="B9" s="36" t="s">
        <v>42</v>
      </c>
      <c r="C9" s="33" t="s">
        <v>43</v>
      </c>
      <c r="D9" s="33">
        <v>28</v>
      </c>
      <c r="E9" s="33">
        <v>18</v>
      </c>
      <c r="F9" s="33">
        <v>14</v>
      </c>
      <c r="G9" s="39" t="str">
        <f t="shared" si="0"/>
        <v>Candy Pop</v>
      </c>
      <c r="J9" s="23" t="s">
        <v>43</v>
      </c>
      <c r="K9" s="24" t="s">
        <v>68</v>
      </c>
      <c r="M9" s="29" t="s">
        <v>54</v>
      </c>
      <c r="N9" s="30" t="s">
        <v>73</v>
      </c>
    </row>
    <row r="10" spans="2:15" ht="15" thickBot="1" x14ac:dyDescent="0.35">
      <c r="B10" s="36" t="s">
        <v>44</v>
      </c>
      <c r="C10" s="33" t="s">
        <v>45</v>
      </c>
      <c r="D10" s="33">
        <v>52</v>
      </c>
      <c r="E10" s="33">
        <v>33</v>
      </c>
      <c r="F10" s="33">
        <v>27</v>
      </c>
      <c r="G10" s="39" t="str">
        <f t="shared" si="0"/>
        <v>Juice Mix</v>
      </c>
      <c r="J10" s="25" t="s">
        <v>45</v>
      </c>
      <c r="K10" s="26" t="s">
        <v>69</v>
      </c>
    </row>
    <row r="11" spans="2:15" x14ac:dyDescent="0.3">
      <c r="B11" s="36" t="s">
        <v>46</v>
      </c>
      <c r="C11" s="33" t="s">
        <v>34</v>
      </c>
      <c r="D11" s="33">
        <v>45</v>
      </c>
      <c r="E11" s="33">
        <v>26</v>
      </c>
      <c r="F11" s="33">
        <v>21</v>
      </c>
      <c r="G11" s="39" t="str">
        <f t="shared" si="0"/>
        <v>Orange Choco</v>
      </c>
    </row>
    <row r="12" spans="2:15" ht="15" thickBot="1" x14ac:dyDescent="0.35">
      <c r="B12" s="36" t="s">
        <v>47</v>
      </c>
      <c r="C12" s="33" t="s">
        <v>48</v>
      </c>
      <c r="D12" s="33">
        <v>32</v>
      </c>
      <c r="E12" s="33">
        <v>20</v>
      </c>
      <c r="F12" s="33">
        <v>15</v>
      </c>
      <c r="G12" s="39" t="str">
        <f t="shared" si="0"/>
        <v>Mango Bar</v>
      </c>
    </row>
    <row r="13" spans="2:15" ht="16.2" thickBot="1" x14ac:dyDescent="0.35">
      <c r="B13" s="36" t="s">
        <v>49</v>
      </c>
      <c r="C13" s="33" t="s">
        <v>50</v>
      </c>
      <c r="D13" s="33">
        <v>48</v>
      </c>
      <c r="E13" s="33">
        <v>34</v>
      </c>
      <c r="F13" s="33">
        <v>25</v>
      </c>
      <c r="G13" s="39" t="str">
        <f t="shared" si="0"/>
        <v>Cola Drink</v>
      </c>
      <c r="J13" s="137" t="s">
        <v>76</v>
      </c>
      <c r="K13" s="138"/>
      <c r="N13" s="144" t="s">
        <v>86</v>
      </c>
      <c r="O13" s="145"/>
    </row>
    <row r="14" spans="2:15" ht="15" thickBot="1" x14ac:dyDescent="0.35">
      <c r="B14" s="36" t="s">
        <v>51</v>
      </c>
      <c r="C14" s="33" t="s">
        <v>52</v>
      </c>
      <c r="D14" s="33">
        <v>41</v>
      </c>
      <c r="E14" s="33">
        <v>29</v>
      </c>
      <c r="F14" s="33">
        <v>23</v>
      </c>
      <c r="G14" s="39" t="str">
        <f t="shared" si="0"/>
        <v>Lemon Candy</v>
      </c>
    </row>
    <row r="15" spans="2:15" ht="15.6" x14ac:dyDescent="0.3">
      <c r="B15" s="36" t="s">
        <v>53</v>
      </c>
      <c r="C15" s="33" t="s">
        <v>54</v>
      </c>
      <c r="D15" s="33">
        <v>50</v>
      </c>
      <c r="E15" s="33">
        <v>37</v>
      </c>
      <c r="F15" s="33">
        <v>29</v>
      </c>
      <c r="G15" s="39" t="str">
        <f t="shared" si="0"/>
        <v>Coffee Choco</v>
      </c>
      <c r="J15" s="41" t="s">
        <v>24</v>
      </c>
      <c r="K15" s="42" t="s">
        <v>38</v>
      </c>
      <c r="N15" s="59" t="s">
        <v>24</v>
      </c>
      <c r="O15" s="59" t="s">
        <v>28</v>
      </c>
    </row>
    <row r="16" spans="2:15" ht="18.600000000000001" thickBot="1" x14ac:dyDescent="0.4">
      <c r="B16" s="36" t="s">
        <v>28</v>
      </c>
      <c r="C16" s="33" t="s">
        <v>29</v>
      </c>
      <c r="D16" s="33">
        <v>35</v>
      </c>
      <c r="E16" s="33">
        <v>22</v>
      </c>
      <c r="F16" s="33">
        <v>18</v>
      </c>
      <c r="G16" s="39" t="str">
        <f t="shared" si="0"/>
        <v>Milk Bars</v>
      </c>
      <c r="J16" s="43" t="s">
        <v>75</v>
      </c>
      <c r="K16" s="44" cm="1">
        <f t="array" ref="K16">SUM(VLOOKUP(K15,B5:F25,{3,4,5},0))</f>
        <v>83</v>
      </c>
      <c r="N16" s="59" t="s">
        <v>85</v>
      </c>
      <c r="O16" s="60" t="str" cm="1">
        <f t="array" ref="O16">_xlfn.TEXTJOIN(",",TRUE,IF(B5:B25=O15,C5:C25,""))</f>
        <v>P28-x-13,P28-x-13</v>
      </c>
    </row>
    <row r="17" spans="2:15" x14ac:dyDescent="0.3">
      <c r="B17" s="36" t="s">
        <v>56</v>
      </c>
      <c r="C17" s="33" t="s">
        <v>37</v>
      </c>
      <c r="D17" s="33">
        <v>40</v>
      </c>
      <c r="E17" s="33">
        <v>26</v>
      </c>
      <c r="F17" s="33">
        <v>19</v>
      </c>
      <c r="G17" s="39" t="str">
        <f t="shared" si="0"/>
        <v>Choco Bites</v>
      </c>
    </row>
    <row r="18" spans="2:15" x14ac:dyDescent="0.3">
      <c r="B18" s="36" t="s">
        <v>57</v>
      </c>
      <c r="C18" s="33" t="s">
        <v>39</v>
      </c>
      <c r="D18" s="33">
        <v>55</v>
      </c>
      <c r="E18" s="33">
        <v>38</v>
      </c>
      <c r="F18" s="33">
        <v>31</v>
      </c>
      <c r="G18" s="39" t="str">
        <f t="shared" si="0"/>
        <v>Energy Drink</v>
      </c>
    </row>
    <row r="19" spans="2:15" x14ac:dyDescent="0.3">
      <c r="B19" s="36" t="s">
        <v>58</v>
      </c>
      <c r="C19" s="33" t="s">
        <v>41</v>
      </c>
      <c r="D19" s="33">
        <v>29</v>
      </c>
      <c r="E19" s="33">
        <v>19</v>
      </c>
      <c r="F19" s="33">
        <v>13</v>
      </c>
      <c r="G19" s="39" t="str">
        <f t="shared" si="0"/>
        <v>Protein Bar</v>
      </c>
    </row>
    <row r="20" spans="2:15" ht="15" thickBot="1" x14ac:dyDescent="0.35">
      <c r="B20" s="36" t="s">
        <v>59</v>
      </c>
      <c r="C20" s="33" t="s">
        <v>43</v>
      </c>
      <c r="D20" s="33">
        <v>46</v>
      </c>
      <c r="E20" s="33">
        <v>30</v>
      </c>
      <c r="F20" s="33">
        <v>24</v>
      </c>
      <c r="G20" s="39" t="str">
        <f t="shared" si="0"/>
        <v>Candy Pop</v>
      </c>
    </row>
    <row r="21" spans="2:15" ht="16.2" thickBot="1" x14ac:dyDescent="0.35">
      <c r="B21" s="36" t="s">
        <v>60</v>
      </c>
      <c r="C21" s="33" t="s">
        <v>45</v>
      </c>
      <c r="D21" s="33">
        <v>34</v>
      </c>
      <c r="E21" s="33">
        <v>21</v>
      </c>
      <c r="F21" s="33">
        <v>16</v>
      </c>
      <c r="G21" s="39" t="str">
        <f t="shared" si="0"/>
        <v>Juice Mix</v>
      </c>
      <c r="J21" s="142" t="s">
        <v>84</v>
      </c>
      <c r="K21" s="143"/>
      <c r="N21" s="146" t="s">
        <v>88</v>
      </c>
      <c r="O21" s="147"/>
    </row>
    <row r="22" spans="2:15" x14ac:dyDescent="0.3">
      <c r="B22" s="36" t="s">
        <v>61</v>
      </c>
      <c r="C22" s="33" t="s">
        <v>34</v>
      </c>
      <c r="D22" s="33">
        <v>42</v>
      </c>
      <c r="E22" s="33">
        <v>27</v>
      </c>
      <c r="F22" s="33">
        <v>20</v>
      </c>
      <c r="G22" s="39" t="str">
        <f t="shared" si="0"/>
        <v>Orange Choco</v>
      </c>
    </row>
    <row r="23" spans="2:15" ht="15.6" x14ac:dyDescent="0.3">
      <c r="B23" s="36" t="s">
        <v>62</v>
      </c>
      <c r="C23" s="33" t="s">
        <v>48</v>
      </c>
      <c r="D23" s="33">
        <v>37</v>
      </c>
      <c r="E23" s="33">
        <v>24</v>
      </c>
      <c r="F23" s="33">
        <v>18</v>
      </c>
      <c r="G23" s="39" t="str">
        <f t="shared" si="0"/>
        <v>Mango Bar</v>
      </c>
      <c r="J23" s="58" t="s">
        <v>81</v>
      </c>
      <c r="K23" s="57" t="s">
        <v>82</v>
      </c>
      <c r="N23" s="62" t="s">
        <v>87</v>
      </c>
      <c r="O23" s="62">
        <v>60</v>
      </c>
    </row>
    <row r="24" spans="2:15" ht="15.6" x14ac:dyDescent="0.3">
      <c r="B24" s="36" t="s">
        <v>63</v>
      </c>
      <c r="C24" s="33" t="s">
        <v>50</v>
      </c>
      <c r="D24" s="33">
        <v>53</v>
      </c>
      <c r="E24" s="33">
        <v>36</v>
      </c>
      <c r="F24" s="33">
        <v>28</v>
      </c>
      <c r="G24" s="39" t="str">
        <f t="shared" si="0"/>
        <v>Cola Drink</v>
      </c>
      <c r="I24" s="58" t="s">
        <v>83</v>
      </c>
      <c r="J24" s="56" t="s">
        <v>27</v>
      </c>
      <c r="K24" s="141">
        <f>VLOOKUP(K23&amp;"*",B5:F25,MATCH(J24,B4:F4,0),0)</f>
        <v>56</v>
      </c>
      <c r="L24" s="141"/>
      <c r="N24" s="62" t="s">
        <v>24</v>
      </c>
      <c r="O24" s="61" t="str">
        <f>_xlfn.XLOOKUP(O23,D5:D25,B5:B25)</f>
        <v>Kavita Rao</v>
      </c>
    </row>
    <row r="25" spans="2:15" ht="15" thickBot="1" x14ac:dyDescent="0.35">
      <c r="B25" s="37" t="s">
        <v>64</v>
      </c>
      <c r="C25" s="38" t="s">
        <v>52</v>
      </c>
      <c r="D25" s="38">
        <v>39</v>
      </c>
      <c r="E25" s="38">
        <v>25</v>
      </c>
      <c r="F25" s="38">
        <v>19</v>
      </c>
      <c r="G25" s="39" t="str">
        <f t="shared" si="0"/>
        <v>Lemon Candy</v>
      </c>
      <c r="K25" s="141"/>
      <c r="L25" s="141"/>
    </row>
  </sheetData>
  <mergeCells count="8">
    <mergeCell ref="M2:N2"/>
    <mergeCell ref="J2:K2"/>
    <mergeCell ref="J13:K13"/>
    <mergeCell ref="E2:G2"/>
    <mergeCell ref="K24:L25"/>
    <mergeCell ref="J21:K21"/>
    <mergeCell ref="N13:O13"/>
    <mergeCell ref="N21:O21"/>
  </mergeCells>
  <dataValidations count="2">
    <dataValidation type="list" allowBlank="1" showInputMessage="1" showErrorMessage="1" sqref="K15 O15" xr:uid="{59ADA20E-C2B0-49BF-B0C4-16C6CB8DB787}">
      <formula1>$B$5:$B$25</formula1>
    </dataValidation>
    <dataValidation type="list" allowBlank="1" showInputMessage="1" showErrorMessage="1" sqref="J24" xr:uid="{A5E8949B-A2E0-46C5-A791-3BA592024F73}">
      <formula1>$D$4:$F$4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812C-84C4-4C8A-B64D-03CDFD18CDA9}">
  <dimension ref="B1:R38"/>
  <sheetViews>
    <sheetView showGridLines="0" topLeftCell="A15" zoomScaleNormal="100" workbookViewId="0">
      <selection activeCell="M31" sqref="M31"/>
    </sheetView>
  </sheetViews>
  <sheetFormatPr defaultRowHeight="14.4" x14ac:dyDescent="0.3"/>
  <cols>
    <col min="2" max="2" width="12.44140625" bestFit="1" customWidth="1"/>
    <col min="3" max="3" width="9.44140625" customWidth="1"/>
    <col min="4" max="4" width="13.33203125" customWidth="1"/>
    <col min="5" max="5" width="13.77734375" customWidth="1"/>
    <col min="6" max="6" width="11.44140625" customWidth="1"/>
    <col min="10" max="10" width="13.77734375" bestFit="1" customWidth="1"/>
    <col min="11" max="11" width="14" customWidth="1"/>
    <col min="13" max="13" width="14.109375" bestFit="1" customWidth="1"/>
    <col min="14" max="15" width="13.77734375" bestFit="1" customWidth="1"/>
    <col min="16" max="16" width="10.77734375" bestFit="1" customWidth="1"/>
    <col min="17" max="17" width="13.77734375" bestFit="1" customWidth="1"/>
    <col min="18" max="18" width="11.77734375" bestFit="1" customWidth="1"/>
    <col min="20" max="20" width="11.21875" bestFit="1" customWidth="1"/>
    <col min="21" max="21" width="12" bestFit="1" customWidth="1"/>
    <col min="22" max="22" width="10.77734375" bestFit="1" customWidth="1"/>
  </cols>
  <sheetData>
    <row r="1" spans="2:14" ht="15" thickBot="1" x14ac:dyDescent="0.35"/>
    <row r="2" spans="2:14" ht="16.2" thickBot="1" x14ac:dyDescent="0.35">
      <c r="B2" s="1" t="s">
        <v>24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J2" s="137" t="s">
        <v>418</v>
      </c>
      <c r="K2" s="138"/>
    </row>
    <row r="3" spans="2:14" ht="16.2" thickBot="1" x14ac:dyDescent="0.35">
      <c r="B3" s="2" t="s">
        <v>28</v>
      </c>
      <c r="C3" s="2" t="s">
        <v>94</v>
      </c>
      <c r="D3" s="2" t="s">
        <v>95</v>
      </c>
      <c r="E3" s="64">
        <v>31848</v>
      </c>
      <c r="F3" s="64">
        <v>42170</v>
      </c>
      <c r="G3" s="3">
        <v>52000</v>
      </c>
      <c r="M3" s="137" t="s">
        <v>418</v>
      </c>
      <c r="N3" s="138"/>
    </row>
    <row r="4" spans="2:14" ht="15.6" x14ac:dyDescent="0.3">
      <c r="B4" s="2" t="s">
        <v>36</v>
      </c>
      <c r="C4" s="2" t="s">
        <v>96</v>
      </c>
      <c r="D4" s="2" t="s">
        <v>97</v>
      </c>
      <c r="E4" s="64">
        <v>33078</v>
      </c>
      <c r="F4" s="64">
        <v>42410</v>
      </c>
      <c r="G4" s="3">
        <v>48500</v>
      </c>
      <c r="J4" s="66" t="s">
        <v>24</v>
      </c>
      <c r="K4" s="66" t="s">
        <v>103</v>
      </c>
    </row>
    <row r="5" spans="2:14" ht="15.6" x14ac:dyDescent="0.3">
      <c r="B5" s="2" t="s">
        <v>38</v>
      </c>
      <c r="C5" s="2" t="s">
        <v>94</v>
      </c>
      <c r="D5" s="2" t="s">
        <v>98</v>
      </c>
      <c r="E5" s="64">
        <v>31369</v>
      </c>
      <c r="F5" s="64">
        <v>41334</v>
      </c>
      <c r="G5" s="3">
        <v>46000</v>
      </c>
      <c r="J5" s="68" t="s">
        <v>93</v>
      </c>
      <c r="K5" s="69">
        <f>_xlfn.XLOOKUP(K4,B3:B32,G3:G32,"No such person")</f>
        <v>46800</v>
      </c>
      <c r="M5" s="4" t="s">
        <v>24</v>
      </c>
      <c r="N5" s="4" t="s">
        <v>164</v>
      </c>
    </row>
    <row r="6" spans="2:14" x14ac:dyDescent="0.3">
      <c r="B6" s="2" t="s">
        <v>40</v>
      </c>
      <c r="C6" s="2" t="s">
        <v>96</v>
      </c>
      <c r="D6" s="2" t="s">
        <v>99</v>
      </c>
      <c r="E6" s="64"/>
      <c r="F6" s="64">
        <v>42967</v>
      </c>
      <c r="G6" s="3">
        <v>60000</v>
      </c>
      <c r="M6" s="4" t="s">
        <v>36</v>
      </c>
      <c r="N6" s="65">
        <f>_xlfn.XLOOKUP(M6,Employees[Name],Employees[Start Date])</f>
        <v>42410</v>
      </c>
    </row>
    <row r="7" spans="2:14" ht="15" thickBot="1" x14ac:dyDescent="0.35">
      <c r="B7" s="2" t="s">
        <v>42</v>
      </c>
      <c r="C7" s="2" t="s">
        <v>94</v>
      </c>
      <c r="D7" s="2" t="s">
        <v>100</v>
      </c>
      <c r="E7" s="64">
        <v>32169</v>
      </c>
      <c r="F7" s="64">
        <v>41644</v>
      </c>
      <c r="G7" s="3">
        <v>55500</v>
      </c>
    </row>
    <row r="8" spans="2:14" ht="16.2" thickBot="1" x14ac:dyDescent="0.35">
      <c r="B8" s="2" t="s">
        <v>44</v>
      </c>
      <c r="C8" s="2" t="s">
        <v>96</v>
      </c>
      <c r="D8" s="2" t="s">
        <v>101</v>
      </c>
      <c r="E8" s="64">
        <v>33405</v>
      </c>
      <c r="F8" s="64">
        <v>43365</v>
      </c>
      <c r="G8" s="3">
        <v>42000</v>
      </c>
      <c r="J8" s="137" t="s">
        <v>418</v>
      </c>
      <c r="K8" s="138"/>
      <c r="M8" s="137" t="s">
        <v>79</v>
      </c>
      <c r="N8" s="138"/>
    </row>
    <row r="9" spans="2:14" x14ac:dyDescent="0.3">
      <c r="B9" s="2" t="s">
        <v>46</v>
      </c>
      <c r="C9" s="2" t="s">
        <v>94</v>
      </c>
      <c r="D9" s="2" t="s">
        <v>102</v>
      </c>
      <c r="E9" s="64"/>
      <c r="F9" s="64">
        <v>41231</v>
      </c>
      <c r="G9" s="3">
        <v>50000</v>
      </c>
    </row>
    <row r="10" spans="2:14" x14ac:dyDescent="0.3">
      <c r="B10" s="2" t="s">
        <v>47</v>
      </c>
      <c r="C10" s="2" t="s">
        <v>96</v>
      </c>
      <c r="D10" s="2" t="s">
        <v>99</v>
      </c>
      <c r="E10" s="64">
        <v>34333</v>
      </c>
      <c r="F10" s="64">
        <v>43567</v>
      </c>
      <c r="G10" s="3">
        <v>58500</v>
      </c>
      <c r="J10" s="70" t="s">
        <v>91</v>
      </c>
      <c r="K10" s="71">
        <v>32169</v>
      </c>
      <c r="M10" s="4" t="s">
        <v>164</v>
      </c>
      <c r="N10" s="4" t="s">
        <v>24</v>
      </c>
    </row>
    <row r="11" spans="2:14" ht="15.6" x14ac:dyDescent="0.3">
      <c r="B11" s="2" t="s">
        <v>49</v>
      </c>
      <c r="C11" s="2" t="s">
        <v>94</v>
      </c>
      <c r="D11" s="2" t="s">
        <v>95</v>
      </c>
      <c r="E11" s="64">
        <v>32544</v>
      </c>
      <c r="F11" s="64">
        <v>42515</v>
      </c>
      <c r="G11" s="3">
        <v>47800</v>
      </c>
      <c r="J11" s="74" t="s">
        <v>24</v>
      </c>
      <c r="K11" s="73" t="str">
        <f>_xlfn.XLOOKUP(K10,E3:E32,B3:B32)</f>
        <v>Sunil Kumar</v>
      </c>
      <c r="M11" s="65">
        <v>42410</v>
      </c>
      <c r="N11" s="4" t="str">
        <f>INDEX(Employees[Name],MATCH(M11,Employees[Start Date],0))</f>
        <v>Neha Gupta</v>
      </c>
    </row>
    <row r="12" spans="2:14" ht="16.2" thickBot="1" x14ac:dyDescent="0.35">
      <c r="B12" s="2" t="s">
        <v>51</v>
      </c>
      <c r="C12" s="2" t="s">
        <v>96</v>
      </c>
      <c r="D12" s="2" t="s">
        <v>100</v>
      </c>
      <c r="E12" s="64">
        <v>33167</v>
      </c>
      <c r="F12" s="64">
        <v>42188</v>
      </c>
      <c r="G12" s="3">
        <v>53200</v>
      </c>
      <c r="J12" s="74" t="s">
        <v>93</v>
      </c>
      <c r="K12" s="73">
        <f>_xlfn.XLOOKUP(K10,E3:E32,G3:G32)</f>
        <v>55500</v>
      </c>
    </row>
    <row r="13" spans="2:14" ht="16.2" thickBot="1" x14ac:dyDescent="0.35">
      <c r="B13" s="2" t="s">
        <v>53</v>
      </c>
      <c r="C13" s="2" t="s">
        <v>94</v>
      </c>
      <c r="D13" s="2" t="s">
        <v>98</v>
      </c>
      <c r="E13" s="64"/>
      <c r="F13" s="64">
        <v>40585</v>
      </c>
      <c r="G13" s="3">
        <v>49500</v>
      </c>
      <c r="M13" s="137" t="s">
        <v>418</v>
      </c>
      <c r="N13" s="138"/>
    </row>
    <row r="14" spans="2:14" ht="15" thickBot="1" x14ac:dyDescent="0.35">
      <c r="B14" s="2" t="s">
        <v>55</v>
      </c>
      <c r="C14" s="2" t="s">
        <v>96</v>
      </c>
      <c r="D14" s="2" t="s">
        <v>99</v>
      </c>
      <c r="E14" s="64">
        <v>33858</v>
      </c>
      <c r="F14" s="64">
        <v>43258</v>
      </c>
      <c r="G14" s="3">
        <v>62000</v>
      </c>
    </row>
    <row r="15" spans="2:14" ht="16.2" thickBot="1" x14ac:dyDescent="0.35">
      <c r="B15" s="2" t="s">
        <v>56</v>
      </c>
      <c r="C15" s="2" t="s">
        <v>96</v>
      </c>
      <c r="D15" s="2" t="s">
        <v>97</v>
      </c>
      <c r="E15" s="64">
        <v>33260</v>
      </c>
      <c r="F15" s="64">
        <v>42935</v>
      </c>
      <c r="G15" s="3">
        <v>45500</v>
      </c>
      <c r="J15" s="137" t="s">
        <v>418</v>
      </c>
      <c r="K15" s="138"/>
      <c r="M15" s="4" t="s">
        <v>93</v>
      </c>
      <c r="N15" s="4" t="s">
        <v>24</v>
      </c>
    </row>
    <row r="16" spans="2:14" x14ac:dyDescent="0.3">
      <c r="B16" s="2" t="s">
        <v>57</v>
      </c>
      <c r="C16" s="2" t="s">
        <v>94</v>
      </c>
      <c r="D16" s="2" t="s">
        <v>102</v>
      </c>
      <c r="E16" s="64">
        <v>31934</v>
      </c>
      <c r="F16" s="64">
        <v>41700</v>
      </c>
      <c r="G16" s="3">
        <v>51000</v>
      </c>
      <c r="M16" s="4">
        <v>52000</v>
      </c>
      <c r="N16" s="4" t="str">
        <f>_xlfn.XLOOKUP(M16,Employees[Salary],Employees[Name],"No Such Person")</f>
        <v>Amit Sharma</v>
      </c>
    </row>
    <row r="17" spans="2:18" ht="16.2" thickBot="1" x14ac:dyDescent="0.35">
      <c r="B17" s="2" t="s">
        <v>58</v>
      </c>
      <c r="C17" s="2" t="s">
        <v>96</v>
      </c>
      <c r="D17" s="2" t="s">
        <v>101</v>
      </c>
      <c r="E17" s="64"/>
      <c r="F17" s="64">
        <v>43766</v>
      </c>
      <c r="G17" s="3">
        <v>40200</v>
      </c>
      <c r="J17" s="149" t="s">
        <v>112</v>
      </c>
      <c r="K17" s="149"/>
    </row>
    <row r="18" spans="2:18" ht="16.2" thickBot="1" x14ac:dyDescent="0.35">
      <c r="B18" s="2" t="s">
        <v>59</v>
      </c>
      <c r="C18" s="2" t="s">
        <v>94</v>
      </c>
      <c r="D18" s="2" t="s">
        <v>99</v>
      </c>
      <c r="E18" s="64">
        <v>32283</v>
      </c>
      <c r="F18" s="64">
        <v>42627</v>
      </c>
      <c r="G18" s="3">
        <v>59500</v>
      </c>
      <c r="J18" s="75" t="s">
        <v>24</v>
      </c>
      <c r="K18" s="75" t="s">
        <v>62</v>
      </c>
      <c r="M18" s="137" t="s">
        <v>88</v>
      </c>
      <c r="N18" s="138"/>
    </row>
    <row r="19" spans="2:18" x14ac:dyDescent="0.3">
      <c r="B19" s="2" t="s">
        <v>60</v>
      </c>
      <c r="C19" s="2" t="s">
        <v>96</v>
      </c>
      <c r="D19" s="2" t="s">
        <v>100</v>
      </c>
      <c r="E19" s="64">
        <v>32912</v>
      </c>
      <c r="F19" s="64">
        <v>42311</v>
      </c>
      <c r="G19" s="3">
        <v>54000</v>
      </c>
      <c r="J19" s="40" t="s">
        <v>93</v>
      </c>
      <c r="K19" s="72">
        <f>_xlfn.XLOOKUP(K18,Employees[Name],Employees[Salary])</f>
        <v>47200</v>
      </c>
    </row>
    <row r="20" spans="2:18" x14ac:dyDescent="0.3">
      <c r="B20" s="2" t="s">
        <v>61</v>
      </c>
      <c r="C20" s="2" t="s">
        <v>94</v>
      </c>
      <c r="D20" s="2" t="s">
        <v>95</v>
      </c>
      <c r="E20" s="64">
        <v>31618</v>
      </c>
      <c r="F20" s="64">
        <v>41142</v>
      </c>
      <c r="G20" s="3">
        <v>49800</v>
      </c>
      <c r="M20" s="4" t="s">
        <v>164</v>
      </c>
      <c r="N20" s="4" t="s">
        <v>24</v>
      </c>
    </row>
    <row r="21" spans="2:18" ht="15" thickBot="1" x14ac:dyDescent="0.35">
      <c r="B21" s="2" t="s">
        <v>62</v>
      </c>
      <c r="C21" s="2" t="s">
        <v>94</v>
      </c>
      <c r="D21" s="2" t="s">
        <v>98</v>
      </c>
      <c r="E21" s="64">
        <v>32582</v>
      </c>
      <c r="F21" s="64">
        <v>42520</v>
      </c>
      <c r="G21" s="3">
        <v>47200</v>
      </c>
      <c r="M21" s="65">
        <f>M11</f>
        <v>42410</v>
      </c>
      <c r="N21" s="4" t="str">
        <f>_xlfn.XLOOKUP(M21,Employees[Start Date],Employees[Name])</f>
        <v>Neha Gupta</v>
      </c>
    </row>
    <row r="22" spans="2:18" ht="16.2" thickBot="1" x14ac:dyDescent="0.35">
      <c r="B22" s="2" t="s">
        <v>63</v>
      </c>
      <c r="C22" s="2" t="s">
        <v>96</v>
      </c>
      <c r="D22" s="2" t="s">
        <v>99</v>
      </c>
      <c r="E22" s="64">
        <v>33543</v>
      </c>
      <c r="F22" s="64">
        <v>43078</v>
      </c>
      <c r="G22" s="3">
        <v>61000</v>
      </c>
      <c r="J22" s="137" t="s">
        <v>420</v>
      </c>
      <c r="K22" s="138"/>
    </row>
    <row r="23" spans="2:18" x14ac:dyDescent="0.3">
      <c r="B23" s="2" t="s">
        <v>64</v>
      </c>
      <c r="C23" s="2" t="s">
        <v>94</v>
      </c>
      <c r="D23" s="2" t="s">
        <v>100</v>
      </c>
      <c r="E23" s="64">
        <v>31147</v>
      </c>
      <c r="F23" s="64">
        <v>41322</v>
      </c>
      <c r="G23" s="3">
        <v>57500</v>
      </c>
      <c r="M23" s="4" t="s">
        <v>93</v>
      </c>
      <c r="N23" s="4" t="s">
        <v>24</v>
      </c>
      <c r="O23" s="4" t="s">
        <v>89</v>
      </c>
      <c r="P23" s="4" t="s">
        <v>90</v>
      </c>
      <c r="Q23" s="4" t="s">
        <v>91</v>
      </c>
      <c r="R23" s="4" t="s">
        <v>92</v>
      </c>
    </row>
    <row r="24" spans="2:18" ht="15.6" x14ac:dyDescent="0.3">
      <c r="B24" s="2" t="s">
        <v>103</v>
      </c>
      <c r="C24" s="2" t="s">
        <v>96</v>
      </c>
      <c r="D24" s="2" t="s">
        <v>97</v>
      </c>
      <c r="E24" s="64">
        <v>33876</v>
      </c>
      <c r="F24" s="64">
        <v>43225</v>
      </c>
      <c r="G24" s="3">
        <v>46800</v>
      </c>
      <c r="J24" s="148" t="s">
        <v>113</v>
      </c>
      <c r="K24" s="148"/>
      <c r="M24" s="4">
        <f>M16</f>
        <v>52000</v>
      </c>
      <c r="N24" s="4" t="str" cm="1">
        <f t="array" ref="N24:R24">_xlfn.XLOOKUP(M24,Employees[Salary],Employees[[Name]:[Start Date]],"So such person")</f>
        <v>Amit Sharma</v>
      </c>
      <c r="O24" s="4" t="str">
        <v>Male</v>
      </c>
      <c r="P24" s="4" t="str">
        <v>Sales</v>
      </c>
      <c r="Q24" s="65">
        <v>31848</v>
      </c>
      <c r="R24" s="65">
        <v>42170</v>
      </c>
    </row>
    <row r="25" spans="2:18" x14ac:dyDescent="0.3">
      <c r="B25" s="2" t="s">
        <v>104</v>
      </c>
      <c r="C25" s="2" t="s">
        <v>94</v>
      </c>
      <c r="D25" s="2" t="s">
        <v>101</v>
      </c>
      <c r="E25" s="64">
        <v>31796</v>
      </c>
      <c r="F25" s="64">
        <v>41725</v>
      </c>
      <c r="G25" s="3">
        <v>43600</v>
      </c>
    </row>
    <row r="26" spans="2:18" x14ac:dyDescent="0.3">
      <c r="B26" s="2" t="s">
        <v>105</v>
      </c>
      <c r="C26" s="2" t="s">
        <v>96</v>
      </c>
      <c r="D26" s="2" t="s">
        <v>99</v>
      </c>
      <c r="E26" s="64">
        <v>34541</v>
      </c>
      <c r="F26" s="64">
        <v>44089</v>
      </c>
      <c r="G26" s="3">
        <v>55900</v>
      </c>
      <c r="J26" s="80" t="s">
        <v>114</v>
      </c>
      <c r="K26" s="80">
        <v>47000</v>
      </c>
    </row>
    <row r="27" spans="2:18" ht="15.6" x14ac:dyDescent="0.3">
      <c r="B27" s="2" t="s">
        <v>106</v>
      </c>
      <c r="C27" s="2" t="s">
        <v>94</v>
      </c>
      <c r="D27" s="2" t="s">
        <v>102</v>
      </c>
      <c r="E27" s="64">
        <v>31446</v>
      </c>
      <c r="F27" s="64">
        <v>40914</v>
      </c>
      <c r="G27" s="3">
        <v>52700</v>
      </c>
      <c r="J27" s="81" t="s">
        <v>24</v>
      </c>
      <c r="K27" s="17" t="str">
        <f>_xlfn.XLOOKUP(K26,Employees[Salary],Employees[Name],,1)</f>
        <v>Karan Shah</v>
      </c>
      <c r="M27" s="151" t="s">
        <v>118</v>
      </c>
      <c r="N27" s="151"/>
    </row>
    <row r="28" spans="2:18" x14ac:dyDescent="0.3">
      <c r="B28" s="2" t="s">
        <v>107</v>
      </c>
      <c r="C28" s="2" t="s">
        <v>96</v>
      </c>
      <c r="D28" s="2" t="s">
        <v>95</v>
      </c>
      <c r="E28" s="64"/>
      <c r="F28" s="64">
        <v>42485</v>
      </c>
      <c r="G28" s="3">
        <v>48900</v>
      </c>
      <c r="M28" s="83" t="s">
        <v>24</v>
      </c>
      <c r="N28" s="83" t="s">
        <v>62</v>
      </c>
    </row>
    <row r="29" spans="2:18" x14ac:dyDescent="0.3">
      <c r="B29" s="2" t="s">
        <v>108</v>
      </c>
      <c r="C29" s="2" t="s">
        <v>94</v>
      </c>
      <c r="D29" s="2" t="s">
        <v>100</v>
      </c>
      <c r="E29" s="64">
        <v>32428</v>
      </c>
      <c r="F29" s="64">
        <v>42205</v>
      </c>
      <c r="G29" s="3">
        <v>56300</v>
      </c>
      <c r="J29" s="82" t="s">
        <v>120</v>
      </c>
      <c r="K29" s="82">
        <v>47000</v>
      </c>
    </row>
    <row r="30" spans="2:18" x14ac:dyDescent="0.3">
      <c r="B30" s="2" t="s">
        <v>109</v>
      </c>
      <c r="C30" s="2" t="s">
        <v>96</v>
      </c>
      <c r="D30" s="2" t="s">
        <v>97</v>
      </c>
      <c r="E30" s="64"/>
      <c r="F30" s="64">
        <v>43414</v>
      </c>
      <c r="G30" s="3">
        <v>47400</v>
      </c>
      <c r="J30" s="67" t="s">
        <v>24</v>
      </c>
      <c r="K30" s="17" t="str">
        <f>_xlfn.XLOOKUP(K29,Employees[Salary],Employees[Name],,-1)</f>
        <v>Shweta Pillai</v>
      </c>
      <c r="M30" s="84" t="s">
        <v>119</v>
      </c>
    </row>
    <row r="31" spans="2:18" ht="15" thickBot="1" x14ac:dyDescent="0.35">
      <c r="B31" s="2" t="s">
        <v>110</v>
      </c>
      <c r="C31" s="2" t="s">
        <v>94</v>
      </c>
      <c r="D31" s="2" t="s">
        <v>98</v>
      </c>
      <c r="E31" s="64">
        <v>31207</v>
      </c>
      <c r="F31" s="64">
        <v>40943</v>
      </c>
      <c r="G31" s="3">
        <v>50500</v>
      </c>
      <c r="M31" s="17" t="str" cm="1">
        <f t="array" ref="M31:R31">_xlfn.XLOOKUP(N28,Employees[Name],Employees[])</f>
        <v>Karan Shah</v>
      </c>
      <c r="N31" s="17" t="str">
        <v>Male</v>
      </c>
      <c r="O31" s="17" t="str">
        <v>HR</v>
      </c>
      <c r="P31" s="79">
        <v>32582</v>
      </c>
      <c r="Q31" s="79">
        <v>42520</v>
      </c>
      <c r="R31" s="17">
        <v>47200</v>
      </c>
    </row>
    <row r="32" spans="2:18" ht="16.2" thickBot="1" x14ac:dyDescent="0.35">
      <c r="B32" s="2" t="s">
        <v>111</v>
      </c>
      <c r="C32" s="2" t="s">
        <v>96</v>
      </c>
      <c r="D32" s="2" t="s">
        <v>99</v>
      </c>
      <c r="E32" s="64">
        <v>34051</v>
      </c>
      <c r="F32" s="64">
        <v>43695</v>
      </c>
      <c r="G32" s="3">
        <v>60800</v>
      </c>
      <c r="J32" s="137" t="s">
        <v>419</v>
      </c>
      <c r="K32" s="138"/>
    </row>
    <row r="33" spans="10:13" x14ac:dyDescent="0.3">
      <c r="M33" s="17" t="str" cm="1">
        <f t="array" ref="M33:M38">TRANSPOSE(_xlfn.XLOOKUP(N28,Employees[Name],Employees[]))</f>
        <v>Karan Shah</v>
      </c>
    </row>
    <row r="34" spans="10:13" ht="15.6" x14ac:dyDescent="0.3">
      <c r="J34" s="150" t="s">
        <v>115</v>
      </c>
      <c r="K34" s="150"/>
      <c r="M34" s="17" t="str">
        <v>Male</v>
      </c>
    </row>
    <row r="35" spans="10:13" x14ac:dyDescent="0.3">
      <c r="J35" s="76" t="s">
        <v>116</v>
      </c>
      <c r="K35" s="76" t="s">
        <v>121</v>
      </c>
      <c r="M35" s="17" t="str">
        <v>HR</v>
      </c>
    </row>
    <row r="36" spans="10:13" x14ac:dyDescent="0.3">
      <c r="J36" s="77" t="s">
        <v>117</v>
      </c>
      <c r="K36" s="78" t="str">
        <f>_xlfn.XLOOKUP("*"&amp;K35&amp;"*",Employees[Name],Employees[Name],,2)</f>
        <v>Meena Iyer</v>
      </c>
      <c r="M36" s="79">
        <v>32582</v>
      </c>
    </row>
    <row r="37" spans="10:13" x14ac:dyDescent="0.3">
      <c r="J37" s="77" t="s">
        <v>90</v>
      </c>
      <c r="K37" s="78" t="str">
        <f>_xlfn.XLOOKUP("*"&amp;K35&amp;"*",Employees[Name],Employees[Department],,2)</f>
        <v>Finance</v>
      </c>
      <c r="M37" s="79">
        <v>42520</v>
      </c>
    </row>
    <row r="38" spans="10:13" x14ac:dyDescent="0.3">
      <c r="J38" s="77" t="s">
        <v>93</v>
      </c>
      <c r="K38" s="78">
        <f>_xlfn.XLOOKUP("*"&amp;K35&amp;"*",Employees[Name],Employees[Salary],,2)</f>
        <v>54000</v>
      </c>
      <c r="M38" s="17">
        <v>47200</v>
      </c>
    </row>
  </sheetData>
  <mergeCells count="13">
    <mergeCell ref="J34:K34"/>
    <mergeCell ref="M27:N27"/>
    <mergeCell ref="M8:N8"/>
    <mergeCell ref="J22:K22"/>
    <mergeCell ref="J32:K32"/>
    <mergeCell ref="M18:N18"/>
    <mergeCell ref="J24:K24"/>
    <mergeCell ref="J17:K17"/>
    <mergeCell ref="M3:N3"/>
    <mergeCell ref="M13:N13"/>
    <mergeCell ref="J2:K2"/>
    <mergeCell ref="J8:K8"/>
    <mergeCell ref="J15:K15"/>
  </mergeCells>
  <dataValidations count="1">
    <dataValidation type="list" allowBlank="1" showInputMessage="1" showErrorMessage="1" sqref="K18 N28 K4" xr:uid="{2E2ABBC9-B2C9-48A3-8AD5-4FB4EAA808D9}">
      <formula1>$B$3:$B$32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E47A-6802-4C19-ADA2-1694B37E5A3E}">
  <dimension ref="A2:AD89"/>
  <sheetViews>
    <sheetView showGridLines="0" topLeftCell="D32" workbookViewId="0">
      <selection activeCell="U57" sqref="U57"/>
    </sheetView>
  </sheetViews>
  <sheetFormatPr defaultRowHeight="14.4" x14ac:dyDescent="0.3"/>
  <cols>
    <col min="2" max="2" width="13.77734375" customWidth="1"/>
    <col min="3" max="3" width="9.77734375" customWidth="1"/>
    <col min="4" max="4" width="13.33203125" customWidth="1"/>
    <col min="5" max="5" width="11.44140625" customWidth="1"/>
    <col min="6" max="6" width="9.5546875" bestFit="1" customWidth="1"/>
    <col min="9" max="9" width="13" bestFit="1" customWidth="1"/>
    <col min="10" max="10" width="7.33203125" bestFit="1" customWidth="1"/>
    <col min="11" max="11" width="13" bestFit="1" customWidth="1"/>
    <col min="12" max="12" width="10.33203125" bestFit="1" customWidth="1"/>
    <col min="16" max="16" width="17.77734375" bestFit="1" customWidth="1"/>
    <col min="20" max="20" width="13.5546875" bestFit="1" customWidth="1"/>
    <col min="22" max="22" width="12.109375" bestFit="1" customWidth="1"/>
    <col min="23" max="23" width="11.33203125" bestFit="1" customWidth="1"/>
    <col min="25" max="25" width="10.33203125" bestFit="1" customWidth="1"/>
  </cols>
  <sheetData>
    <row r="2" spans="2:30" x14ac:dyDescent="0.3">
      <c r="B2" t="s">
        <v>24</v>
      </c>
      <c r="C2" t="s">
        <v>89</v>
      </c>
      <c r="D2" t="s">
        <v>90</v>
      </c>
      <c r="E2" t="s">
        <v>92</v>
      </c>
      <c r="F2" t="s">
        <v>93</v>
      </c>
    </row>
    <row r="3" spans="2:30" ht="18" x14ac:dyDescent="0.35">
      <c r="B3" t="s">
        <v>28</v>
      </c>
      <c r="C3" t="s">
        <v>94</v>
      </c>
      <c r="D3" t="s">
        <v>95</v>
      </c>
      <c r="E3" s="63">
        <v>42170</v>
      </c>
      <c r="F3" s="87">
        <v>52000</v>
      </c>
      <c r="I3" s="153" t="s">
        <v>96</v>
      </c>
      <c r="J3" s="154"/>
      <c r="R3" s="153" t="s">
        <v>122</v>
      </c>
      <c r="S3" s="154"/>
      <c r="V3" s="86" t="s">
        <v>89</v>
      </c>
      <c r="W3" s="86" t="s">
        <v>90</v>
      </c>
      <c r="AC3" t="s">
        <v>94</v>
      </c>
      <c r="AD3" t="s">
        <v>95</v>
      </c>
    </row>
    <row r="4" spans="2:30" x14ac:dyDescent="0.3">
      <c r="B4" t="s">
        <v>36</v>
      </c>
      <c r="C4" t="s">
        <v>96</v>
      </c>
      <c r="D4" t="s">
        <v>97</v>
      </c>
      <c r="E4" s="63">
        <v>42410</v>
      </c>
      <c r="F4" s="87">
        <v>48500</v>
      </c>
      <c r="I4" t="str" cm="1">
        <f t="array" ref="I4:M18">_xlfn._xlws.FILTER(Company_A[],Company_A[Gender]=I3)</f>
        <v>Neha Gupta</v>
      </c>
      <c r="J4" t="str">
        <v>Female</v>
      </c>
      <c r="K4" t="str">
        <v>Marketing</v>
      </c>
      <c r="L4" s="63">
        <v>42410</v>
      </c>
      <c r="M4">
        <v>48500</v>
      </c>
      <c r="P4" t="str" cm="1">
        <f t="array" ref="P4:P18">_xlfn._xlws.FILTER(Company_A[Name],Company_A[Gender]=I3)</f>
        <v>Neha Gupta</v>
      </c>
      <c r="R4" s="155">
        <f>COUNTA(_xlfn.ANCHORARRAY(P4))</f>
        <v>15</v>
      </c>
      <c r="S4" s="155"/>
      <c r="V4" s="85" t="s">
        <v>96</v>
      </c>
      <c r="W4" s="85" t="s">
        <v>99</v>
      </c>
      <c r="AC4" t="s">
        <v>96</v>
      </c>
      <c r="AD4" t="s">
        <v>97</v>
      </c>
    </row>
    <row r="5" spans="2:30" x14ac:dyDescent="0.3">
      <c r="B5" t="s">
        <v>38</v>
      </c>
      <c r="C5" t="s">
        <v>94</v>
      </c>
      <c r="D5" t="s">
        <v>98</v>
      </c>
      <c r="E5" s="63">
        <v>41334</v>
      </c>
      <c r="F5" s="87">
        <v>46000</v>
      </c>
      <c r="I5" t="str">
        <v>Kavita Rao</v>
      </c>
      <c r="J5" t="str">
        <v>Female</v>
      </c>
      <c r="K5" t="str">
        <v>IT</v>
      </c>
      <c r="L5" s="63">
        <v>42967</v>
      </c>
      <c r="M5">
        <v>60000</v>
      </c>
      <c r="P5" t="str">
        <v>Kavita Rao</v>
      </c>
      <c r="R5" s="155"/>
      <c r="S5" s="155"/>
      <c r="V5" t="str" cm="1">
        <f t="array" ref="V5:Z5">Company_A[#Headers]</f>
        <v>Name</v>
      </c>
      <c r="W5" t="str">
        <v>Gender</v>
      </c>
      <c r="X5" t="str">
        <v>Department</v>
      </c>
      <c r="Y5" t="str">
        <v>Start Date</v>
      </c>
      <c r="Z5" t="str">
        <v>Salary</v>
      </c>
      <c r="AD5" t="s">
        <v>98</v>
      </c>
    </row>
    <row r="6" spans="2:30" x14ac:dyDescent="0.3">
      <c r="B6" t="s">
        <v>40</v>
      </c>
      <c r="C6" t="s">
        <v>96</v>
      </c>
      <c r="D6" t="s">
        <v>99</v>
      </c>
      <c r="E6" s="63">
        <v>42967</v>
      </c>
      <c r="F6" s="87">
        <v>60000</v>
      </c>
      <c r="I6" t="str">
        <v>Priya Mehta</v>
      </c>
      <c r="J6" t="str">
        <v>Female</v>
      </c>
      <c r="K6" t="str">
        <v>Admin</v>
      </c>
      <c r="L6" s="63">
        <v>43365</v>
      </c>
      <c r="M6">
        <v>42000</v>
      </c>
      <c r="P6" t="str">
        <v>Priya Mehta</v>
      </c>
      <c r="V6" t="str" cm="1">
        <f t="array" ref="V6:Z11">_xlfn._xlws.FILTER(Company_A[],(Company_A[Gender]=V4)*(Company_A[Department]=W4))</f>
        <v>Kavita Rao</v>
      </c>
      <c r="W6" t="str">
        <v>Female</v>
      </c>
      <c r="X6" t="str">
        <v>IT</v>
      </c>
      <c r="Y6" s="63">
        <v>42967</v>
      </c>
      <c r="Z6">
        <v>60000</v>
      </c>
      <c r="AD6" t="s">
        <v>99</v>
      </c>
    </row>
    <row r="7" spans="2:30" x14ac:dyDescent="0.3">
      <c r="B7" t="s">
        <v>42</v>
      </c>
      <c r="C7" t="s">
        <v>94</v>
      </c>
      <c r="D7" t="s">
        <v>100</v>
      </c>
      <c r="E7" s="63">
        <v>41644</v>
      </c>
      <c r="F7" s="87">
        <v>55500</v>
      </c>
      <c r="I7" t="str">
        <v>Sneha Joshi</v>
      </c>
      <c r="J7" t="str">
        <v>Female</v>
      </c>
      <c r="K7" t="str">
        <v>IT</v>
      </c>
      <c r="L7" s="63">
        <v>43567</v>
      </c>
      <c r="M7">
        <v>58500</v>
      </c>
      <c r="P7" t="str">
        <v>Sneha Joshi</v>
      </c>
      <c r="V7" t="str">
        <v>Sneha Joshi</v>
      </c>
      <c r="W7" t="str">
        <v>Female</v>
      </c>
      <c r="X7" t="str">
        <v>IT</v>
      </c>
      <c r="Y7" s="63">
        <v>43567</v>
      </c>
      <c r="Z7">
        <v>58500</v>
      </c>
      <c r="AD7" t="s">
        <v>100</v>
      </c>
    </row>
    <row r="8" spans="2:30" x14ac:dyDescent="0.3">
      <c r="B8" t="s">
        <v>44</v>
      </c>
      <c r="C8" t="s">
        <v>96</v>
      </c>
      <c r="D8" t="s">
        <v>101</v>
      </c>
      <c r="E8" s="63">
        <v>43365</v>
      </c>
      <c r="F8" s="87">
        <v>42000</v>
      </c>
      <c r="I8" t="str">
        <v>Pooja Nair</v>
      </c>
      <c r="J8" t="str">
        <v>Female</v>
      </c>
      <c r="K8" t="str">
        <v>Finance</v>
      </c>
      <c r="L8" s="63">
        <v>42188</v>
      </c>
      <c r="M8">
        <v>53200</v>
      </c>
      <c r="P8" t="str">
        <v>Pooja Nair</v>
      </c>
      <c r="V8" t="str">
        <v>Anjali Sen</v>
      </c>
      <c r="W8" t="str">
        <v>Female</v>
      </c>
      <c r="X8" t="str">
        <v>IT</v>
      </c>
      <c r="Y8" s="63">
        <v>43258</v>
      </c>
      <c r="Z8">
        <v>62000</v>
      </c>
      <c r="AD8" t="s">
        <v>101</v>
      </c>
    </row>
    <row r="9" spans="2:30" x14ac:dyDescent="0.3">
      <c r="B9" t="s">
        <v>46</v>
      </c>
      <c r="C9" t="s">
        <v>94</v>
      </c>
      <c r="D9" t="s">
        <v>102</v>
      </c>
      <c r="E9" s="63">
        <v>41231</v>
      </c>
      <c r="F9" s="87">
        <v>50000</v>
      </c>
      <c r="I9" t="str">
        <v>Anjali Sen</v>
      </c>
      <c r="J9" t="str">
        <v>Female</v>
      </c>
      <c r="K9" t="str">
        <v>IT</v>
      </c>
      <c r="L9" s="63">
        <v>43258</v>
      </c>
      <c r="M9">
        <v>62000</v>
      </c>
      <c r="P9" t="str">
        <v>Anjali Sen</v>
      </c>
      <c r="V9" t="str">
        <v>Aditi Reddy</v>
      </c>
      <c r="W9" t="str">
        <v>Female</v>
      </c>
      <c r="X9" t="str">
        <v>IT</v>
      </c>
      <c r="Y9" s="63">
        <v>43078</v>
      </c>
      <c r="Z9">
        <v>61000</v>
      </c>
      <c r="AD9" t="s">
        <v>102</v>
      </c>
    </row>
    <row r="10" spans="2:30" x14ac:dyDescent="0.3">
      <c r="B10" t="s">
        <v>47</v>
      </c>
      <c r="C10" t="s">
        <v>96</v>
      </c>
      <c r="D10" t="s">
        <v>99</v>
      </c>
      <c r="E10" s="63">
        <v>43567</v>
      </c>
      <c r="F10" s="87">
        <v>58500</v>
      </c>
      <c r="I10" t="str">
        <v>Deepa Kaur</v>
      </c>
      <c r="J10" t="str">
        <v>Female</v>
      </c>
      <c r="K10" t="str">
        <v>Marketing</v>
      </c>
      <c r="L10" s="63">
        <v>42935</v>
      </c>
      <c r="M10">
        <v>45500</v>
      </c>
      <c r="P10" t="str">
        <v>Deepa Kaur</v>
      </c>
      <c r="V10" t="str">
        <v>Tanya Kapoor</v>
      </c>
      <c r="W10" t="str">
        <v>Female</v>
      </c>
      <c r="X10" t="str">
        <v>IT</v>
      </c>
      <c r="Y10" s="63">
        <v>44089</v>
      </c>
      <c r="Z10">
        <v>55900</v>
      </c>
    </row>
    <row r="11" spans="2:30" x14ac:dyDescent="0.3">
      <c r="B11" t="s">
        <v>49</v>
      </c>
      <c r="C11" t="s">
        <v>94</v>
      </c>
      <c r="D11" t="s">
        <v>95</v>
      </c>
      <c r="E11" s="63">
        <v>42515</v>
      </c>
      <c r="F11" s="87">
        <v>47800</v>
      </c>
      <c r="I11" t="str">
        <v>Rekha Singh</v>
      </c>
      <c r="J11" t="str">
        <v>Female</v>
      </c>
      <c r="K11" t="str">
        <v>Admin</v>
      </c>
      <c r="L11" s="63">
        <v>43766</v>
      </c>
      <c r="M11">
        <v>40200</v>
      </c>
      <c r="P11" t="str">
        <v>Rekha Singh</v>
      </c>
      <c r="V11" t="str">
        <v>Pallavi Rao</v>
      </c>
      <c r="W11" t="str">
        <v>Female</v>
      </c>
      <c r="X11" t="str">
        <v>IT</v>
      </c>
      <c r="Y11" s="63">
        <v>43695</v>
      </c>
      <c r="Z11">
        <v>60800</v>
      </c>
    </row>
    <row r="12" spans="2:30" x14ac:dyDescent="0.3">
      <c r="B12" t="s">
        <v>51</v>
      </c>
      <c r="C12" t="s">
        <v>96</v>
      </c>
      <c r="D12" t="s">
        <v>100</v>
      </c>
      <c r="E12" s="63">
        <v>42188</v>
      </c>
      <c r="F12" s="87">
        <v>53200</v>
      </c>
      <c r="I12" t="str">
        <v>Meena Iyer</v>
      </c>
      <c r="J12" t="str">
        <v>Female</v>
      </c>
      <c r="K12" t="str">
        <v>Finance</v>
      </c>
      <c r="L12" s="63">
        <v>42311</v>
      </c>
      <c r="M12">
        <v>54000</v>
      </c>
      <c r="P12" t="str">
        <v>Meena Iyer</v>
      </c>
      <c r="Y12" s="63"/>
    </row>
    <row r="13" spans="2:30" x14ac:dyDescent="0.3">
      <c r="B13" t="s">
        <v>53</v>
      </c>
      <c r="C13" t="s">
        <v>94</v>
      </c>
      <c r="D13" t="s">
        <v>98</v>
      </c>
      <c r="E13" s="63">
        <v>40585</v>
      </c>
      <c r="F13" s="87">
        <v>49500</v>
      </c>
      <c r="I13" t="str">
        <v>Aditi Reddy</v>
      </c>
      <c r="J13" t="str">
        <v>Female</v>
      </c>
      <c r="K13" t="str">
        <v>IT</v>
      </c>
      <c r="L13" s="63">
        <v>43078</v>
      </c>
      <c r="M13">
        <v>61000</v>
      </c>
      <c r="P13" t="str">
        <v>Aditi Reddy</v>
      </c>
      <c r="Y13" s="63"/>
    </row>
    <row r="14" spans="2:30" x14ac:dyDescent="0.3">
      <c r="B14" t="s">
        <v>55</v>
      </c>
      <c r="C14" t="s">
        <v>96</v>
      </c>
      <c r="D14" t="s">
        <v>99</v>
      </c>
      <c r="E14" s="63">
        <v>43258</v>
      </c>
      <c r="F14" s="87">
        <v>62000</v>
      </c>
      <c r="I14" t="str">
        <v>Shweta Pillai</v>
      </c>
      <c r="J14" t="str">
        <v>Female</v>
      </c>
      <c r="K14" t="str">
        <v>Marketing</v>
      </c>
      <c r="L14" s="63">
        <v>43225</v>
      </c>
      <c r="M14">
        <v>46800</v>
      </c>
      <c r="P14" t="str">
        <v>Shweta Pillai</v>
      </c>
      <c r="Y14" s="63"/>
    </row>
    <row r="15" spans="2:30" x14ac:dyDescent="0.3">
      <c r="B15" t="s">
        <v>56</v>
      </c>
      <c r="C15" t="s">
        <v>96</v>
      </c>
      <c r="D15" t="s">
        <v>97</v>
      </c>
      <c r="E15" s="63">
        <v>42935</v>
      </c>
      <c r="F15" s="87">
        <v>45500</v>
      </c>
      <c r="I15" t="str">
        <v>Tanya Kapoor</v>
      </c>
      <c r="J15" t="str">
        <v>Female</v>
      </c>
      <c r="K15" t="str">
        <v>IT</v>
      </c>
      <c r="L15" s="63">
        <v>44089</v>
      </c>
      <c r="M15">
        <v>55900</v>
      </c>
      <c r="P15" t="str">
        <v>Tanya Kapoor</v>
      </c>
      <c r="Y15" s="63"/>
    </row>
    <row r="16" spans="2:30" x14ac:dyDescent="0.3">
      <c r="B16" t="s">
        <v>57</v>
      </c>
      <c r="C16" t="s">
        <v>94</v>
      </c>
      <c r="D16" t="s">
        <v>102</v>
      </c>
      <c r="E16" s="63">
        <v>41700</v>
      </c>
      <c r="F16" s="87">
        <v>51000</v>
      </c>
      <c r="I16" t="str">
        <v>Ritu Sharma</v>
      </c>
      <c r="J16" t="str">
        <v>Female</v>
      </c>
      <c r="K16" t="str">
        <v>Sales</v>
      </c>
      <c r="L16" s="63">
        <v>42485</v>
      </c>
      <c r="M16">
        <v>48900</v>
      </c>
      <c r="P16" t="str">
        <v>Ritu Sharma</v>
      </c>
      <c r="Y16" s="63"/>
    </row>
    <row r="17" spans="2:26" x14ac:dyDescent="0.3">
      <c r="B17" t="s">
        <v>58</v>
      </c>
      <c r="C17" t="s">
        <v>96</v>
      </c>
      <c r="D17" t="s">
        <v>101</v>
      </c>
      <c r="E17" s="63">
        <v>43766</v>
      </c>
      <c r="F17" s="87">
        <v>40200</v>
      </c>
      <c r="I17" t="str">
        <v>Sonali Desai</v>
      </c>
      <c r="J17" t="str">
        <v>Female</v>
      </c>
      <c r="K17" t="str">
        <v>Marketing</v>
      </c>
      <c r="L17" s="63">
        <v>43414</v>
      </c>
      <c r="M17">
        <v>47400</v>
      </c>
      <c r="P17" t="str">
        <v>Sonali Desai</v>
      </c>
      <c r="Y17" s="63"/>
    </row>
    <row r="18" spans="2:26" x14ac:dyDescent="0.3">
      <c r="B18" t="s">
        <v>59</v>
      </c>
      <c r="C18" t="s">
        <v>94</v>
      </c>
      <c r="D18" t="s">
        <v>99</v>
      </c>
      <c r="E18" s="63">
        <v>42627</v>
      </c>
      <c r="F18" s="87">
        <v>59500</v>
      </c>
      <c r="I18" t="str">
        <v>Pallavi Rao</v>
      </c>
      <c r="J18" t="str">
        <v>Female</v>
      </c>
      <c r="K18" t="str">
        <v>IT</v>
      </c>
      <c r="L18" s="63">
        <v>43695</v>
      </c>
      <c r="M18">
        <v>60800</v>
      </c>
      <c r="P18" t="str">
        <v>Pallavi Rao</v>
      </c>
      <c r="Y18" s="63"/>
    </row>
    <row r="19" spans="2:26" x14ac:dyDescent="0.3">
      <c r="B19" t="s">
        <v>60</v>
      </c>
      <c r="C19" t="s">
        <v>96</v>
      </c>
      <c r="D19" t="s">
        <v>100</v>
      </c>
      <c r="E19" s="63">
        <v>42311</v>
      </c>
      <c r="F19" s="87">
        <v>54000</v>
      </c>
    </row>
    <row r="20" spans="2:26" x14ac:dyDescent="0.3">
      <c r="B20" t="s">
        <v>61</v>
      </c>
      <c r="C20" t="s">
        <v>94</v>
      </c>
      <c r="D20" t="s">
        <v>95</v>
      </c>
      <c r="E20" s="63">
        <v>41142</v>
      </c>
      <c r="F20" s="87">
        <v>49800</v>
      </c>
    </row>
    <row r="21" spans="2:26" x14ac:dyDescent="0.3">
      <c r="B21" t="s">
        <v>62</v>
      </c>
      <c r="C21" t="s">
        <v>94</v>
      </c>
      <c r="D21" t="s">
        <v>98</v>
      </c>
      <c r="E21" s="63">
        <v>42520</v>
      </c>
      <c r="F21" s="87">
        <v>47200</v>
      </c>
    </row>
    <row r="22" spans="2:26" x14ac:dyDescent="0.3">
      <c r="B22" t="s">
        <v>63</v>
      </c>
      <c r="C22" t="s">
        <v>96</v>
      </c>
      <c r="D22" t="s">
        <v>99</v>
      </c>
      <c r="E22" s="63">
        <v>43078</v>
      </c>
      <c r="F22" s="87">
        <v>61000</v>
      </c>
    </row>
    <row r="23" spans="2:26" x14ac:dyDescent="0.3">
      <c r="B23" t="s">
        <v>64</v>
      </c>
      <c r="C23" t="s">
        <v>94</v>
      </c>
      <c r="D23" t="s">
        <v>100</v>
      </c>
      <c r="E23" s="63">
        <v>41322</v>
      </c>
      <c r="F23" s="87">
        <v>57500</v>
      </c>
      <c r="V23" s="86" t="s">
        <v>90</v>
      </c>
      <c r="W23" s="86" t="s">
        <v>123</v>
      </c>
    </row>
    <row r="24" spans="2:26" x14ac:dyDescent="0.3">
      <c r="B24" t="s">
        <v>103</v>
      </c>
      <c r="C24" t="s">
        <v>96</v>
      </c>
      <c r="D24" t="s">
        <v>97</v>
      </c>
      <c r="E24" s="63">
        <v>43225</v>
      </c>
      <c r="F24" s="87">
        <v>46800</v>
      </c>
      <c r="V24" s="85" t="s">
        <v>99</v>
      </c>
      <c r="W24" s="85">
        <v>60000</v>
      </c>
    </row>
    <row r="25" spans="2:26" x14ac:dyDescent="0.3">
      <c r="B25" t="s">
        <v>104</v>
      </c>
      <c r="C25" t="s">
        <v>94</v>
      </c>
      <c r="D25" t="s">
        <v>101</v>
      </c>
      <c r="E25" s="63">
        <v>41725</v>
      </c>
      <c r="F25" s="87">
        <v>43600</v>
      </c>
      <c r="V25" t="str" cm="1">
        <f t="array" ref="V25:Z25">Company_A[#Headers]</f>
        <v>Name</v>
      </c>
      <c r="W25" t="str">
        <v>Gender</v>
      </c>
      <c r="X25" t="str">
        <v>Department</v>
      </c>
      <c r="Y25" t="str">
        <v>Start Date</v>
      </c>
      <c r="Z25" t="str">
        <v>Salary</v>
      </c>
    </row>
    <row r="26" spans="2:26" x14ac:dyDescent="0.3">
      <c r="B26" t="s">
        <v>105</v>
      </c>
      <c r="C26" t="s">
        <v>96</v>
      </c>
      <c r="D26" t="s">
        <v>99</v>
      </c>
      <c r="E26" s="63">
        <v>44089</v>
      </c>
      <c r="F26" s="87">
        <v>55900</v>
      </c>
      <c r="V26" t="str" cm="1">
        <f t="array" ref="V26:Z28">_xlfn._xlws.FILTER(Company_A[],(Company_A[Department]=V24)*(Company_A[Salary]&gt;W24))</f>
        <v>Anjali Sen</v>
      </c>
      <c r="W26" t="str">
        <v>Female</v>
      </c>
      <c r="X26" t="str">
        <v>IT</v>
      </c>
      <c r="Y26" s="63">
        <v>43258</v>
      </c>
      <c r="Z26">
        <v>62000</v>
      </c>
    </row>
    <row r="27" spans="2:26" x14ac:dyDescent="0.3">
      <c r="B27" t="s">
        <v>106</v>
      </c>
      <c r="C27" t="s">
        <v>94</v>
      </c>
      <c r="D27" t="s">
        <v>102</v>
      </c>
      <c r="E27" s="63">
        <v>40914</v>
      </c>
      <c r="F27" s="87">
        <v>52700</v>
      </c>
      <c r="V27" t="str">
        <v>Aditi Reddy</v>
      </c>
      <c r="W27" t="str">
        <v>Female</v>
      </c>
      <c r="X27" t="str">
        <v>IT</v>
      </c>
      <c r="Y27" s="63">
        <v>43078</v>
      </c>
      <c r="Z27">
        <v>61000</v>
      </c>
    </row>
    <row r="28" spans="2:26" x14ac:dyDescent="0.3">
      <c r="B28" t="s">
        <v>107</v>
      </c>
      <c r="C28" t="s">
        <v>96</v>
      </c>
      <c r="D28" t="s">
        <v>95</v>
      </c>
      <c r="E28" s="63">
        <v>42485</v>
      </c>
      <c r="F28" s="87">
        <v>48900</v>
      </c>
      <c r="V28" t="str">
        <v>Pallavi Rao</v>
      </c>
      <c r="W28" t="str">
        <v>Female</v>
      </c>
      <c r="X28" t="str">
        <v>IT</v>
      </c>
      <c r="Y28" s="63">
        <v>43695</v>
      </c>
      <c r="Z28">
        <v>60800</v>
      </c>
    </row>
    <row r="29" spans="2:26" x14ac:dyDescent="0.3">
      <c r="B29" t="s">
        <v>108</v>
      </c>
      <c r="C29" t="s">
        <v>94</v>
      </c>
      <c r="D29" t="s">
        <v>100</v>
      </c>
      <c r="E29" s="63">
        <v>42205</v>
      </c>
      <c r="F29" s="87">
        <v>56300</v>
      </c>
      <c r="Y29" s="63"/>
    </row>
    <row r="30" spans="2:26" x14ac:dyDescent="0.3">
      <c r="B30" t="s">
        <v>109</v>
      </c>
      <c r="C30" t="s">
        <v>96</v>
      </c>
      <c r="D30" t="s">
        <v>97</v>
      </c>
      <c r="E30" s="63">
        <v>43414</v>
      </c>
      <c r="F30" s="87">
        <v>47400</v>
      </c>
      <c r="Y30" s="63"/>
    </row>
    <row r="31" spans="2:26" x14ac:dyDescent="0.3">
      <c r="B31" t="s">
        <v>110</v>
      </c>
      <c r="C31" t="s">
        <v>94</v>
      </c>
      <c r="D31" t="s">
        <v>98</v>
      </c>
      <c r="E31" s="63">
        <v>40943</v>
      </c>
      <c r="F31" s="87">
        <v>50500</v>
      </c>
      <c r="V31" s="156" t="s">
        <v>124</v>
      </c>
      <c r="W31" s="156"/>
      <c r="Y31" s="63"/>
    </row>
    <row r="32" spans="2:26" x14ac:dyDescent="0.3">
      <c r="B32" t="s">
        <v>111</v>
      </c>
      <c r="C32" t="s">
        <v>96</v>
      </c>
      <c r="D32" t="s">
        <v>99</v>
      </c>
      <c r="E32" s="63">
        <v>43695</v>
      </c>
      <c r="F32" s="87">
        <v>60800</v>
      </c>
      <c r="V32" s="156"/>
      <c r="W32" s="156"/>
      <c r="Y32" s="63"/>
    </row>
    <row r="33" spans="1:26" x14ac:dyDescent="0.3">
      <c r="Y33" s="63"/>
    </row>
    <row r="34" spans="1:26" x14ac:dyDescent="0.3">
      <c r="V34" s="86" t="s">
        <v>90</v>
      </c>
      <c r="W34" s="86" t="s">
        <v>123</v>
      </c>
      <c r="Y34" s="63"/>
    </row>
    <row r="35" spans="1:26" x14ac:dyDescent="0.3">
      <c r="V35" s="85" t="s">
        <v>102</v>
      </c>
      <c r="W35" s="85">
        <v>50000</v>
      </c>
      <c r="Y35" s="63"/>
    </row>
    <row r="36" spans="1:26" x14ac:dyDescent="0.3">
      <c r="Y36" s="63"/>
    </row>
    <row r="37" spans="1:26" x14ac:dyDescent="0.3">
      <c r="Y37" s="63"/>
    </row>
    <row r="38" spans="1:26" x14ac:dyDescent="0.3">
      <c r="V38" t="str" cm="1">
        <f t="array" ref="V38:Z40">_xlfn._xlws.FILTER(Company_A[],(Company_A[Department]=V35)+(Company_A[Start Date]&gt;W35))</f>
        <v>Arjun Das</v>
      </c>
      <c r="W38" t="str">
        <v>Male</v>
      </c>
      <c r="X38" t="str">
        <v>Operations</v>
      </c>
      <c r="Y38" s="63">
        <v>41231</v>
      </c>
      <c r="Z38">
        <v>50000</v>
      </c>
    </row>
    <row r="39" spans="1:26" x14ac:dyDescent="0.3">
      <c r="A39" t="s">
        <v>129</v>
      </c>
      <c r="B39" s="1" t="s">
        <v>0</v>
      </c>
      <c r="C39" s="1" t="s">
        <v>125</v>
      </c>
      <c r="D39" s="1" t="s">
        <v>126</v>
      </c>
      <c r="E39" s="1" t="s">
        <v>127</v>
      </c>
      <c r="F39" s="1" t="s">
        <v>128</v>
      </c>
      <c r="I39" s="156" t="s">
        <v>154</v>
      </c>
      <c r="J39" s="156"/>
      <c r="V39" t="str">
        <v>Sameer Khan</v>
      </c>
      <c r="W39" t="str">
        <v>Male</v>
      </c>
      <c r="X39" t="str">
        <v>Operations</v>
      </c>
      <c r="Y39" s="63">
        <v>41700</v>
      </c>
      <c r="Z39">
        <v>51000</v>
      </c>
    </row>
    <row r="40" spans="1:26" x14ac:dyDescent="0.3">
      <c r="A40" t="s">
        <v>130</v>
      </c>
      <c r="B40" s="2" t="s">
        <v>28</v>
      </c>
      <c r="C40" s="2" t="s">
        <v>129</v>
      </c>
      <c r="D40" s="2" t="s">
        <v>33</v>
      </c>
      <c r="E40" s="3">
        <v>12500</v>
      </c>
      <c r="F40" s="2">
        <v>250</v>
      </c>
      <c r="I40" s="156"/>
      <c r="J40" s="156"/>
      <c r="V40" t="str">
        <v>Mohan Lal</v>
      </c>
      <c r="W40" t="str">
        <v>Male</v>
      </c>
      <c r="X40" t="str">
        <v>Operations</v>
      </c>
      <c r="Y40" s="63">
        <v>40914</v>
      </c>
      <c r="Z40">
        <v>52700</v>
      </c>
    </row>
    <row r="41" spans="1:26" x14ac:dyDescent="0.3">
      <c r="A41" t="s">
        <v>131</v>
      </c>
      <c r="B41" s="2" t="s">
        <v>36</v>
      </c>
      <c r="C41" s="2" t="s">
        <v>130</v>
      </c>
      <c r="D41" s="2" t="s">
        <v>65</v>
      </c>
      <c r="E41" s="3">
        <v>15200</v>
      </c>
      <c r="F41" s="2">
        <v>310</v>
      </c>
      <c r="Y41" s="63"/>
    </row>
    <row r="42" spans="1:26" x14ac:dyDescent="0.3">
      <c r="A42" t="s">
        <v>132</v>
      </c>
      <c r="B42" s="2" t="s">
        <v>38</v>
      </c>
      <c r="C42" s="2" t="s">
        <v>131</v>
      </c>
      <c r="D42" s="2" t="s">
        <v>66</v>
      </c>
      <c r="E42" s="3">
        <v>18700</v>
      </c>
      <c r="F42" s="2">
        <v>370</v>
      </c>
      <c r="I42" s="85" t="s">
        <v>155</v>
      </c>
      <c r="J42" s="85" t="s">
        <v>129</v>
      </c>
      <c r="Y42" s="63"/>
    </row>
    <row r="43" spans="1:26" x14ac:dyDescent="0.3">
      <c r="A43" t="s">
        <v>133</v>
      </c>
      <c r="B43" s="2" t="s">
        <v>40</v>
      </c>
      <c r="C43" s="2" t="s">
        <v>129</v>
      </c>
      <c r="D43" s="2" t="s">
        <v>67</v>
      </c>
      <c r="E43" s="3">
        <v>10400</v>
      </c>
      <c r="F43" s="2">
        <v>200</v>
      </c>
      <c r="I43" t="str" cm="1">
        <f t="array" ref="I43:M43">Sales_A[#Headers]</f>
        <v>Sales Person</v>
      </c>
      <c r="J43" t="str">
        <v>Country</v>
      </c>
      <c r="K43" t="str">
        <v>Product</v>
      </c>
      <c r="L43" t="str">
        <v>Amount</v>
      </c>
      <c r="M43" t="str">
        <v>Units</v>
      </c>
      <c r="Y43" s="63"/>
    </row>
    <row r="44" spans="1:26" x14ac:dyDescent="0.3">
      <c r="B44" s="2" t="s">
        <v>42</v>
      </c>
      <c r="C44" s="2" t="s">
        <v>132</v>
      </c>
      <c r="D44" s="2" t="s">
        <v>68</v>
      </c>
      <c r="E44" s="3">
        <v>9800</v>
      </c>
      <c r="F44" s="2">
        <v>195</v>
      </c>
      <c r="I44" t="str" cm="1">
        <f t="array" ref="I44:M80">_xlfn._xlws.FILTER(Sales_A[],Sales_A[Country]&lt;&gt;J42)</f>
        <v>Neha Gupta</v>
      </c>
      <c r="J44" t="str">
        <v>USA</v>
      </c>
      <c r="K44" t="str">
        <v>Choco Bites</v>
      </c>
      <c r="L44">
        <v>15200</v>
      </c>
      <c r="M44">
        <v>310</v>
      </c>
      <c r="P44" s="157" t="s">
        <v>156</v>
      </c>
      <c r="Q44" s="157"/>
      <c r="Y44" s="63"/>
    </row>
    <row r="45" spans="1:26" x14ac:dyDescent="0.3">
      <c r="B45" s="2" t="s">
        <v>44</v>
      </c>
      <c r="C45" s="2" t="s">
        <v>133</v>
      </c>
      <c r="D45" s="2" t="s">
        <v>69</v>
      </c>
      <c r="E45" s="3">
        <v>13500</v>
      </c>
      <c r="F45" s="2">
        <v>270</v>
      </c>
      <c r="I45" t="str">
        <v>Rohan Verma</v>
      </c>
      <c r="J45" t="str">
        <v>UK</v>
      </c>
      <c r="K45" t="str">
        <v>Energy Drink</v>
      </c>
      <c r="L45">
        <v>18700</v>
      </c>
      <c r="M45">
        <v>370</v>
      </c>
      <c r="P45" s="157"/>
      <c r="Q45" s="157"/>
      <c r="Y45" s="63"/>
    </row>
    <row r="46" spans="1:26" x14ac:dyDescent="0.3">
      <c r="B46" s="2" t="s">
        <v>46</v>
      </c>
      <c r="C46" s="2" t="s">
        <v>129</v>
      </c>
      <c r="D46" s="2" t="s">
        <v>35</v>
      </c>
      <c r="E46" s="3">
        <v>11200</v>
      </c>
      <c r="F46" s="2">
        <v>225</v>
      </c>
      <c r="I46" t="str">
        <v>Sunil Kumar</v>
      </c>
      <c r="J46" t="str">
        <v>Canada</v>
      </c>
      <c r="K46" t="str">
        <v>Candy Pop</v>
      </c>
      <c r="L46">
        <v>9800</v>
      </c>
      <c r="M46">
        <v>195</v>
      </c>
      <c r="P46" s="158" cm="1">
        <f t="array" ref="P46">SUM(_xlfn._xlws.FILTER(Sales_A[Amount],Sales_A[Country]&lt;&gt;J42))</f>
        <v>534200</v>
      </c>
      <c r="Q46" s="158"/>
      <c r="Y46" s="63"/>
    </row>
    <row r="47" spans="1:26" x14ac:dyDescent="0.3">
      <c r="B47" s="2" t="s">
        <v>47</v>
      </c>
      <c r="C47" s="2" t="s">
        <v>130</v>
      </c>
      <c r="D47" s="2" t="s">
        <v>70</v>
      </c>
      <c r="E47" s="3">
        <v>14900</v>
      </c>
      <c r="F47" s="2">
        <v>298</v>
      </c>
      <c r="I47" t="str">
        <v>Priya Mehta</v>
      </c>
      <c r="J47" t="str">
        <v>Germany</v>
      </c>
      <c r="K47" t="str">
        <v>Juice Mix</v>
      </c>
      <c r="L47">
        <v>13500</v>
      </c>
      <c r="M47">
        <v>270</v>
      </c>
      <c r="P47" s="158"/>
      <c r="Q47" s="158"/>
      <c r="Y47" s="63"/>
    </row>
    <row r="48" spans="1:26" x14ac:dyDescent="0.3">
      <c r="B48" s="2" t="s">
        <v>49</v>
      </c>
      <c r="C48" s="2" t="s">
        <v>131</v>
      </c>
      <c r="D48" s="2" t="s">
        <v>71</v>
      </c>
      <c r="E48" s="3">
        <v>16400</v>
      </c>
      <c r="F48" s="2">
        <v>330</v>
      </c>
      <c r="I48" t="str">
        <v>Sneha Joshi</v>
      </c>
      <c r="J48" t="str">
        <v>USA</v>
      </c>
      <c r="K48" t="str">
        <v>Mango Bar</v>
      </c>
      <c r="L48">
        <v>14900</v>
      </c>
      <c r="M48">
        <v>298</v>
      </c>
      <c r="Y48" s="63"/>
    </row>
    <row r="49" spans="2:25" x14ac:dyDescent="0.3">
      <c r="B49" s="2" t="s">
        <v>51</v>
      </c>
      <c r="C49" s="2" t="s">
        <v>129</v>
      </c>
      <c r="D49" s="2" t="s">
        <v>72</v>
      </c>
      <c r="E49" s="3">
        <v>12800</v>
      </c>
      <c r="F49" s="2">
        <v>255</v>
      </c>
      <c r="I49" t="str">
        <v>Manish Jain</v>
      </c>
      <c r="J49" t="str">
        <v>UK</v>
      </c>
      <c r="K49" t="str">
        <v>Cola Drink</v>
      </c>
      <c r="L49">
        <v>16400</v>
      </c>
      <c r="M49">
        <v>330</v>
      </c>
      <c r="Y49" s="63"/>
    </row>
    <row r="50" spans="2:25" x14ac:dyDescent="0.3">
      <c r="B50" s="2" t="s">
        <v>53</v>
      </c>
      <c r="C50" s="2" t="s">
        <v>132</v>
      </c>
      <c r="D50" s="2" t="s">
        <v>73</v>
      </c>
      <c r="E50" s="3">
        <v>17600</v>
      </c>
      <c r="F50" s="2">
        <v>352</v>
      </c>
      <c r="I50" t="str">
        <v>Rajesh Yadav</v>
      </c>
      <c r="J50" t="str">
        <v>Canada</v>
      </c>
      <c r="K50" t="str">
        <v>Coffee Choco</v>
      </c>
      <c r="L50">
        <v>17600</v>
      </c>
      <c r="M50">
        <v>352</v>
      </c>
      <c r="Y50" s="63"/>
    </row>
    <row r="51" spans="2:25" x14ac:dyDescent="0.3">
      <c r="B51" s="2" t="s">
        <v>55</v>
      </c>
      <c r="C51" s="2" t="s">
        <v>130</v>
      </c>
      <c r="D51" s="2" t="s">
        <v>33</v>
      </c>
      <c r="E51" s="3">
        <v>13200</v>
      </c>
      <c r="F51" s="2">
        <v>265</v>
      </c>
      <c r="I51" t="str">
        <v>Anjali Sen</v>
      </c>
      <c r="J51" t="str">
        <v>USA</v>
      </c>
      <c r="K51" t="str">
        <v>Milk Bars</v>
      </c>
      <c r="L51">
        <v>13200</v>
      </c>
      <c r="M51">
        <v>265</v>
      </c>
      <c r="P51" t="s">
        <v>157</v>
      </c>
      <c r="Y51" s="63"/>
    </row>
    <row r="52" spans="2:25" x14ac:dyDescent="0.3">
      <c r="B52" s="2" t="s">
        <v>56</v>
      </c>
      <c r="C52" s="2" t="s">
        <v>133</v>
      </c>
      <c r="D52" s="2" t="s">
        <v>65</v>
      </c>
      <c r="E52" s="3">
        <v>14500</v>
      </c>
      <c r="F52" s="2">
        <v>290</v>
      </c>
      <c r="I52" t="str">
        <v>Deepa Kaur</v>
      </c>
      <c r="J52" t="str">
        <v>Germany</v>
      </c>
      <c r="K52" t="str">
        <v>Choco Bites</v>
      </c>
      <c r="L52">
        <v>14500</v>
      </c>
      <c r="M52">
        <v>290</v>
      </c>
      <c r="Q52" s="152" t="s">
        <v>162</v>
      </c>
      <c r="R52" s="152"/>
      <c r="Y52" s="63"/>
    </row>
    <row r="53" spans="2:25" x14ac:dyDescent="0.3">
      <c r="B53" s="2" t="s">
        <v>57</v>
      </c>
      <c r="C53" s="2" t="s">
        <v>131</v>
      </c>
      <c r="D53" s="2" t="s">
        <v>66</v>
      </c>
      <c r="E53" s="3">
        <v>19000</v>
      </c>
      <c r="F53" s="2">
        <v>380</v>
      </c>
      <c r="I53" t="str">
        <v>Sameer Khan</v>
      </c>
      <c r="J53" t="str">
        <v>UK</v>
      </c>
      <c r="K53" t="str">
        <v>Energy Drink</v>
      </c>
      <c r="L53">
        <v>19000</v>
      </c>
      <c r="M53">
        <v>380</v>
      </c>
      <c r="O53" s="152" t="s">
        <v>163</v>
      </c>
      <c r="P53" t="s">
        <v>158</v>
      </c>
      <c r="Q53" t="s">
        <v>130</v>
      </c>
      <c r="R53" t="s">
        <v>131</v>
      </c>
      <c r="Y53" s="63"/>
    </row>
    <row r="54" spans="2:25" x14ac:dyDescent="0.3">
      <c r="B54" s="2" t="s">
        <v>58</v>
      </c>
      <c r="C54" s="2" t="s">
        <v>129</v>
      </c>
      <c r="D54" s="2" t="s">
        <v>67</v>
      </c>
      <c r="E54" s="3">
        <v>11600</v>
      </c>
      <c r="F54" s="2">
        <v>232</v>
      </c>
      <c r="I54" t="str">
        <v>Ajay Patil</v>
      </c>
      <c r="J54" t="str">
        <v>USA</v>
      </c>
      <c r="K54" t="str">
        <v>Candy Pop</v>
      </c>
      <c r="L54">
        <v>12400</v>
      </c>
      <c r="M54">
        <v>248</v>
      </c>
      <c r="O54" s="152"/>
      <c r="P54" t="s">
        <v>159</v>
      </c>
      <c r="Q54">
        <v>7000</v>
      </c>
      <c r="Y54" s="63"/>
    </row>
    <row r="55" spans="2:25" x14ac:dyDescent="0.3">
      <c r="B55" s="2" t="s">
        <v>59</v>
      </c>
      <c r="C55" s="2" t="s">
        <v>130</v>
      </c>
      <c r="D55" s="2" t="s">
        <v>68</v>
      </c>
      <c r="E55" s="3">
        <v>12400</v>
      </c>
      <c r="F55" s="2">
        <v>248</v>
      </c>
      <c r="I55" t="str">
        <v>Meena Iyer</v>
      </c>
      <c r="J55" t="str">
        <v>Canada</v>
      </c>
      <c r="K55" t="str">
        <v>Juice Mix</v>
      </c>
      <c r="L55">
        <v>15700</v>
      </c>
      <c r="M55">
        <v>314</v>
      </c>
      <c r="Y55" s="63"/>
    </row>
    <row r="56" spans="2:25" x14ac:dyDescent="0.3">
      <c r="B56" s="2" t="s">
        <v>60</v>
      </c>
      <c r="C56" s="2" t="s">
        <v>132</v>
      </c>
      <c r="D56" s="2" t="s">
        <v>69</v>
      </c>
      <c r="E56" s="3">
        <v>15700</v>
      </c>
      <c r="F56" s="2">
        <v>314</v>
      </c>
      <c r="I56" t="str">
        <v>Karan Shah</v>
      </c>
      <c r="J56" t="str">
        <v>Germany</v>
      </c>
      <c r="K56" t="str">
        <v>Mango Bar</v>
      </c>
      <c r="L56">
        <v>13800</v>
      </c>
      <c r="M56">
        <v>276</v>
      </c>
      <c r="P56" t="s">
        <v>160</v>
      </c>
      <c r="Q56" cm="1">
        <f t="array" ref="Q56">SUM(_xlfn._xlws.FILTER(Sales_A[Amount],((Sales_A[Country]=Q53)+(Sales_A[Country]=R53))*(Sales_A[Amount]&gt;Q54),""))</f>
        <v>299300</v>
      </c>
      <c r="T56" t="s">
        <v>160</v>
      </c>
      <c r="U56">
        <f>SUM(_xlfn.ANCHORARRAY(W56))</f>
        <v>299300</v>
      </c>
      <c r="W56" cm="1">
        <f t="array" ref="W56:W75">_xlfn._xlws.FILTER(Sales_A[Amount],((Sales_A[Country]=Q53)+(Sales_A[Country]=R53))*(Sales_A[Amount]&gt;Q54),"")</f>
        <v>15200</v>
      </c>
      <c r="X56" cm="1">
        <f t="array" ref="X56:X75">_xlfn._xlws.FILTER(Sales_A[Units],((Sales_A[Country]=Q53)+(Sales_A[Country]=R53))*(Sales_A[Amount]&gt;Q54),"")</f>
        <v>310</v>
      </c>
      <c r="Y56" s="63"/>
    </row>
    <row r="57" spans="2:25" x14ac:dyDescent="0.3">
      <c r="B57" s="2" t="s">
        <v>61</v>
      </c>
      <c r="C57" s="2" t="s">
        <v>129</v>
      </c>
      <c r="D57" s="2" t="s">
        <v>35</v>
      </c>
      <c r="E57" s="3">
        <v>10900</v>
      </c>
      <c r="F57" s="2">
        <v>218</v>
      </c>
      <c r="I57" t="str">
        <v>Aditi Reddy</v>
      </c>
      <c r="J57" t="str">
        <v>UK</v>
      </c>
      <c r="K57" t="str">
        <v>Cola Drink</v>
      </c>
      <c r="L57">
        <v>17200</v>
      </c>
      <c r="M57">
        <v>344</v>
      </c>
      <c r="P57" t="s">
        <v>161</v>
      </c>
      <c r="Q57" cm="1">
        <f t="array" ref="Q57">SUM(_xlfn._xlws.FILTER(Sales_A[Units],((Sales_A[Country]=Q53)+(Sales_A[Country]=R53))*(Sales_A[Amount]&gt;Q54),""))</f>
        <v>5991</v>
      </c>
      <c r="T57" t="s">
        <v>161</v>
      </c>
      <c r="U57">
        <f>SUM(_xlfn.ANCHORARRAY(X56))</f>
        <v>5991</v>
      </c>
      <c r="W57">
        <v>18700</v>
      </c>
      <c r="X57">
        <v>370</v>
      </c>
      <c r="Y57" s="63"/>
    </row>
    <row r="58" spans="2:25" x14ac:dyDescent="0.3">
      <c r="B58" s="2" t="s">
        <v>62</v>
      </c>
      <c r="C58" s="2" t="s">
        <v>133</v>
      </c>
      <c r="D58" s="2" t="s">
        <v>70</v>
      </c>
      <c r="E58" s="3">
        <v>13800</v>
      </c>
      <c r="F58" s="2">
        <v>276</v>
      </c>
      <c r="I58" t="str">
        <v>Vikram Mal</v>
      </c>
      <c r="J58" t="str">
        <v>USA</v>
      </c>
      <c r="K58" t="str">
        <v>Lemon Candy</v>
      </c>
      <c r="L58">
        <v>12900</v>
      </c>
      <c r="M58">
        <v>258</v>
      </c>
      <c r="W58">
        <v>14900</v>
      </c>
      <c r="X58">
        <v>298</v>
      </c>
      <c r="Y58" s="63"/>
    </row>
    <row r="59" spans="2:25" x14ac:dyDescent="0.3">
      <c r="B59" s="2" t="s">
        <v>63</v>
      </c>
      <c r="C59" s="2" t="s">
        <v>131</v>
      </c>
      <c r="D59" s="2" t="s">
        <v>71</v>
      </c>
      <c r="E59" s="3">
        <v>17200</v>
      </c>
      <c r="F59" s="2">
        <v>344</v>
      </c>
      <c r="I59" t="str">
        <v>Nikhil Bansal</v>
      </c>
      <c r="J59" t="str">
        <v>Canada</v>
      </c>
      <c r="K59" t="str">
        <v>Milk Bars</v>
      </c>
      <c r="L59">
        <v>13400</v>
      </c>
      <c r="M59">
        <v>268</v>
      </c>
      <c r="W59">
        <v>16400</v>
      </c>
      <c r="X59">
        <v>330</v>
      </c>
      <c r="Y59" s="63"/>
    </row>
    <row r="60" spans="2:25" x14ac:dyDescent="0.3">
      <c r="B60" s="2" t="s">
        <v>64</v>
      </c>
      <c r="C60" s="2" t="s">
        <v>130</v>
      </c>
      <c r="D60" s="2" t="s">
        <v>72</v>
      </c>
      <c r="E60" s="3">
        <v>12900</v>
      </c>
      <c r="F60" s="2">
        <v>258</v>
      </c>
      <c r="I60" t="str">
        <v>Tanya Kapoor</v>
      </c>
      <c r="J60" t="str">
        <v>Germany</v>
      </c>
      <c r="K60" t="str">
        <v>Choco Bites</v>
      </c>
      <c r="L60">
        <v>14200</v>
      </c>
      <c r="M60">
        <v>284</v>
      </c>
      <c r="W60">
        <v>13200</v>
      </c>
      <c r="X60">
        <v>265</v>
      </c>
      <c r="Y60" s="63"/>
    </row>
    <row r="61" spans="2:25" x14ac:dyDescent="0.3">
      <c r="B61" s="2" t="s">
        <v>103</v>
      </c>
      <c r="C61" s="2" t="s">
        <v>129</v>
      </c>
      <c r="D61" s="2" t="s">
        <v>73</v>
      </c>
      <c r="E61" s="3">
        <v>18100</v>
      </c>
      <c r="F61" s="2">
        <v>362</v>
      </c>
      <c r="I61" t="str">
        <v>Mohan Lal</v>
      </c>
      <c r="J61" t="str">
        <v>UK</v>
      </c>
      <c r="K61" t="str">
        <v>Energy Drink</v>
      </c>
      <c r="L61">
        <v>20000</v>
      </c>
      <c r="M61">
        <v>400</v>
      </c>
      <c r="W61">
        <v>19000</v>
      </c>
      <c r="X61">
        <v>380</v>
      </c>
      <c r="Y61" s="63"/>
    </row>
    <row r="62" spans="2:25" x14ac:dyDescent="0.3">
      <c r="B62" s="2" t="s">
        <v>104</v>
      </c>
      <c r="C62" s="2" t="s">
        <v>132</v>
      </c>
      <c r="D62" s="2" t="s">
        <v>33</v>
      </c>
      <c r="E62" s="3">
        <v>13400</v>
      </c>
      <c r="F62" s="2">
        <v>268</v>
      </c>
      <c r="I62" t="str">
        <v>Harish Mehta</v>
      </c>
      <c r="J62" t="str">
        <v>USA</v>
      </c>
      <c r="K62" t="str">
        <v>Candy Pop</v>
      </c>
      <c r="L62">
        <v>13600</v>
      </c>
      <c r="M62">
        <v>272</v>
      </c>
      <c r="W62">
        <v>12400</v>
      </c>
      <c r="X62">
        <v>248</v>
      </c>
      <c r="Y62" s="63"/>
    </row>
    <row r="63" spans="2:25" x14ac:dyDescent="0.3">
      <c r="B63" s="2" t="s">
        <v>105</v>
      </c>
      <c r="C63" s="2" t="s">
        <v>133</v>
      </c>
      <c r="D63" s="2" t="s">
        <v>65</v>
      </c>
      <c r="E63" s="3">
        <v>14200</v>
      </c>
      <c r="F63" s="2">
        <v>284</v>
      </c>
      <c r="I63" t="str">
        <v>Sonali Desai</v>
      </c>
      <c r="J63" t="str">
        <v>Canada</v>
      </c>
      <c r="K63" t="str">
        <v>Juice Mix</v>
      </c>
      <c r="L63">
        <v>14900</v>
      </c>
      <c r="M63">
        <v>298</v>
      </c>
      <c r="W63">
        <v>17200</v>
      </c>
      <c r="X63">
        <v>344</v>
      </c>
      <c r="Y63" s="63"/>
    </row>
    <row r="64" spans="2:25" x14ac:dyDescent="0.3">
      <c r="B64" s="2" t="s">
        <v>106</v>
      </c>
      <c r="C64" s="2" t="s">
        <v>131</v>
      </c>
      <c r="D64" s="2" t="s">
        <v>66</v>
      </c>
      <c r="E64" s="3">
        <v>20000</v>
      </c>
      <c r="F64" s="2">
        <v>400</v>
      </c>
      <c r="I64" t="str">
        <v>Gaurav Joshi</v>
      </c>
      <c r="J64" t="str">
        <v>UK</v>
      </c>
      <c r="K64" t="str">
        <v>Orange Choco</v>
      </c>
      <c r="L64">
        <v>10800</v>
      </c>
      <c r="M64">
        <v>216</v>
      </c>
      <c r="W64">
        <v>12900</v>
      </c>
      <c r="X64">
        <v>258</v>
      </c>
      <c r="Y64" s="63"/>
    </row>
    <row r="65" spans="2:25" x14ac:dyDescent="0.3">
      <c r="B65" s="2" t="s">
        <v>107</v>
      </c>
      <c r="C65" s="2" t="s">
        <v>129</v>
      </c>
      <c r="D65" s="2" t="s">
        <v>67</v>
      </c>
      <c r="E65" s="3">
        <v>11200</v>
      </c>
      <c r="F65" s="2">
        <v>224</v>
      </c>
      <c r="I65" t="str">
        <v>Pallavi Rao</v>
      </c>
      <c r="J65" t="str">
        <v>Germany</v>
      </c>
      <c r="K65" t="str">
        <v>Mango Bar</v>
      </c>
      <c r="L65">
        <v>12300</v>
      </c>
      <c r="M65">
        <v>246</v>
      </c>
      <c r="W65">
        <v>20000</v>
      </c>
      <c r="X65">
        <v>400</v>
      </c>
      <c r="Y65" s="63"/>
    </row>
    <row r="66" spans="2:25" x14ac:dyDescent="0.3">
      <c r="B66" s="2" t="s">
        <v>108</v>
      </c>
      <c r="C66" s="2" t="s">
        <v>130</v>
      </c>
      <c r="D66" s="2" t="s">
        <v>68</v>
      </c>
      <c r="E66" s="3">
        <v>13600</v>
      </c>
      <c r="F66" s="2">
        <v>272</v>
      </c>
      <c r="I66" t="str">
        <v>Jyoti Kapoor</v>
      </c>
      <c r="J66" t="str">
        <v>USA</v>
      </c>
      <c r="K66" t="str">
        <v>Lemon Candy</v>
      </c>
      <c r="L66">
        <v>11700</v>
      </c>
      <c r="M66">
        <v>234</v>
      </c>
      <c r="W66">
        <v>13600</v>
      </c>
      <c r="X66">
        <v>272</v>
      </c>
      <c r="Y66" s="63"/>
    </row>
    <row r="67" spans="2:25" x14ac:dyDescent="0.3">
      <c r="B67" s="2" t="s">
        <v>109</v>
      </c>
      <c r="C67" s="2" t="s">
        <v>132</v>
      </c>
      <c r="D67" s="2" t="s">
        <v>69</v>
      </c>
      <c r="E67" s="3">
        <v>14900</v>
      </c>
      <c r="F67" s="2">
        <v>298</v>
      </c>
      <c r="I67" t="str">
        <v>Devendra Rao</v>
      </c>
      <c r="J67" t="str">
        <v>UK</v>
      </c>
      <c r="K67" t="str">
        <v>Coffee Choco</v>
      </c>
      <c r="L67">
        <v>16800</v>
      </c>
      <c r="M67">
        <v>336</v>
      </c>
      <c r="W67">
        <v>10800</v>
      </c>
      <c r="X67">
        <v>216</v>
      </c>
      <c r="Y67" s="63"/>
    </row>
    <row r="68" spans="2:25" x14ac:dyDescent="0.3">
      <c r="B68" s="2" t="s">
        <v>110</v>
      </c>
      <c r="C68" s="2" t="s">
        <v>131</v>
      </c>
      <c r="D68" s="2" t="s">
        <v>35</v>
      </c>
      <c r="E68" s="3">
        <v>10800</v>
      </c>
      <c r="F68" s="2">
        <v>216</v>
      </c>
      <c r="I68" t="str">
        <v>Anusha Nair</v>
      </c>
      <c r="J68" t="str">
        <v>Canada</v>
      </c>
      <c r="K68" t="str">
        <v>Milk Bars</v>
      </c>
      <c r="L68">
        <v>12600</v>
      </c>
      <c r="M68">
        <v>252</v>
      </c>
      <c r="W68">
        <v>11700</v>
      </c>
      <c r="X68">
        <v>234</v>
      </c>
      <c r="Y68" s="63"/>
    </row>
    <row r="69" spans="2:25" x14ac:dyDescent="0.3">
      <c r="B69" s="2" t="s">
        <v>111</v>
      </c>
      <c r="C69" s="2" t="s">
        <v>133</v>
      </c>
      <c r="D69" s="2" t="s">
        <v>70</v>
      </c>
      <c r="E69" s="3">
        <v>12300</v>
      </c>
      <c r="F69" s="2">
        <v>246</v>
      </c>
      <c r="I69" t="str">
        <v>Rohit Malhotra</v>
      </c>
      <c r="J69" t="str">
        <v>Germany</v>
      </c>
      <c r="K69" t="str">
        <v>Choco Bites</v>
      </c>
      <c r="L69">
        <v>13900</v>
      </c>
      <c r="M69">
        <v>278</v>
      </c>
      <c r="W69">
        <v>16800</v>
      </c>
      <c r="X69">
        <v>336</v>
      </c>
    </row>
    <row r="70" spans="2:25" x14ac:dyDescent="0.3">
      <c r="B70" s="2" t="s">
        <v>134</v>
      </c>
      <c r="C70" s="2" t="s">
        <v>129</v>
      </c>
      <c r="D70" s="2" t="s">
        <v>71</v>
      </c>
      <c r="E70" s="3">
        <v>15200</v>
      </c>
      <c r="F70" s="2">
        <v>304</v>
      </c>
      <c r="I70" t="str">
        <v>Aditya Sethi</v>
      </c>
      <c r="J70" t="str">
        <v>USA</v>
      </c>
      <c r="K70" t="str">
        <v>Protein Bar</v>
      </c>
      <c r="L70">
        <v>10900</v>
      </c>
      <c r="M70">
        <v>218</v>
      </c>
      <c r="W70">
        <v>10900</v>
      </c>
      <c r="X70">
        <v>218</v>
      </c>
    </row>
    <row r="71" spans="2:25" x14ac:dyDescent="0.3">
      <c r="B71" s="2" t="s">
        <v>135</v>
      </c>
      <c r="C71" s="2" t="s">
        <v>130</v>
      </c>
      <c r="D71" s="2" t="s">
        <v>72</v>
      </c>
      <c r="E71" s="3">
        <v>11700</v>
      </c>
      <c r="F71" s="2">
        <v>234</v>
      </c>
      <c r="I71" t="str">
        <v>Leena Thomas</v>
      </c>
      <c r="J71" t="str">
        <v>Canada</v>
      </c>
      <c r="K71" t="str">
        <v>Candy Pop</v>
      </c>
      <c r="L71">
        <v>14200</v>
      </c>
      <c r="M71">
        <v>284</v>
      </c>
      <c r="W71">
        <v>13100</v>
      </c>
      <c r="X71">
        <v>262</v>
      </c>
    </row>
    <row r="72" spans="2:25" x14ac:dyDescent="0.3">
      <c r="B72" s="2" t="s">
        <v>136</v>
      </c>
      <c r="C72" s="2" t="s">
        <v>131</v>
      </c>
      <c r="D72" s="2" t="s">
        <v>73</v>
      </c>
      <c r="E72" s="3">
        <v>16800</v>
      </c>
      <c r="F72" s="2">
        <v>336</v>
      </c>
      <c r="I72" t="str">
        <v>Naveen Kumar</v>
      </c>
      <c r="J72" t="str">
        <v>UK</v>
      </c>
      <c r="K72" t="str">
        <v>Juice Mix</v>
      </c>
      <c r="L72">
        <v>13100</v>
      </c>
      <c r="M72">
        <v>262</v>
      </c>
      <c r="W72">
        <v>17400</v>
      </c>
      <c r="X72">
        <v>348</v>
      </c>
    </row>
    <row r="73" spans="2:25" x14ac:dyDescent="0.3">
      <c r="B73" s="2" t="s">
        <v>137</v>
      </c>
      <c r="C73" s="2" t="s">
        <v>132</v>
      </c>
      <c r="D73" s="2" t="s">
        <v>33</v>
      </c>
      <c r="E73" s="3">
        <v>12600</v>
      </c>
      <c r="F73" s="2">
        <v>252</v>
      </c>
      <c r="I73" t="str">
        <v>Parthiv Shah</v>
      </c>
      <c r="J73" t="str">
        <v>Germany</v>
      </c>
      <c r="K73" t="str">
        <v>Mango Bar</v>
      </c>
      <c r="L73">
        <v>11800</v>
      </c>
      <c r="M73">
        <v>236</v>
      </c>
      <c r="W73">
        <v>12700</v>
      </c>
      <c r="X73">
        <v>254</v>
      </c>
    </row>
    <row r="74" spans="2:25" x14ac:dyDescent="0.3">
      <c r="B74" s="2" t="s">
        <v>138</v>
      </c>
      <c r="C74" s="2" t="s">
        <v>133</v>
      </c>
      <c r="D74" s="2" t="s">
        <v>65</v>
      </c>
      <c r="E74" s="3">
        <v>13900</v>
      </c>
      <c r="F74" s="2">
        <v>278</v>
      </c>
      <c r="I74" t="str">
        <v>Bhavna Patel</v>
      </c>
      <c r="J74" t="str">
        <v>USA</v>
      </c>
      <c r="K74" t="str">
        <v>Cola Drink</v>
      </c>
      <c r="L74">
        <v>17400</v>
      </c>
      <c r="M74">
        <v>348</v>
      </c>
      <c r="W74">
        <v>19500</v>
      </c>
      <c r="X74">
        <v>390</v>
      </c>
    </row>
    <row r="75" spans="2:25" x14ac:dyDescent="0.3">
      <c r="B75" s="2" t="s">
        <v>139</v>
      </c>
      <c r="C75" s="2" t="s">
        <v>129</v>
      </c>
      <c r="D75" s="2" t="s">
        <v>66</v>
      </c>
      <c r="E75" s="3">
        <v>18400</v>
      </c>
      <c r="F75" s="2">
        <v>368</v>
      </c>
      <c r="I75" t="str">
        <v>Chirag Bansal</v>
      </c>
      <c r="J75" t="str">
        <v>UK</v>
      </c>
      <c r="K75" t="str">
        <v>Lemon Candy</v>
      </c>
      <c r="L75">
        <v>12700</v>
      </c>
      <c r="M75">
        <v>254</v>
      </c>
      <c r="W75">
        <v>12900</v>
      </c>
      <c r="X75">
        <v>258</v>
      </c>
    </row>
    <row r="76" spans="2:25" x14ac:dyDescent="0.3">
      <c r="B76" s="2" t="s">
        <v>140</v>
      </c>
      <c r="C76" s="2" t="s">
        <v>130</v>
      </c>
      <c r="D76" s="2" t="s">
        <v>67</v>
      </c>
      <c r="E76" s="3">
        <v>10900</v>
      </c>
      <c r="F76" s="2">
        <v>218</v>
      </c>
      <c r="I76" t="str">
        <v>Geeta Kapoor</v>
      </c>
      <c r="J76" t="str">
        <v>Canada</v>
      </c>
      <c r="K76" t="str">
        <v>Milk Bars</v>
      </c>
      <c r="L76">
        <v>13600</v>
      </c>
      <c r="M76">
        <v>272</v>
      </c>
    </row>
    <row r="77" spans="2:25" x14ac:dyDescent="0.3">
      <c r="B77" s="2" t="s">
        <v>141</v>
      </c>
      <c r="C77" s="2" t="s">
        <v>132</v>
      </c>
      <c r="D77" s="2" t="s">
        <v>68</v>
      </c>
      <c r="E77" s="3">
        <v>14200</v>
      </c>
      <c r="F77" s="2">
        <v>284</v>
      </c>
      <c r="I77" t="str">
        <v>Farhan Ali</v>
      </c>
      <c r="J77" t="str">
        <v>Germany</v>
      </c>
      <c r="K77" t="str">
        <v>Choco Bites</v>
      </c>
      <c r="L77">
        <v>14800</v>
      </c>
      <c r="M77">
        <v>296</v>
      </c>
    </row>
    <row r="78" spans="2:25" x14ac:dyDescent="0.3">
      <c r="B78" s="2" t="s">
        <v>142</v>
      </c>
      <c r="C78" s="2" t="s">
        <v>131</v>
      </c>
      <c r="D78" s="2" t="s">
        <v>69</v>
      </c>
      <c r="E78" s="3">
        <v>13100</v>
      </c>
      <c r="F78" s="2">
        <v>262</v>
      </c>
      <c r="I78" t="str">
        <v>Vandana Reddy</v>
      </c>
      <c r="J78" t="str">
        <v>USA</v>
      </c>
      <c r="K78" t="str">
        <v>Energy Drink</v>
      </c>
      <c r="L78">
        <v>19500</v>
      </c>
      <c r="M78">
        <v>390</v>
      </c>
    </row>
    <row r="79" spans="2:25" x14ac:dyDescent="0.3">
      <c r="B79" s="2" t="s">
        <v>143</v>
      </c>
      <c r="C79" s="2" t="s">
        <v>129</v>
      </c>
      <c r="D79" s="2" t="s">
        <v>35</v>
      </c>
      <c r="E79" s="3">
        <v>12500</v>
      </c>
      <c r="F79" s="2">
        <v>250</v>
      </c>
      <c r="I79" t="str">
        <v>Sanjay Tiwari</v>
      </c>
      <c r="J79" t="str">
        <v>UK</v>
      </c>
      <c r="K79" t="str">
        <v>Candy Pop</v>
      </c>
      <c r="L79">
        <v>12900</v>
      </c>
      <c r="M79">
        <v>258</v>
      </c>
    </row>
    <row r="80" spans="2:25" x14ac:dyDescent="0.3">
      <c r="B80" s="2" t="s">
        <v>144</v>
      </c>
      <c r="C80" s="2" t="s">
        <v>133</v>
      </c>
      <c r="D80" s="2" t="s">
        <v>70</v>
      </c>
      <c r="E80" s="3">
        <v>11800</v>
      </c>
      <c r="F80" s="2">
        <v>236</v>
      </c>
      <c r="I80" t="str">
        <v>Monica D’Souza</v>
      </c>
      <c r="J80" t="str">
        <v>Canada</v>
      </c>
      <c r="K80" t="str">
        <v>Juice Mix</v>
      </c>
      <c r="L80">
        <v>14300</v>
      </c>
      <c r="M80">
        <v>286</v>
      </c>
    </row>
    <row r="81" spans="2:6" x14ac:dyDescent="0.3">
      <c r="B81" s="2" t="s">
        <v>145</v>
      </c>
      <c r="C81" s="2" t="s">
        <v>130</v>
      </c>
      <c r="D81" s="2" t="s">
        <v>71</v>
      </c>
      <c r="E81" s="3">
        <v>17400</v>
      </c>
      <c r="F81" s="2">
        <v>348</v>
      </c>
    </row>
    <row r="82" spans="2:6" x14ac:dyDescent="0.3">
      <c r="B82" s="2" t="s">
        <v>146</v>
      </c>
      <c r="C82" s="2" t="s">
        <v>131</v>
      </c>
      <c r="D82" s="2" t="s">
        <v>72</v>
      </c>
      <c r="E82" s="3">
        <v>12700</v>
      </c>
      <c r="F82" s="2">
        <v>254</v>
      </c>
    </row>
    <row r="83" spans="2:6" x14ac:dyDescent="0.3">
      <c r="B83" s="2" t="s">
        <v>147</v>
      </c>
      <c r="C83" s="2" t="s">
        <v>129</v>
      </c>
      <c r="D83" s="2" t="s">
        <v>73</v>
      </c>
      <c r="E83" s="3">
        <v>15800</v>
      </c>
      <c r="F83" s="2">
        <v>316</v>
      </c>
    </row>
    <row r="84" spans="2:6" x14ac:dyDescent="0.3">
      <c r="B84" s="2" t="s">
        <v>148</v>
      </c>
      <c r="C84" s="2" t="s">
        <v>132</v>
      </c>
      <c r="D84" s="2" t="s">
        <v>33</v>
      </c>
      <c r="E84" s="3">
        <v>13600</v>
      </c>
      <c r="F84" s="2">
        <v>272</v>
      </c>
    </row>
    <row r="85" spans="2:6" x14ac:dyDescent="0.3">
      <c r="B85" s="2" t="s">
        <v>149</v>
      </c>
      <c r="C85" s="2" t="s">
        <v>133</v>
      </c>
      <c r="D85" s="2" t="s">
        <v>65</v>
      </c>
      <c r="E85" s="3">
        <v>14800</v>
      </c>
      <c r="F85" s="2">
        <v>296</v>
      </c>
    </row>
    <row r="86" spans="2:6" x14ac:dyDescent="0.3">
      <c r="B86" s="2" t="s">
        <v>150</v>
      </c>
      <c r="C86" s="2" t="s">
        <v>130</v>
      </c>
      <c r="D86" s="2" t="s">
        <v>66</v>
      </c>
      <c r="E86" s="3">
        <v>19500</v>
      </c>
      <c r="F86" s="2">
        <v>390</v>
      </c>
    </row>
    <row r="87" spans="2:6" x14ac:dyDescent="0.3">
      <c r="B87" s="2" t="s">
        <v>151</v>
      </c>
      <c r="C87" s="2" t="s">
        <v>129</v>
      </c>
      <c r="D87" s="2" t="s">
        <v>67</v>
      </c>
      <c r="E87" s="3">
        <v>11400</v>
      </c>
      <c r="F87" s="2">
        <v>228</v>
      </c>
    </row>
    <row r="88" spans="2:6" x14ac:dyDescent="0.3">
      <c r="B88" s="2" t="s">
        <v>152</v>
      </c>
      <c r="C88" s="2" t="s">
        <v>131</v>
      </c>
      <c r="D88" s="2" t="s">
        <v>68</v>
      </c>
      <c r="E88" s="3">
        <v>12900</v>
      </c>
      <c r="F88" s="2">
        <v>258</v>
      </c>
    </row>
    <row r="89" spans="2:6" x14ac:dyDescent="0.3">
      <c r="B89" s="2" t="s">
        <v>153</v>
      </c>
      <c r="C89" s="2" t="s">
        <v>132</v>
      </c>
      <c r="D89" s="2" t="s">
        <v>69</v>
      </c>
      <c r="E89" s="3">
        <v>14300</v>
      </c>
      <c r="F89" s="2">
        <v>286</v>
      </c>
    </row>
  </sheetData>
  <mergeCells count="9">
    <mergeCell ref="O53:O54"/>
    <mergeCell ref="I3:J3"/>
    <mergeCell ref="R3:S3"/>
    <mergeCell ref="R4:S5"/>
    <mergeCell ref="V31:W32"/>
    <mergeCell ref="I39:J40"/>
    <mergeCell ref="P44:Q45"/>
    <mergeCell ref="P46:Q47"/>
    <mergeCell ref="Q52:R52"/>
  </mergeCells>
  <dataValidations count="3">
    <dataValidation type="list" allowBlank="1" showInputMessage="1" showErrorMessage="1" sqref="V4" xr:uid="{EF0D93BC-11C9-4431-A9F9-63D0F3AE3FDA}">
      <formula1>$AC$3:$AC$4</formula1>
    </dataValidation>
    <dataValidation type="list" allowBlank="1" showInputMessage="1" showErrorMessage="1" sqref="W4 V24 V35" xr:uid="{7A45BC93-7884-459E-96DC-8CEAEDB20438}">
      <formula1>$AD$3:$AD$9</formula1>
    </dataValidation>
    <dataValidation type="list" allowBlank="1" showInputMessage="1" showErrorMessage="1" sqref="J42" xr:uid="{5197678D-7EE1-4F40-B3C9-1FA5A7A05200}">
      <formula1>$A$39:$A$43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9DFE-8029-4CDE-A84E-5375230F1A56}">
  <dimension ref="B1:Q54"/>
  <sheetViews>
    <sheetView showGridLines="0" workbookViewId="0">
      <selection activeCell="G38" sqref="G38"/>
    </sheetView>
  </sheetViews>
  <sheetFormatPr defaultRowHeight="14.4" x14ac:dyDescent="0.3"/>
  <cols>
    <col min="2" max="2" width="14.109375" bestFit="1" customWidth="1"/>
    <col min="3" max="3" width="9.44140625" customWidth="1"/>
    <col min="4" max="4" width="13.33203125" customWidth="1"/>
    <col min="5" max="5" width="13.109375" customWidth="1"/>
    <col min="8" max="8" width="25.21875" bestFit="1" customWidth="1"/>
    <col min="9" max="9" width="13.44140625" bestFit="1" customWidth="1"/>
    <col min="10" max="10" width="13.33203125" bestFit="1" customWidth="1"/>
    <col min="11" max="11" width="13.44140625" bestFit="1" customWidth="1"/>
    <col min="12" max="12" width="13.33203125" bestFit="1" customWidth="1"/>
    <col min="14" max="14" width="10.77734375" bestFit="1" customWidth="1"/>
    <col min="17" max="17" width="25.21875" bestFit="1" customWidth="1"/>
  </cols>
  <sheetData>
    <row r="1" spans="2:17" x14ac:dyDescent="0.3">
      <c r="Q1" s="121" t="s">
        <v>206</v>
      </c>
    </row>
    <row r="2" spans="2:17" ht="15" thickBot="1" x14ac:dyDescent="0.35">
      <c r="M2" s="123" t="s">
        <v>183</v>
      </c>
      <c r="N2" s="123" t="s">
        <v>90</v>
      </c>
      <c r="Q2" s="121" t="s">
        <v>171</v>
      </c>
    </row>
    <row r="3" spans="2:17" ht="16.2" thickBot="1" x14ac:dyDescent="0.35">
      <c r="G3" s="159" t="s">
        <v>79</v>
      </c>
      <c r="H3" s="160"/>
      <c r="J3" s="159" t="s">
        <v>79</v>
      </c>
      <c r="K3" s="160"/>
      <c r="M3" s="124">
        <v>0.03</v>
      </c>
      <c r="N3" s="121" t="s">
        <v>98</v>
      </c>
      <c r="Q3" s="121" t="s">
        <v>192</v>
      </c>
    </row>
    <row r="4" spans="2:17" x14ac:dyDescent="0.3">
      <c r="G4" t="s">
        <v>185</v>
      </c>
      <c r="H4" t="s">
        <v>185</v>
      </c>
      <c r="M4" s="124">
        <v>0.04</v>
      </c>
      <c r="N4" s="121" t="s">
        <v>100</v>
      </c>
      <c r="Q4" s="121" t="s">
        <v>172</v>
      </c>
    </row>
    <row r="5" spans="2:17" x14ac:dyDescent="0.3">
      <c r="B5" s="1" t="s">
        <v>24</v>
      </c>
      <c r="C5" s="1" t="s">
        <v>89</v>
      </c>
      <c r="D5" s="1" t="s">
        <v>90</v>
      </c>
      <c r="E5" s="1" t="s">
        <v>165</v>
      </c>
      <c r="F5" s="1" t="s">
        <v>93</v>
      </c>
      <c r="G5" s="1" t="s">
        <v>184</v>
      </c>
      <c r="H5" s="1" t="s">
        <v>207</v>
      </c>
      <c r="J5" s="121" t="s">
        <v>182</v>
      </c>
      <c r="K5" s="122">
        <v>43434</v>
      </c>
      <c r="M5" s="124">
        <v>0.04</v>
      </c>
      <c r="N5" s="121" t="s">
        <v>97</v>
      </c>
      <c r="Q5" s="121" t="s">
        <v>193</v>
      </c>
    </row>
    <row r="6" spans="2:17" x14ac:dyDescent="0.3">
      <c r="B6" s="2" t="s">
        <v>166</v>
      </c>
      <c r="C6" s="2" t="s">
        <v>94</v>
      </c>
      <c r="D6" s="2" t="s">
        <v>99</v>
      </c>
      <c r="E6" s="64">
        <v>44270</v>
      </c>
      <c r="F6" s="3">
        <v>55000</v>
      </c>
      <c r="G6" s="119">
        <f>INDEX($M$3:$M$8,MATCH(Employees_A[[#This Row],[Department]],$N$3:$N$8,0))</f>
        <v>0.06</v>
      </c>
      <c r="H6" s="120" t="str" cm="1">
        <f t="array" ref="H6">INDEX($Q$2:$Q$41,MATCH(Employees_A[[#This Row],[Name]],$Q$2:$Q$41,0)+1)</f>
        <v>rahul.sharma@gmail.com</v>
      </c>
      <c r="J6" s="121" t="s">
        <v>24</v>
      </c>
      <c r="K6" s="121" t="str">
        <f>INDEX(Employees_A[Name],MATCH(K5,Employees_A[Date Joined],0))</f>
        <v>Vivek Agarwal</v>
      </c>
      <c r="M6" s="124">
        <v>0.05</v>
      </c>
      <c r="N6" s="121" t="s">
        <v>95</v>
      </c>
      <c r="Q6" s="121" t="s">
        <v>167</v>
      </c>
    </row>
    <row r="7" spans="2:17" x14ac:dyDescent="0.3">
      <c r="B7" s="2" t="s">
        <v>44</v>
      </c>
      <c r="C7" s="2" t="s">
        <v>96</v>
      </c>
      <c r="D7" s="2" t="s">
        <v>98</v>
      </c>
      <c r="E7" s="64">
        <v>43668</v>
      </c>
      <c r="F7" s="3">
        <v>48000</v>
      </c>
      <c r="G7" s="119">
        <f>INDEX($M$3:$M$8,MATCH(Employees_A[[#This Row],[Department]],$N$3:$N$8,0))</f>
        <v>0.03</v>
      </c>
      <c r="H7" s="120" t="str" cm="1">
        <f t="array" ref="H7">INDEX($Q$2:$Q$41,MATCH(Employees_A[[#This Row],[Name]],$Q$2:$Q$41,0)+1)</f>
        <v>priya.mehta@gmail.com</v>
      </c>
      <c r="M7" s="124">
        <v>0.06</v>
      </c>
      <c r="N7" s="121" t="s">
        <v>99</v>
      </c>
      <c r="Q7" s="121" t="s">
        <v>188</v>
      </c>
    </row>
    <row r="8" spans="2:17" x14ac:dyDescent="0.3">
      <c r="B8" s="2" t="s">
        <v>167</v>
      </c>
      <c r="C8" s="2" t="s">
        <v>94</v>
      </c>
      <c r="D8" s="2" t="s">
        <v>100</v>
      </c>
      <c r="E8" s="64">
        <v>43840</v>
      </c>
      <c r="F8" s="3">
        <v>62000</v>
      </c>
      <c r="G8" s="119">
        <f>INDEX($M$3:$M$8,MATCH(Employees_A[[#This Row],[Department]],$N$3:$N$8,0))</f>
        <v>0.04</v>
      </c>
      <c r="H8" s="120" t="str" cm="1">
        <f t="array" ref="H8">INDEX($Q$2:$Q$41,MATCH(Employees_A[[#This Row],[Name]],$Q$2:$Q$41,0)+1)</f>
        <v>arjun.patel@gmail.com</v>
      </c>
      <c r="J8" s="121" t="s">
        <v>93</v>
      </c>
      <c r="K8" s="121">
        <v>50000</v>
      </c>
      <c r="M8" s="124">
        <v>0.02</v>
      </c>
      <c r="N8" s="121" t="s">
        <v>102</v>
      </c>
      <c r="Q8" s="121" t="s">
        <v>168</v>
      </c>
    </row>
    <row r="9" spans="2:17" x14ac:dyDescent="0.3">
      <c r="B9" s="2" t="s">
        <v>168</v>
      </c>
      <c r="C9" s="2" t="s">
        <v>96</v>
      </c>
      <c r="D9" s="2" t="s">
        <v>97</v>
      </c>
      <c r="E9" s="64">
        <v>44699</v>
      </c>
      <c r="F9" s="3">
        <v>50000</v>
      </c>
      <c r="G9" s="119">
        <f>INDEX($M$3:$M$8,MATCH(Employees_A[[#This Row],[Department]],$N$3:$N$8,0))</f>
        <v>0.04</v>
      </c>
      <c r="H9" s="120" t="str" cm="1">
        <f t="array" ref="H9">INDEX($Q$2:$Q$41,MATCH(Employees_A[[#This Row],[Name]],$Q$2:$Q$41,0)+1)</f>
        <v>sneha.iyer@gmail.com</v>
      </c>
      <c r="J9" s="121" t="s">
        <v>24</v>
      </c>
      <c r="K9" s="121" t="str">
        <f>INDEX(Employees_A[Name],MATCH(K8,Employees_A[Salary],0))</f>
        <v>Sneha Iyer</v>
      </c>
      <c r="M9" s="88"/>
      <c r="Q9" s="121" t="s">
        <v>189</v>
      </c>
    </row>
    <row r="10" spans="2:17" x14ac:dyDescent="0.3">
      <c r="B10" s="2" t="s">
        <v>169</v>
      </c>
      <c r="C10" s="2" t="s">
        <v>94</v>
      </c>
      <c r="D10" s="2" t="s">
        <v>102</v>
      </c>
      <c r="E10" s="64">
        <v>43434</v>
      </c>
      <c r="F10" s="3">
        <v>58000</v>
      </c>
      <c r="G10" s="119">
        <f>INDEX($M$3:$M$8,MATCH(Employees_A[[#This Row],[Department]],$N$3:$N$8,0))</f>
        <v>0.02</v>
      </c>
      <c r="H10" s="120" t="str" cm="1">
        <f t="array" ref="H10">INDEX($Q$2:$Q$41,MATCH(Employees_A[[#This Row],[Name]],$Q$2:$Q$41,0)+1)</f>
        <v>vivek.agarwal@gmail.com</v>
      </c>
      <c r="Q10" s="121" t="s">
        <v>38</v>
      </c>
    </row>
    <row r="11" spans="2:17" x14ac:dyDescent="0.3">
      <c r="B11" s="2" t="s">
        <v>170</v>
      </c>
      <c r="C11" s="2" t="s">
        <v>96</v>
      </c>
      <c r="D11" s="2" t="s">
        <v>99</v>
      </c>
      <c r="E11" s="64">
        <v>44464</v>
      </c>
      <c r="F11" s="3">
        <v>52000</v>
      </c>
      <c r="G11" s="119">
        <f>INDEX($M$3:$M$8,MATCH(Employees_A[[#This Row],[Department]],$N$3:$N$8,0))</f>
        <v>0.06</v>
      </c>
      <c r="H11" s="120" t="str" cm="1">
        <f t="array" ref="H11">INDEX($Q$2:$Q$41,MATCH(Employees_A[[#This Row],[Name]],$Q$2:$Q$41,0)+1)</f>
        <v>anjali.gupta@gmail.com</v>
      </c>
      <c r="M11" s="88"/>
      <c r="Q11" s="121" t="s">
        <v>194</v>
      </c>
    </row>
    <row r="12" spans="2:17" x14ac:dyDescent="0.3">
      <c r="B12" s="2" t="s">
        <v>171</v>
      </c>
      <c r="C12" s="2" t="s">
        <v>94</v>
      </c>
      <c r="D12" s="2" t="s">
        <v>95</v>
      </c>
      <c r="E12" s="64">
        <v>44971</v>
      </c>
      <c r="F12" s="3">
        <v>47000</v>
      </c>
      <c r="G12" s="119">
        <f>INDEX($M$3:$M$8,MATCH(Employees_A[[#This Row],[Department]],$N$3:$N$8,0))</f>
        <v>0.05</v>
      </c>
      <c r="H12" s="120" t="str" cm="1">
        <f t="array" ref="H12">INDEX($Q$2:$Q$41,MATCH(Employees_A[[#This Row],[Name]],$Q$2:$Q$41,0)+1)</f>
        <v>karan.malhotra@gmail.com</v>
      </c>
      <c r="Q12" s="121" t="s">
        <v>173</v>
      </c>
    </row>
    <row r="13" spans="2:17" x14ac:dyDescent="0.3">
      <c r="B13" s="2" t="s">
        <v>172</v>
      </c>
      <c r="C13" s="2" t="s">
        <v>96</v>
      </c>
      <c r="D13" s="2" t="s">
        <v>98</v>
      </c>
      <c r="E13" s="64">
        <v>43994</v>
      </c>
      <c r="F13" s="3">
        <v>49000</v>
      </c>
      <c r="G13" s="119">
        <f>INDEX($M$3:$M$8,MATCH(Employees_A[[#This Row],[Department]],$N$3:$N$8,0))</f>
        <v>0.03</v>
      </c>
      <c r="H13" s="120" t="str" cm="1">
        <f t="array" ref="H13">INDEX($Q$2:$Q$41,MATCH(Employees_A[[#This Row],[Name]],$Q$2:$Q$41,0)+1)</f>
        <v>neha.singh@gmail.com</v>
      </c>
      <c r="Q13" s="121" t="s">
        <v>195</v>
      </c>
    </row>
    <row r="14" spans="2:17" x14ac:dyDescent="0.3">
      <c r="B14" s="2" t="s">
        <v>38</v>
      </c>
      <c r="C14" s="2" t="s">
        <v>94</v>
      </c>
      <c r="D14" s="2" t="s">
        <v>100</v>
      </c>
      <c r="E14" s="64">
        <v>44535</v>
      </c>
      <c r="F14" s="3">
        <v>65000</v>
      </c>
      <c r="G14" s="119">
        <f>INDEX($M$3:$M$8,MATCH(Employees_A[[#This Row],[Department]],$N$3:$N$8,0))</f>
        <v>0.04</v>
      </c>
      <c r="H14" s="120" t="str" cm="1">
        <f t="array" ref="H14">INDEX($Q$2:$Q$41,MATCH(Employees_A[[#This Row],[Name]],$Q$2:$Q$41,0)+1)</f>
        <v>rohan.verma@gmail.com</v>
      </c>
      <c r="Q14" s="121" t="s">
        <v>179</v>
      </c>
    </row>
    <row r="15" spans="2:17" x14ac:dyDescent="0.3">
      <c r="B15" s="2" t="s">
        <v>173</v>
      </c>
      <c r="C15" s="2" t="s">
        <v>96</v>
      </c>
      <c r="D15" s="2" t="s">
        <v>97</v>
      </c>
      <c r="E15" s="64">
        <v>43576</v>
      </c>
      <c r="F15" s="3">
        <v>53000</v>
      </c>
      <c r="G15" s="119">
        <f>INDEX($M$3:$M$8,MATCH(Employees_A[[#This Row],[Department]],$N$3:$N$8,0))</f>
        <v>0.04</v>
      </c>
      <c r="H15" s="120" t="str" cm="1">
        <f t="array" ref="H15">INDEX($Q$2:$Q$41,MATCH(Employees_A[[#This Row],[Name]],$Q$2:$Q$41,0)+1)</f>
        <v>meera.joshi@gmail.com</v>
      </c>
      <c r="Q15" s="121" t="s">
        <v>203</v>
      </c>
    </row>
    <row r="16" spans="2:17" x14ac:dyDescent="0.3">
      <c r="B16" s="2" t="s">
        <v>174</v>
      </c>
      <c r="C16" s="2" t="s">
        <v>94</v>
      </c>
      <c r="D16" s="2" t="s">
        <v>99</v>
      </c>
      <c r="E16" s="64">
        <v>44837</v>
      </c>
      <c r="F16" s="3">
        <v>60000</v>
      </c>
      <c r="G16" s="119">
        <f>INDEX($M$3:$M$8,MATCH(Employees_A[[#This Row],[Department]],$N$3:$N$8,0))</f>
        <v>0.06</v>
      </c>
      <c r="H16" s="120" t="str" cm="1">
        <f t="array" ref="H16">INDEX($Q$2:$Q$41,MATCH(Employees_A[[#This Row],[Name]],$Q$2:$Q$41,0)+1)</f>
        <v>aditya.kapoor@gmail.com</v>
      </c>
      <c r="Q16" s="121" t="s">
        <v>180</v>
      </c>
    </row>
    <row r="17" spans="2:17" x14ac:dyDescent="0.3">
      <c r="B17" s="2" t="s">
        <v>51</v>
      </c>
      <c r="C17" s="2" t="s">
        <v>96</v>
      </c>
      <c r="D17" s="2" t="s">
        <v>102</v>
      </c>
      <c r="E17" s="64">
        <v>44204</v>
      </c>
      <c r="F17" s="3">
        <v>56000</v>
      </c>
      <c r="G17" s="119">
        <f>INDEX($M$3:$M$8,MATCH(Employees_A[[#This Row],[Department]],$N$3:$N$8,0))</f>
        <v>0.02</v>
      </c>
      <c r="H17" s="120" t="str" cm="1">
        <f t="array" ref="H17">INDEX($Q$2:$Q$41,MATCH(Employees_A[[#This Row],[Name]],$Q$2:$Q$41,0)+1)</f>
        <v>pooja.nair@gmail.com</v>
      </c>
      <c r="Q17" s="121" t="s">
        <v>204</v>
      </c>
    </row>
    <row r="18" spans="2:17" x14ac:dyDescent="0.3">
      <c r="B18" s="2" t="s">
        <v>175</v>
      </c>
      <c r="C18" s="2" t="s">
        <v>94</v>
      </c>
      <c r="D18" s="2" t="s">
        <v>95</v>
      </c>
      <c r="E18" s="64">
        <v>44062</v>
      </c>
      <c r="F18" s="3">
        <v>46500</v>
      </c>
      <c r="G18" s="119">
        <f>INDEX($M$3:$M$8,MATCH(Employees_A[[#This Row],[Department]],$N$3:$N$8,0))</f>
        <v>0.05</v>
      </c>
      <c r="H18" s="120" t="str" cm="1">
        <f t="array" ref="H18">INDEX($Q$2:$Q$41,MATCH(Employees_A[[#This Row],[Name]],$Q$2:$Q$41,0)+1)</f>
        <v>sandeep.yadav@gmail.com</v>
      </c>
      <c r="Q18" s="121" t="s">
        <v>181</v>
      </c>
    </row>
    <row r="19" spans="2:17" x14ac:dyDescent="0.3">
      <c r="B19" s="2" t="s">
        <v>107</v>
      </c>
      <c r="C19" s="2" t="s">
        <v>96</v>
      </c>
      <c r="D19" s="2" t="s">
        <v>98</v>
      </c>
      <c r="E19" s="64">
        <v>43826</v>
      </c>
      <c r="F19" s="3">
        <v>50500</v>
      </c>
      <c r="G19" s="119">
        <f>INDEX($M$3:$M$8,MATCH(Employees_A[[#This Row],[Department]],$N$3:$N$8,0))</f>
        <v>0.03</v>
      </c>
      <c r="H19" s="120" t="str" cm="1">
        <f t="array" ref="H19">INDEX($Q$2:$Q$41,MATCH(Employees_A[[#This Row],[Name]],$Q$2:$Q$41,0)+1)</f>
        <v>ritu.sharma@gmail.com</v>
      </c>
      <c r="Q19" s="121" t="s">
        <v>205</v>
      </c>
    </row>
    <row r="20" spans="2:17" x14ac:dyDescent="0.3">
      <c r="B20" s="2" t="s">
        <v>176</v>
      </c>
      <c r="C20" s="2" t="s">
        <v>94</v>
      </c>
      <c r="D20" s="2" t="s">
        <v>100</v>
      </c>
      <c r="E20" s="64">
        <v>44393</v>
      </c>
      <c r="F20" s="3">
        <v>63000</v>
      </c>
      <c r="G20" s="119">
        <f>INDEX($M$3:$M$8,MATCH(Employees_A[[#This Row],[Department]],$N$3:$N$8,0))</f>
        <v>0.04</v>
      </c>
      <c r="H20" s="120" t="str" cm="1">
        <f t="array" ref="H20">INDEX($Q$2:$Q$41,MATCH(Employees_A[[#This Row],[Name]],$Q$2:$Q$41,0)+1)</f>
        <v>manish.kumar@gmail.com</v>
      </c>
      <c r="Q20" s="121" t="s">
        <v>166</v>
      </c>
    </row>
    <row r="21" spans="2:17" x14ac:dyDescent="0.3">
      <c r="B21" s="2" t="s">
        <v>177</v>
      </c>
      <c r="C21" s="2" t="s">
        <v>96</v>
      </c>
      <c r="D21" s="2" t="s">
        <v>99</v>
      </c>
      <c r="E21" s="64">
        <v>44996</v>
      </c>
      <c r="F21" s="3">
        <v>59000</v>
      </c>
      <c r="G21" s="119">
        <f>INDEX($M$3:$M$8,MATCH(Employees_A[[#This Row],[Department]],$N$3:$N$8,0))</f>
        <v>0.06</v>
      </c>
      <c r="H21" s="120" t="str" cm="1">
        <f t="array" ref="H21">INDEX($Q$2:$Q$41,MATCH(Employees_A[[#This Row],[Name]],$Q$2:$Q$41,0)+1)</f>
        <v>kavita.desai@gmail.com</v>
      </c>
      <c r="Q21" s="121" t="s">
        <v>186</v>
      </c>
    </row>
    <row r="22" spans="2:17" x14ac:dyDescent="0.3">
      <c r="B22" s="2" t="s">
        <v>178</v>
      </c>
      <c r="C22" s="2" t="s">
        <v>94</v>
      </c>
      <c r="D22" s="2" t="s">
        <v>97</v>
      </c>
      <c r="E22" s="64">
        <v>44104</v>
      </c>
      <c r="F22" s="3">
        <v>51000</v>
      </c>
      <c r="G22" s="119">
        <f>INDEX($M$3:$M$8,MATCH(Employees_A[[#This Row],[Department]],$N$3:$N$8,0))</f>
        <v>0.04</v>
      </c>
      <c r="H22" s="120" t="str" cm="1">
        <f t="array" ref="H22">INDEX($Q$2:$Q$41,MATCH(Employees_A[[#This Row],[Name]],$Q$2:$Q$41,0)+1)</f>
        <v>deepak.soni@gmail.com</v>
      </c>
      <c r="Q22" s="121" t="s">
        <v>44</v>
      </c>
    </row>
    <row r="23" spans="2:17" x14ac:dyDescent="0.3">
      <c r="B23" s="2" t="s">
        <v>179</v>
      </c>
      <c r="C23" s="2" t="s">
        <v>96</v>
      </c>
      <c r="D23" s="2" t="s">
        <v>102</v>
      </c>
      <c r="E23" s="64">
        <v>44887</v>
      </c>
      <c r="F23" s="3">
        <v>57000</v>
      </c>
      <c r="G23" s="119">
        <f>INDEX($M$3:$M$8,MATCH(Employees_A[[#This Row],[Department]],$N$3:$N$8,0))</f>
        <v>0.02</v>
      </c>
      <c r="H23" s="120" t="str" cm="1">
        <f t="array" ref="H23">INDEX($Q$2:$Q$41,MATCH(Employees_A[[#This Row],[Name]],$Q$2:$Q$41,0)+1)</f>
        <v>swati.pandey@gmail.com</v>
      </c>
      <c r="Q23" s="121" t="s">
        <v>187</v>
      </c>
    </row>
    <row r="24" spans="2:17" x14ac:dyDescent="0.3">
      <c r="B24" s="2" t="s">
        <v>180</v>
      </c>
      <c r="C24" s="2" t="s">
        <v>94</v>
      </c>
      <c r="D24" s="2" t="s">
        <v>95</v>
      </c>
      <c r="E24" s="64">
        <v>43245</v>
      </c>
      <c r="F24" s="3">
        <v>45000</v>
      </c>
      <c r="G24" s="119">
        <f>INDEX($M$3:$M$8,MATCH(Employees_A[[#This Row],[Department]],$N$3:$N$8,0))</f>
        <v>0.05</v>
      </c>
      <c r="H24" s="120" t="str" cm="1">
        <f t="array" ref="H24">INDEX($Q$2:$Q$41,MATCH(Employees_A[[#This Row],[Name]],$Q$2:$Q$41,0)+1)</f>
        <v>ajay.rathore@gmail.com</v>
      </c>
      <c r="Q24" s="121" t="s">
        <v>107</v>
      </c>
    </row>
    <row r="25" spans="2:17" x14ac:dyDescent="0.3">
      <c r="B25" s="2" t="s">
        <v>181</v>
      </c>
      <c r="C25" s="2" t="s">
        <v>96</v>
      </c>
      <c r="D25" s="2" t="s">
        <v>100</v>
      </c>
      <c r="E25" s="64">
        <v>44300</v>
      </c>
      <c r="F25" s="3">
        <v>64000</v>
      </c>
      <c r="G25" s="119">
        <f>INDEX($M$3:$M$8,MATCH(Employees_A[[#This Row],[Department]],$N$3:$N$8,0))</f>
        <v>0.04</v>
      </c>
      <c r="H25" s="120" t="str" cm="1">
        <f t="array" ref="H25">INDEX($Q$2:$Q$41,MATCH(Employees_A[[#This Row],[Name]],$Q$2:$Q$41,0)+1)</f>
        <v>nisha.bhatia@gmail.com</v>
      </c>
      <c r="Q25" s="121" t="s">
        <v>199</v>
      </c>
    </row>
    <row r="26" spans="2:17" ht="15" thickBot="1" x14ac:dyDescent="0.35">
      <c r="Q26" s="121" t="s">
        <v>176</v>
      </c>
    </row>
    <row r="27" spans="2:17" ht="16.2" thickBot="1" x14ac:dyDescent="0.35">
      <c r="G27" s="159" t="s">
        <v>430</v>
      </c>
      <c r="H27" s="160"/>
      <c r="Q27" s="121" t="s">
        <v>200</v>
      </c>
    </row>
    <row r="28" spans="2:17" x14ac:dyDescent="0.3">
      <c r="Q28" s="121" t="s">
        <v>177</v>
      </c>
    </row>
    <row r="29" spans="2:17" x14ac:dyDescent="0.3">
      <c r="G29" t="s">
        <v>185</v>
      </c>
      <c r="H29" t="s">
        <v>185</v>
      </c>
      <c r="Q29" s="121" t="s">
        <v>201</v>
      </c>
    </row>
    <row r="30" spans="2:17" x14ac:dyDescent="0.3">
      <c r="B30" s="125" t="s">
        <v>24</v>
      </c>
      <c r="C30" s="125" t="s">
        <v>89</v>
      </c>
      <c r="D30" s="125" t="s">
        <v>90</v>
      </c>
      <c r="E30" s="125" t="s">
        <v>165</v>
      </c>
      <c r="F30" s="125" t="s">
        <v>93</v>
      </c>
      <c r="G30" s="125" t="s">
        <v>183</v>
      </c>
      <c r="H30" s="125" t="s">
        <v>183</v>
      </c>
      <c r="Q30" s="121" t="s">
        <v>178</v>
      </c>
    </row>
    <row r="31" spans="2:17" x14ac:dyDescent="0.3">
      <c r="B31" s="121" t="s">
        <v>166</v>
      </c>
      <c r="C31" s="121" t="s">
        <v>94</v>
      </c>
      <c r="D31" s="121" t="s">
        <v>99</v>
      </c>
      <c r="E31" s="122">
        <v>44270</v>
      </c>
      <c r="F31" s="121">
        <v>55000</v>
      </c>
      <c r="G31" s="127" cm="1">
        <f t="array" ref="G31">INDEX($L$34:$L$45,MATCH(1,($J$34:$J$45=D31)*($K$34:$K$45=C31),0))</f>
        <v>0.05</v>
      </c>
      <c r="H31" s="127">
        <f t="shared" ref="H31:H50" si="0">INDEX($K$49:$L$54,MATCH(D31,$J$49:$J$54,0),MATCH(C31,$K$48:$L$48,0))</f>
        <v>0.05</v>
      </c>
      <c r="Q31" s="121" t="s">
        <v>202</v>
      </c>
    </row>
    <row r="32" spans="2:17" x14ac:dyDescent="0.3">
      <c r="B32" s="121" t="s">
        <v>44</v>
      </c>
      <c r="C32" s="121" t="s">
        <v>96</v>
      </c>
      <c r="D32" s="121" t="s">
        <v>98</v>
      </c>
      <c r="E32" s="122">
        <v>43668</v>
      </c>
      <c r="F32" s="121">
        <v>48000</v>
      </c>
      <c r="G32" s="127" cm="1">
        <f t="array" ref="G32">INDEX($L$34:$L$45,MATCH(1,($J$34:$J$45=D32)*($K$34:$K$45=C32),0))</f>
        <v>0.03</v>
      </c>
      <c r="H32" s="127">
        <f t="shared" si="0"/>
        <v>0.03</v>
      </c>
      <c r="Q32" s="121" t="s">
        <v>169</v>
      </c>
    </row>
    <row r="33" spans="2:17" x14ac:dyDescent="0.3">
      <c r="B33" s="121" t="s">
        <v>167</v>
      </c>
      <c r="C33" s="121" t="s">
        <v>94</v>
      </c>
      <c r="D33" s="121" t="s">
        <v>100</v>
      </c>
      <c r="E33" s="122">
        <v>43840</v>
      </c>
      <c r="F33" s="121">
        <v>62000</v>
      </c>
      <c r="G33" s="127" cm="1">
        <f t="array" ref="G33">INDEX($L$34:$L$45,MATCH(1,($J$34:$J$45=D33)*($K$34:$K$45=C33),0))</f>
        <v>0.02</v>
      </c>
      <c r="H33" s="127">
        <f t="shared" si="0"/>
        <v>0.02</v>
      </c>
      <c r="J33" s="125" t="s">
        <v>90</v>
      </c>
      <c r="K33" s="125" t="s">
        <v>89</v>
      </c>
      <c r="L33" s="125" t="s">
        <v>183</v>
      </c>
      <c r="Q33" s="121" t="s">
        <v>190</v>
      </c>
    </row>
    <row r="34" spans="2:17" x14ac:dyDescent="0.3">
      <c r="B34" s="121" t="s">
        <v>168</v>
      </c>
      <c r="C34" s="121" t="s">
        <v>96</v>
      </c>
      <c r="D34" s="121" t="s">
        <v>97</v>
      </c>
      <c r="E34" s="122">
        <v>44699</v>
      </c>
      <c r="F34" s="121">
        <v>50000</v>
      </c>
      <c r="G34" s="127" cm="1">
        <f t="array" ref="G34">INDEX($L$34:$L$45,MATCH(1,($J$34:$J$45=D34)*($K$34:$K$45=C34),0))</f>
        <v>0.04</v>
      </c>
      <c r="H34" s="127">
        <f t="shared" si="0"/>
        <v>0.04</v>
      </c>
      <c r="J34" s="121" t="s">
        <v>98</v>
      </c>
      <c r="K34" s="121" t="s">
        <v>96</v>
      </c>
      <c r="L34" s="124">
        <v>0.03</v>
      </c>
      <c r="Q34" s="121" t="s">
        <v>170</v>
      </c>
    </row>
    <row r="35" spans="2:17" x14ac:dyDescent="0.3">
      <c r="B35" s="121" t="s">
        <v>169</v>
      </c>
      <c r="C35" s="121" t="s">
        <v>94</v>
      </c>
      <c r="D35" s="121" t="s">
        <v>102</v>
      </c>
      <c r="E35" s="122">
        <v>43434</v>
      </c>
      <c r="F35" s="121">
        <v>58000</v>
      </c>
      <c r="G35" s="127" cm="1">
        <f t="array" ref="G35">INDEX($L$34:$L$45,MATCH(1,($J$34:$J$45=D35)*($K$34:$K$45=C35),0))</f>
        <v>0.02</v>
      </c>
      <c r="H35" s="127">
        <f t="shared" si="0"/>
        <v>0.02</v>
      </c>
      <c r="J35" s="121" t="s">
        <v>100</v>
      </c>
      <c r="K35" s="121" t="s">
        <v>96</v>
      </c>
      <c r="L35" s="124">
        <v>0.02</v>
      </c>
      <c r="Q35" s="121" t="s">
        <v>191</v>
      </c>
    </row>
    <row r="36" spans="2:17" x14ac:dyDescent="0.3">
      <c r="B36" s="121" t="s">
        <v>170</v>
      </c>
      <c r="C36" s="121" t="s">
        <v>96</v>
      </c>
      <c r="D36" s="121" t="s">
        <v>99</v>
      </c>
      <c r="E36" s="122">
        <v>44464</v>
      </c>
      <c r="F36" s="121">
        <v>52000</v>
      </c>
      <c r="G36" s="127" cm="1">
        <f t="array" ref="G36">INDEX($L$34:$L$45,MATCH(1,($J$34:$J$45=D36)*($K$34:$K$45=C36),0))</f>
        <v>0.03</v>
      </c>
      <c r="H36" s="127">
        <f t="shared" si="0"/>
        <v>0.03</v>
      </c>
      <c r="J36" s="121" t="s">
        <v>97</v>
      </c>
      <c r="K36" s="121" t="s">
        <v>96</v>
      </c>
      <c r="L36" s="124">
        <v>0.04</v>
      </c>
      <c r="Q36" s="121" t="s">
        <v>174</v>
      </c>
    </row>
    <row r="37" spans="2:17" x14ac:dyDescent="0.3">
      <c r="B37" s="121" t="s">
        <v>171</v>
      </c>
      <c r="C37" s="121" t="s">
        <v>94</v>
      </c>
      <c r="D37" s="121" t="s">
        <v>95</v>
      </c>
      <c r="E37" s="122">
        <v>44971</v>
      </c>
      <c r="F37" s="121">
        <v>47000</v>
      </c>
      <c r="G37" s="127" cm="1">
        <f t="array" ref="G37">INDEX($L$34:$L$45,MATCH(1,($J$34:$J$45=D37)*($K$34:$K$45=C37),0))</f>
        <v>0.05</v>
      </c>
      <c r="H37" s="127">
        <f t="shared" si="0"/>
        <v>0.05</v>
      </c>
      <c r="J37" s="121" t="s">
        <v>95</v>
      </c>
      <c r="K37" s="121" t="s">
        <v>96</v>
      </c>
      <c r="L37" s="124">
        <v>0.05</v>
      </c>
      <c r="Q37" s="121" t="s">
        <v>196</v>
      </c>
    </row>
    <row r="38" spans="2:17" x14ac:dyDescent="0.3">
      <c r="B38" s="121" t="s">
        <v>172</v>
      </c>
      <c r="C38" s="121" t="s">
        <v>96</v>
      </c>
      <c r="D38" s="121" t="s">
        <v>98</v>
      </c>
      <c r="E38" s="122">
        <v>43994</v>
      </c>
      <c r="F38" s="121">
        <v>49000</v>
      </c>
      <c r="G38" s="127" cm="1">
        <f t="array" ref="G38">INDEX($L$34:$L$45,MATCH(1,($J$34:$J$45=D38)*($K$34:$K$45=C38),0))</f>
        <v>0.03</v>
      </c>
      <c r="H38" s="127">
        <f t="shared" si="0"/>
        <v>0.03</v>
      </c>
      <c r="J38" s="121" t="s">
        <v>99</v>
      </c>
      <c r="K38" s="121" t="s">
        <v>96</v>
      </c>
      <c r="L38" s="124">
        <v>0.03</v>
      </c>
      <c r="Q38" s="121" t="s">
        <v>51</v>
      </c>
    </row>
    <row r="39" spans="2:17" x14ac:dyDescent="0.3">
      <c r="B39" s="121" t="s">
        <v>38</v>
      </c>
      <c r="C39" s="121" t="s">
        <v>94</v>
      </c>
      <c r="D39" s="121" t="s">
        <v>100</v>
      </c>
      <c r="E39" s="122">
        <v>44535</v>
      </c>
      <c r="F39" s="121">
        <v>65000</v>
      </c>
      <c r="G39" s="127" cm="1">
        <f t="array" ref="G39">INDEX($L$34:$L$45,MATCH(1,($J$34:$J$45=D39)*($K$34:$K$45=C39),0))</f>
        <v>0.02</v>
      </c>
      <c r="H39" s="127">
        <f t="shared" si="0"/>
        <v>0.02</v>
      </c>
      <c r="J39" s="121" t="s">
        <v>102</v>
      </c>
      <c r="K39" s="121" t="s">
        <v>96</v>
      </c>
      <c r="L39" s="124">
        <v>0.02</v>
      </c>
      <c r="Q39" s="121" t="s">
        <v>197</v>
      </c>
    </row>
    <row r="40" spans="2:17" x14ac:dyDescent="0.3">
      <c r="B40" s="121" t="s">
        <v>173</v>
      </c>
      <c r="C40" s="121" t="s">
        <v>96</v>
      </c>
      <c r="D40" s="121" t="s">
        <v>97</v>
      </c>
      <c r="E40" s="122">
        <v>43576</v>
      </c>
      <c r="F40" s="121">
        <v>53000</v>
      </c>
      <c r="G40" s="127" cm="1">
        <f t="array" ref="G40">INDEX($L$34:$L$45,MATCH(1,($J$34:$J$45=D40)*($K$34:$K$45=C40),0))</f>
        <v>0.04</v>
      </c>
      <c r="H40" s="127">
        <f t="shared" si="0"/>
        <v>0.04</v>
      </c>
      <c r="J40" s="121" t="s">
        <v>98</v>
      </c>
      <c r="K40" s="121" t="s">
        <v>94</v>
      </c>
      <c r="L40" s="124">
        <v>0.03</v>
      </c>
      <c r="Q40" s="121" t="s">
        <v>175</v>
      </c>
    </row>
    <row r="41" spans="2:17" x14ac:dyDescent="0.3">
      <c r="B41" s="121" t="s">
        <v>174</v>
      </c>
      <c r="C41" s="121" t="s">
        <v>94</v>
      </c>
      <c r="D41" s="121" t="s">
        <v>99</v>
      </c>
      <c r="E41" s="122">
        <v>44837</v>
      </c>
      <c r="F41" s="121">
        <v>60000</v>
      </c>
      <c r="G41" s="127" cm="1">
        <f t="array" ref="G41">INDEX($L$34:$L$45,MATCH(1,($J$34:$J$45=D41)*($K$34:$K$45=C41),0))</f>
        <v>0.05</v>
      </c>
      <c r="H41" s="127">
        <f t="shared" si="0"/>
        <v>0.05</v>
      </c>
      <c r="J41" s="121" t="s">
        <v>100</v>
      </c>
      <c r="K41" s="121" t="s">
        <v>94</v>
      </c>
      <c r="L41" s="124">
        <v>0.02</v>
      </c>
      <c r="Q41" s="121" t="s">
        <v>198</v>
      </c>
    </row>
    <row r="42" spans="2:17" x14ac:dyDescent="0.3">
      <c r="B42" s="121" t="s">
        <v>51</v>
      </c>
      <c r="C42" s="121" t="s">
        <v>96</v>
      </c>
      <c r="D42" s="121" t="s">
        <v>102</v>
      </c>
      <c r="E42" s="122">
        <v>44204</v>
      </c>
      <c r="F42" s="121">
        <v>56000</v>
      </c>
      <c r="G42" s="127" cm="1">
        <f t="array" ref="G42">INDEX($L$34:$L$45,MATCH(1,($J$34:$J$45=D42)*($K$34:$K$45=C42),0))</f>
        <v>0.02</v>
      </c>
      <c r="H42" s="127">
        <f t="shared" si="0"/>
        <v>0.02</v>
      </c>
      <c r="J42" s="121" t="s">
        <v>97</v>
      </c>
      <c r="K42" s="121" t="s">
        <v>94</v>
      </c>
      <c r="L42" s="124">
        <v>0.04</v>
      </c>
    </row>
    <row r="43" spans="2:17" x14ac:dyDescent="0.3">
      <c r="B43" s="121" t="s">
        <v>175</v>
      </c>
      <c r="C43" s="121" t="s">
        <v>94</v>
      </c>
      <c r="D43" s="121" t="s">
        <v>95</v>
      </c>
      <c r="E43" s="122">
        <v>44062</v>
      </c>
      <c r="F43" s="121">
        <v>46500</v>
      </c>
      <c r="G43" s="127" cm="1">
        <f t="array" ref="G43">INDEX($L$34:$L$45,MATCH(1,($J$34:$J$45=D43)*($K$34:$K$45=C43),0))</f>
        <v>0.05</v>
      </c>
      <c r="H43" s="127">
        <f t="shared" si="0"/>
        <v>0.05</v>
      </c>
      <c r="J43" s="121" t="s">
        <v>95</v>
      </c>
      <c r="K43" s="121" t="s">
        <v>94</v>
      </c>
      <c r="L43" s="124">
        <v>0.05</v>
      </c>
    </row>
    <row r="44" spans="2:17" x14ac:dyDescent="0.3">
      <c r="B44" s="121" t="s">
        <v>107</v>
      </c>
      <c r="C44" s="121" t="s">
        <v>96</v>
      </c>
      <c r="D44" s="121" t="s">
        <v>98</v>
      </c>
      <c r="E44" s="122">
        <v>43826</v>
      </c>
      <c r="F44" s="121">
        <v>50500</v>
      </c>
      <c r="G44" s="127" cm="1">
        <f t="array" ref="G44">INDEX($L$34:$L$45,MATCH(1,($J$34:$J$45=D44)*($K$34:$K$45=C44),0))</f>
        <v>0.03</v>
      </c>
      <c r="H44" s="127">
        <f t="shared" si="0"/>
        <v>0.03</v>
      </c>
      <c r="J44" s="121" t="s">
        <v>99</v>
      </c>
      <c r="K44" s="121" t="s">
        <v>94</v>
      </c>
      <c r="L44" s="124">
        <v>0.05</v>
      </c>
    </row>
    <row r="45" spans="2:17" x14ac:dyDescent="0.3">
      <c r="B45" s="121" t="s">
        <v>176</v>
      </c>
      <c r="C45" s="121" t="s">
        <v>94</v>
      </c>
      <c r="D45" s="121" t="s">
        <v>100</v>
      </c>
      <c r="E45" s="122">
        <v>44393</v>
      </c>
      <c r="F45" s="121">
        <v>63000</v>
      </c>
      <c r="G45" s="127" cm="1">
        <f t="array" ref="G45">INDEX($L$34:$L$45,MATCH(1,($J$34:$J$45=D45)*($K$34:$K$45=C45),0))</f>
        <v>0.02</v>
      </c>
      <c r="H45" s="127">
        <f t="shared" si="0"/>
        <v>0.02</v>
      </c>
      <c r="J45" s="121" t="s">
        <v>102</v>
      </c>
      <c r="K45" s="121" t="s">
        <v>94</v>
      </c>
      <c r="L45" s="124">
        <v>0.02</v>
      </c>
    </row>
    <row r="46" spans="2:17" x14ac:dyDescent="0.3">
      <c r="B46" s="121" t="s">
        <v>177</v>
      </c>
      <c r="C46" s="121" t="s">
        <v>96</v>
      </c>
      <c r="D46" s="121" t="s">
        <v>99</v>
      </c>
      <c r="E46" s="122">
        <v>44996</v>
      </c>
      <c r="F46" s="121">
        <v>59000</v>
      </c>
      <c r="G46" s="127" cm="1">
        <f t="array" ref="G46">INDEX($L$34:$L$45,MATCH(1,($J$34:$J$45=D46)*($K$34:$K$45=C46),0))</f>
        <v>0.03</v>
      </c>
      <c r="H46" s="127">
        <f t="shared" si="0"/>
        <v>0.03</v>
      </c>
    </row>
    <row r="47" spans="2:17" x14ac:dyDescent="0.3">
      <c r="B47" s="121" t="s">
        <v>178</v>
      </c>
      <c r="C47" s="121" t="s">
        <v>94</v>
      </c>
      <c r="D47" s="121" t="s">
        <v>97</v>
      </c>
      <c r="E47" s="122">
        <v>44104</v>
      </c>
      <c r="F47" s="121">
        <v>51000</v>
      </c>
      <c r="G47" s="127" cm="1">
        <f t="array" ref="G47">INDEX($L$34:$L$45,MATCH(1,($J$34:$J$45=D47)*($K$34:$K$45=C47),0))</f>
        <v>0.04</v>
      </c>
      <c r="H47" s="127">
        <f t="shared" si="0"/>
        <v>0.04</v>
      </c>
    </row>
    <row r="48" spans="2:17" x14ac:dyDescent="0.3">
      <c r="B48" s="121" t="s">
        <v>179</v>
      </c>
      <c r="C48" s="121" t="s">
        <v>96</v>
      </c>
      <c r="D48" s="121" t="s">
        <v>102</v>
      </c>
      <c r="E48" s="122">
        <v>44887</v>
      </c>
      <c r="F48" s="121">
        <v>57000</v>
      </c>
      <c r="G48" s="127" cm="1">
        <f t="array" ref="G48">INDEX($L$34:$L$45,MATCH(1,($J$34:$J$45=D48)*($K$34:$K$45=C48),0))</f>
        <v>0.02</v>
      </c>
      <c r="H48" s="127">
        <f t="shared" si="0"/>
        <v>0.02</v>
      </c>
      <c r="J48" s="126" t="s">
        <v>90</v>
      </c>
      <c r="K48" s="126" t="s">
        <v>96</v>
      </c>
      <c r="L48" s="126" t="s">
        <v>94</v>
      </c>
    </row>
    <row r="49" spans="2:12" x14ac:dyDescent="0.3">
      <c r="B49" s="121" t="s">
        <v>180</v>
      </c>
      <c r="C49" s="121" t="s">
        <v>94</v>
      </c>
      <c r="D49" s="121" t="s">
        <v>95</v>
      </c>
      <c r="E49" s="122">
        <v>43245</v>
      </c>
      <c r="F49" s="121">
        <v>45000</v>
      </c>
      <c r="G49" s="127" cm="1">
        <f t="array" ref="G49">INDEX($L$34:$L$45,MATCH(1,($J$34:$J$45=D49)*($K$34:$K$45=C49),0))</f>
        <v>0.05</v>
      </c>
      <c r="H49" s="127">
        <f t="shared" si="0"/>
        <v>0.05</v>
      </c>
      <c r="J49" s="121" t="s">
        <v>98</v>
      </c>
      <c r="K49" s="124">
        <v>0.03</v>
      </c>
      <c r="L49" s="124">
        <v>0.03</v>
      </c>
    </row>
    <row r="50" spans="2:12" x14ac:dyDescent="0.3">
      <c r="B50" s="121" t="s">
        <v>181</v>
      </c>
      <c r="C50" s="121" t="s">
        <v>96</v>
      </c>
      <c r="D50" s="121" t="s">
        <v>100</v>
      </c>
      <c r="E50" s="122">
        <v>44300</v>
      </c>
      <c r="F50" s="121">
        <v>64000</v>
      </c>
      <c r="G50" s="127" cm="1">
        <f t="array" ref="G50">INDEX($L$34:$L$45,MATCH(1,($J$34:$J$45=D50)*($K$34:$K$45=C50),0))</f>
        <v>0.02</v>
      </c>
      <c r="H50" s="127">
        <f t="shared" si="0"/>
        <v>0.02</v>
      </c>
      <c r="J50" s="121" t="s">
        <v>100</v>
      </c>
      <c r="K50" s="124">
        <v>0.02</v>
      </c>
      <c r="L50" s="124">
        <v>0.02</v>
      </c>
    </row>
    <row r="51" spans="2:12" x14ac:dyDescent="0.3">
      <c r="J51" s="121" t="s">
        <v>97</v>
      </c>
      <c r="K51" s="124">
        <v>0.04</v>
      </c>
      <c r="L51" s="124">
        <v>0.04</v>
      </c>
    </row>
    <row r="52" spans="2:12" x14ac:dyDescent="0.3">
      <c r="J52" s="121" t="s">
        <v>95</v>
      </c>
      <c r="K52" s="124">
        <v>0.05</v>
      </c>
      <c r="L52" s="124">
        <v>0.05</v>
      </c>
    </row>
    <row r="53" spans="2:12" x14ac:dyDescent="0.3">
      <c r="J53" s="121" t="s">
        <v>99</v>
      </c>
      <c r="K53" s="124">
        <v>0.03</v>
      </c>
      <c r="L53" s="124">
        <v>0.05</v>
      </c>
    </row>
    <row r="54" spans="2:12" x14ac:dyDescent="0.3">
      <c r="J54" s="121" t="s">
        <v>102</v>
      </c>
      <c r="K54" s="124">
        <v>0.02</v>
      </c>
      <c r="L54" s="124">
        <v>0.02</v>
      </c>
    </row>
  </sheetData>
  <mergeCells count="3">
    <mergeCell ref="G3:H3"/>
    <mergeCell ref="J3:K3"/>
    <mergeCell ref="G27:H27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1196-8E16-4DBD-9AAA-D94168895F22}">
  <dimension ref="B2:T162"/>
  <sheetViews>
    <sheetView showGridLines="0" workbookViewId="0">
      <selection activeCell="M124" sqref="M124"/>
    </sheetView>
  </sheetViews>
  <sheetFormatPr defaultRowHeight="14.4" x14ac:dyDescent="0.3"/>
  <cols>
    <col min="2" max="2" width="8.6640625" customWidth="1"/>
    <col min="3" max="3" width="11.77734375" customWidth="1"/>
    <col min="4" max="4" width="12.21875" customWidth="1"/>
    <col min="5" max="5" width="11" customWidth="1"/>
    <col min="6" max="7" width="14.21875" customWidth="1"/>
    <col min="8" max="8" width="13.6640625" customWidth="1"/>
    <col min="11" max="11" width="16.33203125" bestFit="1" customWidth="1"/>
    <col min="12" max="12" width="19.44140625" bestFit="1" customWidth="1"/>
    <col min="13" max="13" width="10.109375" bestFit="1" customWidth="1"/>
    <col min="14" max="14" width="14" bestFit="1" customWidth="1"/>
    <col min="20" max="20" width="10.5546875" bestFit="1" customWidth="1"/>
  </cols>
  <sheetData>
    <row r="2" spans="2:20" x14ac:dyDescent="0.3">
      <c r="B2" s="1" t="s">
        <v>214</v>
      </c>
      <c r="C2" s="1" t="s">
        <v>215</v>
      </c>
      <c r="D2" s="1" t="s">
        <v>216</v>
      </c>
      <c r="E2" s="1" t="s">
        <v>217</v>
      </c>
      <c r="F2" s="1" t="s">
        <v>218</v>
      </c>
      <c r="G2" s="1" t="s">
        <v>219</v>
      </c>
      <c r="H2" s="1" t="s">
        <v>220</v>
      </c>
      <c r="J2" s="4"/>
      <c r="K2" s="161" t="s">
        <v>224</v>
      </c>
      <c r="L2" s="162"/>
      <c r="M2" s="162"/>
      <c r="N2" s="162"/>
      <c r="O2" s="162"/>
      <c r="P2" s="162"/>
      <c r="Q2" s="163"/>
    </row>
    <row r="3" spans="2:20" x14ac:dyDescent="0.3">
      <c r="B3" s="96">
        <v>45658</v>
      </c>
      <c r="C3" s="2" t="s">
        <v>221</v>
      </c>
      <c r="D3" s="3">
        <v>12000</v>
      </c>
      <c r="E3" s="3">
        <v>1200</v>
      </c>
      <c r="F3" s="3">
        <v>8500</v>
      </c>
      <c r="G3" s="2">
        <v>700</v>
      </c>
      <c r="H3" s="3">
        <v>10200</v>
      </c>
      <c r="J3" s="4">
        <v>1</v>
      </c>
      <c r="K3" s="165" t="s">
        <v>225</v>
      </c>
      <c r="L3" s="165"/>
      <c r="M3" s="165"/>
      <c r="N3" s="165"/>
      <c r="O3" s="165"/>
      <c r="P3" s="165"/>
      <c r="Q3" s="165"/>
      <c r="T3" s="4" t="s">
        <v>236</v>
      </c>
    </row>
    <row r="4" spans="2:20" x14ac:dyDescent="0.3">
      <c r="B4" s="96">
        <v>45658</v>
      </c>
      <c r="C4" s="2" t="s">
        <v>222</v>
      </c>
      <c r="D4" s="3">
        <v>15000</v>
      </c>
      <c r="E4" s="3">
        <v>1000</v>
      </c>
      <c r="F4" s="3">
        <v>9800</v>
      </c>
      <c r="G4" s="2">
        <v>600</v>
      </c>
      <c r="H4" s="3">
        <v>11500</v>
      </c>
      <c r="J4" s="4">
        <v>2</v>
      </c>
      <c r="K4" s="165" t="s">
        <v>246</v>
      </c>
      <c r="L4" s="165"/>
      <c r="M4" s="165"/>
      <c r="N4" s="165"/>
      <c r="O4" s="165"/>
      <c r="P4" s="165"/>
      <c r="Q4" s="165"/>
      <c r="T4" s="4" t="s">
        <v>237</v>
      </c>
    </row>
    <row r="5" spans="2:20" x14ac:dyDescent="0.3">
      <c r="B5" s="96">
        <v>45658</v>
      </c>
      <c r="C5" s="2" t="s">
        <v>223</v>
      </c>
      <c r="D5" s="3">
        <v>18500</v>
      </c>
      <c r="E5" s="3">
        <v>1500</v>
      </c>
      <c r="F5" s="3">
        <v>12000</v>
      </c>
      <c r="G5" s="2">
        <v>800</v>
      </c>
      <c r="H5" s="3">
        <v>13700</v>
      </c>
      <c r="J5" s="4">
        <v>3</v>
      </c>
      <c r="K5" s="165" t="s">
        <v>226</v>
      </c>
      <c r="L5" s="165"/>
      <c r="M5" s="165"/>
      <c r="N5" s="165"/>
      <c r="O5" s="165"/>
      <c r="P5" s="165"/>
      <c r="Q5" s="165"/>
      <c r="T5" s="4" t="s">
        <v>238</v>
      </c>
    </row>
    <row r="6" spans="2:20" x14ac:dyDescent="0.3">
      <c r="B6" s="96">
        <v>45689</v>
      </c>
      <c r="C6" s="2" t="s">
        <v>221</v>
      </c>
      <c r="D6" s="3">
        <v>13200</v>
      </c>
      <c r="E6" s="3">
        <v>1250</v>
      </c>
      <c r="F6" s="3">
        <v>8900</v>
      </c>
      <c r="G6" s="2">
        <v>750</v>
      </c>
      <c r="H6" s="3">
        <v>10800</v>
      </c>
      <c r="J6" s="4">
        <v>4</v>
      </c>
      <c r="K6" s="165" t="s">
        <v>227</v>
      </c>
      <c r="L6" s="165"/>
      <c r="M6" s="165"/>
      <c r="N6" s="165"/>
      <c r="O6" s="165"/>
      <c r="P6" s="165"/>
      <c r="Q6" s="165"/>
      <c r="T6" s="4" t="s">
        <v>239</v>
      </c>
    </row>
    <row r="7" spans="2:20" x14ac:dyDescent="0.3">
      <c r="B7" s="96">
        <v>45689</v>
      </c>
      <c r="C7" s="2" t="s">
        <v>222</v>
      </c>
      <c r="D7" s="3">
        <v>16000</v>
      </c>
      <c r="E7" s="3">
        <v>1050</v>
      </c>
      <c r="F7" s="3">
        <v>10100</v>
      </c>
      <c r="G7" s="2">
        <v>650</v>
      </c>
      <c r="H7" s="3">
        <v>11900</v>
      </c>
      <c r="J7" s="4">
        <v>5</v>
      </c>
      <c r="K7" s="165" t="s">
        <v>260</v>
      </c>
      <c r="L7" s="165"/>
      <c r="M7" s="165"/>
      <c r="N7" s="165"/>
      <c r="O7" s="165"/>
      <c r="P7" s="165"/>
      <c r="Q7" s="165"/>
      <c r="T7" s="4" t="s">
        <v>240</v>
      </c>
    </row>
    <row r="8" spans="2:20" x14ac:dyDescent="0.3">
      <c r="B8" s="96">
        <v>45689</v>
      </c>
      <c r="C8" s="2" t="s">
        <v>223</v>
      </c>
      <c r="D8" s="3">
        <v>19300</v>
      </c>
      <c r="E8" s="3">
        <v>1600</v>
      </c>
      <c r="F8" s="3">
        <v>12400</v>
      </c>
      <c r="G8" s="2">
        <v>850</v>
      </c>
      <c r="H8" s="3">
        <v>14100</v>
      </c>
      <c r="J8" s="4">
        <v>6</v>
      </c>
      <c r="K8" s="165" t="s">
        <v>228</v>
      </c>
      <c r="L8" s="165"/>
      <c r="M8" s="165"/>
      <c r="N8" s="165"/>
      <c r="O8" s="165"/>
      <c r="P8" s="165"/>
      <c r="Q8" s="165"/>
      <c r="T8" s="4" t="s">
        <v>241</v>
      </c>
    </row>
    <row r="9" spans="2:20" x14ac:dyDescent="0.3">
      <c r="B9" s="96">
        <v>45717</v>
      </c>
      <c r="C9" s="2" t="s">
        <v>221</v>
      </c>
      <c r="D9" s="3">
        <v>33000</v>
      </c>
      <c r="E9" s="3">
        <v>1300</v>
      </c>
      <c r="F9" s="3">
        <v>9200</v>
      </c>
      <c r="G9" s="2">
        <v>780</v>
      </c>
      <c r="H9" s="3">
        <v>11000</v>
      </c>
      <c r="J9" s="4">
        <v>7</v>
      </c>
      <c r="K9" s="165" t="s">
        <v>262</v>
      </c>
      <c r="L9" s="165"/>
      <c r="M9" s="165"/>
      <c r="N9" s="165"/>
      <c r="O9" s="165"/>
      <c r="P9" s="165"/>
      <c r="Q9" s="165"/>
    </row>
    <row r="10" spans="2:20" x14ac:dyDescent="0.3">
      <c r="B10" s="96">
        <v>45717</v>
      </c>
      <c r="C10" s="2" t="s">
        <v>222</v>
      </c>
      <c r="D10" s="3">
        <v>16800</v>
      </c>
      <c r="E10" s="3">
        <v>1100</v>
      </c>
      <c r="F10" s="3">
        <v>10400</v>
      </c>
      <c r="G10" s="2">
        <v>670</v>
      </c>
      <c r="H10" s="3">
        <v>12100</v>
      </c>
      <c r="J10" s="4">
        <v>8</v>
      </c>
      <c r="K10" s="165" t="s">
        <v>229</v>
      </c>
      <c r="L10" s="165"/>
      <c r="M10" s="165"/>
      <c r="N10" s="165"/>
      <c r="O10" s="165"/>
      <c r="P10" s="165"/>
      <c r="Q10" s="165"/>
    </row>
    <row r="11" spans="2:20" x14ac:dyDescent="0.3">
      <c r="B11" s="96">
        <v>45717</v>
      </c>
      <c r="C11" s="2" t="s">
        <v>223</v>
      </c>
      <c r="D11" s="3">
        <v>20000</v>
      </c>
      <c r="E11" s="3">
        <v>1700</v>
      </c>
      <c r="F11" s="3">
        <v>12800</v>
      </c>
      <c r="G11" s="2">
        <v>870</v>
      </c>
      <c r="H11" s="3">
        <v>14500</v>
      </c>
      <c r="J11" s="4">
        <v>9</v>
      </c>
      <c r="K11" s="165" t="s">
        <v>230</v>
      </c>
      <c r="L11" s="165"/>
      <c r="M11" s="165"/>
      <c r="N11" s="165"/>
      <c r="O11" s="165"/>
      <c r="P11" s="165"/>
      <c r="Q11" s="165"/>
    </row>
    <row r="12" spans="2:20" x14ac:dyDescent="0.3">
      <c r="B12" s="96">
        <v>45748</v>
      </c>
      <c r="C12" s="2" t="s">
        <v>221</v>
      </c>
      <c r="D12" s="3">
        <v>14500</v>
      </c>
      <c r="E12" s="3">
        <v>1350</v>
      </c>
      <c r="F12" s="3">
        <v>9500</v>
      </c>
      <c r="G12" s="2">
        <v>800</v>
      </c>
      <c r="H12" s="3">
        <v>11300</v>
      </c>
      <c r="J12" s="4">
        <v>10</v>
      </c>
      <c r="K12" s="165" t="s">
        <v>231</v>
      </c>
      <c r="L12" s="165"/>
      <c r="M12" s="165"/>
      <c r="N12" s="165"/>
      <c r="O12" s="165"/>
      <c r="P12" s="165"/>
      <c r="Q12" s="165"/>
    </row>
    <row r="13" spans="2:20" x14ac:dyDescent="0.3">
      <c r="B13" s="96">
        <v>45748</v>
      </c>
      <c r="C13" s="2" t="s">
        <v>222</v>
      </c>
      <c r="D13" s="3">
        <v>17500</v>
      </c>
      <c r="E13" s="3">
        <v>1150</v>
      </c>
      <c r="F13" s="3">
        <v>10700</v>
      </c>
      <c r="G13" s="2">
        <v>700</v>
      </c>
      <c r="H13" s="3">
        <v>12400</v>
      </c>
      <c r="J13" s="4">
        <v>11</v>
      </c>
      <c r="K13" s="165" t="s">
        <v>232</v>
      </c>
      <c r="L13" s="165"/>
      <c r="M13" s="165"/>
      <c r="N13" s="165"/>
      <c r="O13" s="165"/>
      <c r="P13" s="165"/>
      <c r="Q13" s="165"/>
    </row>
    <row r="14" spans="2:20" x14ac:dyDescent="0.3">
      <c r="B14" s="96">
        <v>45748</v>
      </c>
      <c r="C14" s="2" t="s">
        <v>223</v>
      </c>
      <c r="D14" s="3">
        <v>21000</v>
      </c>
      <c r="E14" s="3">
        <v>1800</v>
      </c>
      <c r="F14" s="3">
        <v>13200</v>
      </c>
      <c r="G14" s="2">
        <v>900</v>
      </c>
      <c r="H14" s="3">
        <v>15000</v>
      </c>
      <c r="J14" s="4">
        <v>12</v>
      </c>
      <c r="K14" s="165" t="s">
        <v>233</v>
      </c>
      <c r="L14" s="165"/>
      <c r="M14" s="165"/>
      <c r="N14" s="165"/>
      <c r="O14" s="165"/>
      <c r="P14" s="165"/>
      <c r="Q14" s="165"/>
    </row>
    <row r="15" spans="2:20" x14ac:dyDescent="0.3">
      <c r="B15" s="96">
        <v>45778</v>
      </c>
      <c r="C15" s="2" t="s">
        <v>221</v>
      </c>
      <c r="D15" s="3">
        <v>15200</v>
      </c>
      <c r="E15" s="3">
        <v>1400</v>
      </c>
      <c r="F15" s="3">
        <v>9900</v>
      </c>
      <c r="G15" s="2">
        <v>820</v>
      </c>
      <c r="H15" s="3">
        <v>11800</v>
      </c>
      <c r="J15" s="4">
        <v>13</v>
      </c>
      <c r="K15" s="165" t="s">
        <v>251</v>
      </c>
      <c r="L15" s="165"/>
      <c r="M15" s="165"/>
      <c r="N15" s="165"/>
      <c r="O15" s="165"/>
      <c r="P15" s="165"/>
      <c r="Q15" s="165"/>
    </row>
    <row r="16" spans="2:20" x14ac:dyDescent="0.3">
      <c r="B16" s="96">
        <v>45778</v>
      </c>
      <c r="C16" s="2" t="s">
        <v>222</v>
      </c>
      <c r="D16" s="3">
        <v>18300</v>
      </c>
      <c r="E16" s="3">
        <v>1200</v>
      </c>
      <c r="F16" s="3">
        <v>11000</v>
      </c>
      <c r="G16" s="2">
        <v>720</v>
      </c>
      <c r="H16" s="3">
        <v>12800</v>
      </c>
      <c r="J16" s="4">
        <v>14</v>
      </c>
      <c r="K16" s="165" t="s">
        <v>234</v>
      </c>
      <c r="L16" s="165"/>
      <c r="M16" s="165"/>
      <c r="N16" s="165"/>
      <c r="O16" s="165"/>
      <c r="P16" s="165"/>
      <c r="Q16" s="165"/>
    </row>
    <row r="17" spans="2:17" x14ac:dyDescent="0.3">
      <c r="B17" s="96">
        <v>45778</v>
      </c>
      <c r="C17" s="2" t="s">
        <v>223</v>
      </c>
      <c r="D17" s="3">
        <v>21800</v>
      </c>
      <c r="E17" s="3">
        <v>1850</v>
      </c>
      <c r="F17" s="3">
        <v>13600</v>
      </c>
      <c r="G17" s="2">
        <v>940</v>
      </c>
      <c r="H17" s="3">
        <v>15500</v>
      </c>
      <c r="J17" s="4">
        <v>15</v>
      </c>
      <c r="K17" s="165" t="s">
        <v>235</v>
      </c>
      <c r="L17" s="165"/>
      <c r="M17" s="165"/>
      <c r="N17" s="165"/>
      <c r="O17" s="165"/>
      <c r="P17" s="165"/>
      <c r="Q17" s="165"/>
    </row>
    <row r="18" spans="2:17" x14ac:dyDescent="0.3">
      <c r="B18" s="96">
        <v>45809</v>
      </c>
      <c r="C18" s="2" t="s">
        <v>221</v>
      </c>
      <c r="D18" s="3">
        <v>15800</v>
      </c>
      <c r="E18" s="3">
        <v>1450</v>
      </c>
      <c r="F18" s="3">
        <v>10200</v>
      </c>
      <c r="G18" s="2">
        <v>850</v>
      </c>
      <c r="H18" s="3">
        <v>12200</v>
      </c>
    </row>
    <row r="19" spans="2:17" ht="15" thickBot="1" x14ac:dyDescent="0.35">
      <c r="B19" s="96">
        <v>45809</v>
      </c>
      <c r="C19" s="2" t="s">
        <v>222</v>
      </c>
      <c r="D19" s="3">
        <v>19000</v>
      </c>
      <c r="E19" s="3">
        <v>1250</v>
      </c>
      <c r="F19" s="3">
        <v>11400</v>
      </c>
      <c r="G19" s="2">
        <v>750</v>
      </c>
      <c r="H19" s="3">
        <v>13200</v>
      </c>
    </row>
    <row r="20" spans="2:17" ht="16.2" thickBot="1" x14ac:dyDescent="0.35">
      <c r="B20" s="96">
        <v>45809</v>
      </c>
      <c r="C20" s="2" t="s">
        <v>223</v>
      </c>
      <c r="D20" s="3">
        <v>22500</v>
      </c>
      <c r="E20" s="3">
        <v>1900</v>
      </c>
      <c r="F20" s="3">
        <v>14000</v>
      </c>
      <c r="G20" s="2">
        <v>980</v>
      </c>
      <c r="H20" s="3">
        <v>16000</v>
      </c>
      <c r="K20" s="142" t="s">
        <v>237</v>
      </c>
      <c r="L20" s="143"/>
    </row>
    <row r="21" spans="2:17" x14ac:dyDescent="0.3">
      <c r="B21" s="96">
        <v>45839</v>
      </c>
      <c r="C21" s="2" t="s">
        <v>221</v>
      </c>
      <c r="D21" s="3">
        <v>16300</v>
      </c>
      <c r="E21" s="3">
        <v>1500</v>
      </c>
      <c r="F21" s="3">
        <v>10500</v>
      </c>
      <c r="G21" s="2">
        <v>880</v>
      </c>
      <c r="H21" s="3">
        <v>12600</v>
      </c>
    </row>
    <row r="22" spans="2:17" x14ac:dyDescent="0.3">
      <c r="B22" s="96">
        <v>45839</v>
      </c>
      <c r="C22" s="2" t="s">
        <v>222</v>
      </c>
      <c r="D22" s="3">
        <v>19800</v>
      </c>
      <c r="E22" s="3">
        <v>1300</v>
      </c>
      <c r="F22" s="3">
        <v>11700</v>
      </c>
      <c r="G22" s="2">
        <v>770</v>
      </c>
      <c r="H22" s="3">
        <v>13600</v>
      </c>
      <c r="K22" s="164" t="s">
        <v>242</v>
      </c>
      <c r="L22" s="164"/>
      <c r="M22" s="164"/>
      <c r="N22" s="164"/>
      <c r="O22" s="164"/>
      <c r="P22" s="164"/>
      <c r="Q22" s="164"/>
    </row>
    <row r="23" spans="2:17" x14ac:dyDescent="0.3">
      <c r="B23" s="96">
        <v>45839</v>
      </c>
      <c r="C23" s="2" t="s">
        <v>223</v>
      </c>
      <c r="D23" s="3">
        <v>23200</v>
      </c>
      <c r="E23" s="3">
        <v>1950</v>
      </c>
      <c r="F23" s="3">
        <v>14400</v>
      </c>
      <c r="G23" s="3">
        <v>1000</v>
      </c>
      <c r="H23" s="3">
        <v>16500</v>
      </c>
      <c r="K23" s="76" t="s">
        <v>223</v>
      </c>
      <c r="L23" s="17">
        <f>SUMIFS(App_download[Downloads],App_download[App Name],K23)</f>
        <v>455700</v>
      </c>
    </row>
    <row r="24" spans="2:17" ht="15" thickBot="1" x14ac:dyDescent="0.35">
      <c r="B24" s="96">
        <v>45870</v>
      </c>
      <c r="C24" s="2" t="s">
        <v>221</v>
      </c>
      <c r="D24" s="3">
        <v>16900</v>
      </c>
      <c r="E24" s="3">
        <v>1550</v>
      </c>
      <c r="F24" s="3">
        <v>10900</v>
      </c>
      <c r="G24" s="2">
        <v>900</v>
      </c>
      <c r="H24" s="3">
        <v>13100</v>
      </c>
    </row>
    <row r="25" spans="2:17" ht="16.2" thickBot="1" x14ac:dyDescent="0.35">
      <c r="B25" s="96">
        <v>45870</v>
      </c>
      <c r="C25" s="2" t="s">
        <v>222</v>
      </c>
      <c r="D25" s="3">
        <v>20500</v>
      </c>
      <c r="E25" s="3">
        <v>1350</v>
      </c>
      <c r="F25" s="3">
        <v>12100</v>
      </c>
      <c r="G25" s="2">
        <v>800</v>
      </c>
      <c r="H25" s="3">
        <v>14000</v>
      </c>
      <c r="K25" s="142" t="s">
        <v>429</v>
      </c>
      <c r="L25" s="143"/>
    </row>
    <row r="26" spans="2:17" x14ac:dyDescent="0.3">
      <c r="B26" s="96">
        <v>45870</v>
      </c>
      <c r="C26" s="2" t="s">
        <v>223</v>
      </c>
      <c r="D26" s="3">
        <v>24000</v>
      </c>
      <c r="E26" s="3">
        <v>2000</v>
      </c>
      <c r="F26" s="3">
        <v>14800</v>
      </c>
      <c r="G26" s="3">
        <v>1050</v>
      </c>
      <c r="H26" s="3">
        <v>17000</v>
      </c>
    </row>
    <row r="27" spans="2:17" x14ac:dyDescent="0.3">
      <c r="B27" s="96">
        <v>45901</v>
      </c>
      <c r="C27" s="2" t="s">
        <v>221</v>
      </c>
      <c r="D27" s="3">
        <v>17400</v>
      </c>
      <c r="E27" s="3">
        <v>1600</v>
      </c>
      <c r="F27" s="3">
        <v>11200</v>
      </c>
      <c r="G27" s="2">
        <v>930</v>
      </c>
      <c r="H27" s="3">
        <v>13500</v>
      </c>
      <c r="K27" s="164" t="s">
        <v>247</v>
      </c>
      <c r="L27" s="164"/>
      <c r="M27" s="164"/>
      <c r="N27" s="164"/>
      <c r="O27" s="164"/>
      <c r="P27" s="164"/>
      <c r="Q27" s="164"/>
    </row>
    <row r="28" spans="2:17" x14ac:dyDescent="0.3">
      <c r="B28" s="96">
        <v>45901</v>
      </c>
      <c r="C28" s="2" t="s">
        <v>222</v>
      </c>
      <c r="D28" s="3">
        <v>21200</v>
      </c>
      <c r="E28" s="3">
        <v>1400</v>
      </c>
      <c r="F28" s="3">
        <v>12400</v>
      </c>
      <c r="G28" s="2">
        <v>820</v>
      </c>
      <c r="H28" s="3">
        <v>14400</v>
      </c>
      <c r="K28" s="76" t="s">
        <v>248</v>
      </c>
      <c r="L28" s="76" t="s">
        <v>249</v>
      </c>
    </row>
    <row r="29" spans="2:17" x14ac:dyDescent="0.3">
      <c r="B29" s="96">
        <v>45901</v>
      </c>
      <c r="C29" s="2" t="s">
        <v>223</v>
      </c>
      <c r="D29" s="3">
        <v>24700</v>
      </c>
      <c r="E29" s="3">
        <v>2050</v>
      </c>
      <c r="F29" s="3">
        <v>15200</v>
      </c>
      <c r="G29" s="3">
        <v>1080</v>
      </c>
      <c r="H29" s="3">
        <v>17500</v>
      </c>
      <c r="K29" s="76" t="s">
        <v>250</v>
      </c>
      <c r="L29" s="17">
        <f>SUMIFS(App_download[Downloads],App_download[App Name],L28&amp;"*")</f>
        <v>179700</v>
      </c>
    </row>
    <row r="30" spans="2:17" x14ac:dyDescent="0.3">
      <c r="B30" s="96">
        <v>45931</v>
      </c>
      <c r="C30" s="2" t="s">
        <v>221</v>
      </c>
      <c r="D30" s="3">
        <v>18000</v>
      </c>
      <c r="E30" s="3">
        <v>1650</v>
      </c>
      <c r="F30" s="3">
        <v>11600</v>
      </c>
      <c r="G30" s="2">
        <v>950</v>
      </c>
      <c r="H30" s="3">
        <v>14000</v>
      </c>
    </row>
    <row r="31" spans="2:17" ht="15" thickBot="1" x14ac:dyDescent="0.35">
      <c r="B31" s="96">
        <v>45931</v>
      </c>
      <c r="C31" s="2" t="s">
        <v>222</v>
      </c>
      <c r="D31" s="3">
        <v>21900</v>
      </c>
      <c r="E31" s="3">
        <v>1450</v>
      </c>
      <c r="F31" s="3">
        <v>12800</v>
      </c>
      <c r="G31" s="2">
        <v>850</v>
      </c>
      <c r="H31" s="3">
        <v>14900</v>
      </c>
    </row>
    <row r="32" spans="2:17" ht="16.2" thickBot="1" x14ac:dyDescent="0.35">
      <c r="B32" s="96">
        <v>45931</v>
      </c>
      <c r="C32" s="2" t="s">
        <v>223</v>
      </c>
      <c r="D32" s="3">
        <v>25500</v>
      </c>
      <c r="E32" s="3">
        <v>2100</v>
      </c>
      <c r="F32" s="3">
        <v>15600</v>
      </c>
      <c r="G32" s="3">
        <v>1100</v>
      </c>
      <c r="H32" s="3">
        <v>18000</v>
      </c>
      <c r="K32" s="142" t="s">
        <v>237</v>
      </c>
      <c r="L32" s="143"/>
    </row>
    <row r="33" spans="2:17" x14ac:dyDescent="0.3">
      <c r="B33" s="96">
        <v>45962</v>
      </c>
      <c r="C33" s="2" t="s">
        <v>221</v>
      </c>
      <c r="D33" s="3">
        <v>18600</v>
      </c>
      <c r="E33" s="3">
        <v>1700</v>
      </c>
      <c r="F33" s="3">
        <v>12000</v>
      </c>
      <c r="G33" s="2">
        <v>980</v>
      </c>
      <c r="H33" s="3">
        <v>14500</v>
      </c>
    </row>
    <row r="34" spans="2:17" x14ac:dyDescent="0.3">
      <c r="B34" s="96">
        <v>45962</v>
      </c>
      <c r="C34" s="2" t="s">
        <v>222</v>
      </c>
      <c r="D34" s="3">
        <v>22500</v>
      </c>
      <c r="E34" s="3">
        <v>1500</v>
      </c>
      <c r="F34" s="3">
        <v>13100</v>
      </c>
      <c r="G34" s="2">
        <v>870</v>
      </c>
      <c r="H34" s="3">
        <v>15200</v>
      </c>
      <c r="K34" s="164" t="s">
        <v>252</v>
      </c>
      <c r="L34" s="164"/>
      <c r="M34" s="164"/>
      <c r="N34" s="164"/>
      <c r="O34" s="164"/>
      <c r="P34" s="164"/>
      <c r="Q34" s="164"/>
    </row>
    <row r="35" spans="2:17" x14ac:dyDescent="0.3">
      <c r="B35" s="96">
        <v>45962</v>
      </c>
      <c r="C35" s="2" t="s">
        <v>223</v>
      </c>
      <c r="D35" s="3">
        <v>26200</v>
      </c>
      <c r="E35" s="3">
        <v>2150</v>
      </c>
      <c r="F35" s="3">
        <v>16000</v>
      </c>
      <c r="G35" s="3">
        <v>1120</v>
      </c>
      <c r="H35" s="3">
        <v>18600</v>
      </c>
      <c r="K35" s="76" t="s">
        <v>214</v>
      </c>
      <c r="L35" s="112">
        <v>45992</v>
      </c>
    </row>
    <row r="36" spans="2:17" x14ac:dyDescent="0.3">
      <c r="B36" s="96">
        <v>45992</v>
      </c>
      <c r="C36" s="2" t="s">
        <v>221</v>
      </c>
      <c r="D36" s="3">
        <v>19200</v>
      </c>
      <c r="E36" s="3">
        <v>1750</v>
      </c>
      <c r="F36" s="3">
        <v>12400</v>
      </c>
      <c r="G36" s="3">
        <v>1000</v>
      </c>
      <c r="H36" s="3">
        <v>15000</v>
      </c>
      <c r="K36" s="76" t="s">
        <v>217</v>
      </c>
      <c r="L36" s="17">
        <f>SUMIFS(App_download[Uninstalls],App_download[Month],L35)</f>
        <v>12250</v>
      </c>
    </row>
    <row r="37" spans="2:17" ht="15" thickBot="1" x14ac:dyDescent="0.35">
      <c r="B37" s="96">
        <v>45992</v>
      </c>
      <c r="C37" s="2" t="s">
        <v>222</v>
      </c>
      <c r="D37" s="3">
        <v>23100</v>
      </c>
      <c r="E37" s="3">
        <v>1550</v>
      </c>
      <c r="F37" s="3">
        <v>13500</v>
      </c>
      <c r="G37" s="2">
        <v>900</v>
      </c>
      <c r="H37" s="3">
        <v>15700</v>
      </c>
    </row>
    <row r="38" spans="2:17" ht="16.2" thickBot="1" x14ac:dyDescent="0.35">
      <c r="B38" s="96">
        <v>45992</v>
      </c>
      <c r="C38" s="2" t="s">
        <v>223</v>
      </c>
      <c r="D38" s="3">
        <v>27000</v>
      </c>
      <c r="E38" s="3">
        <v>2200</v>
      </c>
      <c r="F38" s="3">
        <v>16400</v>
      </c>
      <c r="G38" s="3">
        <v>1150</v>
      </c>
      <c r="H38" s="3">
        <v>19000</v>
      </c>
      <c r="K38" s="142" t="s">
        <v>237</v>
      </c>
      <c r="L38" s="143"/>
    </row>
    <row r="39" spans="2:17" x14ac:dyDescent="0.3">
      <c r="B39" s="96">
        <v>45658</v>
      </c>
      <c r="C39" s="2" t="s">
        <v>221</v>
      </c>
      <c r="D39" s="3">
        <v>19800</v>
      </c>
      <c r="E39" s="3">
        <v>1800</v>
      </c>
      <c r="F39" s="3">
        <v>12800</v>
      </c>
      <c r="G39" s="3">
        <v>1030</v>
      </c>
      <c r="H39" s="3">
        <v>15400</v>
      </c>
    </row>
    <row r="40" spans="2:17" x14ac:dyDescent="0.3">
      <c r="B40" s="96">
        <v>45658</v>
      </c>
      <c r="C40" s="2" t="s">
        <v>222</v>
      </c>
      <c r="D40" s="3">
        <v>23800</v>
      </c>
      <c r="E40" s="3">
        <v>1600</v>
      </c>
      <c r="F40" s="3">
        <v>13900</v>
      </c>
      <c r="G40" s="2">
        <v>930</v>
      </c>
      <c r="H40" s="3">
        <v>16200</v>
      </c>
      <c r="K40" s="164" t="s">
        <v>253</v>
      </c>
      <c r="L40" s="164"/>
      <c r="M40" s="164"/>
      <c r="N40" s="164"/>
      <c r="O40" s="164"/>
      <c r="P40" s="164"/>
      <c r="Q40" s="164"/>
    </row>
    <row r="41" spans="2:17" x14ac:dyDescent="0.3">
      <c r="B41" s="96">
        <v>45658</v>
      </c>
      <c r="C41" s="2" t="s">
        <v>223</v>
      </c>
      <c r="D41" s="3">
        <v>32000</v>
      </c>
      <c r="E41" s="3">
        <v>2250</v>
      </c>
      <c r="F41" s="3">
        <v>16900</v>
      </c>
      <c r="G41" s="3">
        <v>1180</v>
      </c>
      <c r="H41" s="3">
        <v>19600</v>
      </c>
      <c r="K41" s="76" t="s">
        <v>254</v>
      </c>
      <c r="L41" s="112">
        <v>45931</v>
      </c>
    </row>
    <row r="42" spans="2:17" x14ac:dyDescent="0.3">
      <c r="B42" s="96">
        <v>45689</v>
      </c>
      <c r="C42" s="2" t="s">
        <v>221</v>
      </c>
      <c r="D42" s="3">
        <v>20500</v>
      </c>
      <c r="E42" s="3">
        <v>1850</v>
      </c>
      <c r="F42" s="3">
        <v>13200</v>
      </c>
      <c r="G42" s="3">
        <v>1050</v>
      </c>
      <c r="H42" s="3">
        <v>15900</v>
      </c>
      <c r="K42" s="76" t="s">
        <v>255</v>
      </c>
      <c r="L42" s="112">
        <v>46022</v>
      </c>
    </row>
    <row r="43" spans="2:17" x14ac:dyDescent="0.3">
      <c r="B43" s="96">
        <v>45689</v>
      </c>
      <c r="C43" s="2" t="s">
        <v>222</v>
      </c>
      <c r="D43" s="3">
        <v>34000</v>
      </c>
      <c r="E43" s="3">
        <v>1650</v>
      </c>
      <c r="F43" s="3">
        <v>14200</v>
      </c>
      <c r="G43" s="2">
        <v>950</v>
      </c>
      <c r="H43" s="3">
        <v>16700</v>
      </c>
    </row>
    <row r="44" spans="2:17" x14ac:dyDescent="0.3">
      <c r="B44" s="96">
        <v>45689</v>
      </c>
      <c r="C44" s="2" t="s">
        <v>223</v>
      </c>
      <c r="D44" s="3">
        <v>28500</v>
      </c>
      <c r="E44" s="3">
        <v>2300</v>
      </c>
      <c r="F44" s="3">
        <v>17300</v>
      </c>
      <c r="G44" s="3">
        <v>1200</v>
      </c>
      <c r="H44" s="3">
        <v>20200</v>
      </c>
      <c r="K44" s="76" t="s">
        <v>256</v>
      </c>
      <c r="L44" s="17">
        <f>SUMIFS(App_download[Downloads],App_download[Month],"&gt;="&amp;L41,App_download[Month],"&lt;="&amp;L42)</f>
        <v>364300</v>
      </c>
    </row>
    <row r="45" spans="2:17" x14ac:dyDescent="0.3">
      <c r="B45" s="96">
        <v>45717</v>
      </c>
      <c r="C45" s="2" t="s">
        <v>221</v>
      </c>
      <c r="D45" s="3">
        <v>21000</v>
      </c>
      <c r="E45" s="3">
        <v>1900</v>
      </c>
      <c r="F45" s="3">
        <v>13600</v>
      </c>
      <c r="G45" s="3">
        <v>1080</v>
      </c>
      <c r="H45" s="3">
        <v>16300</v>
      </c>
    </row>
    <row r="46" spans="2:17" ht="15" thickBot="1" x14ac:dyDescent="0.35">
      <c r="B46" s="96">
        <v>45717</v>
      </c>
      <c r="C46" s="2" t="s">
        <v>222</v>
      </c>
      <c r="D46" s="3">
        <v>25200</v>
      </c>
      <c r="E46" s="3">
        <v>1700</v>
      </c>
      <c r="F46" s="3">
        <v>14600</v>
      </c>
      <c r="G46" s="2">
        <v>980</v>
      </c>
      <c r="H46" s="3">
        <v>17100</v>
      </c>
    </row>
    <row r="47" spans="2:17" ht="16.2" thickBot="1" x14ac:dyDescent="0.35">
      <c r="B47" s="96">
        <v>45717</v>
      </c>
      <c r="C47" s="2" t="s">
        <v>223</v>
      </c>
      <c r="D47" s="3">
        <v>29200</v>
      </c>
      <c r="E47" s="3">
        <v>2350</v>
      </c>
      <c r="F47" s="3">
        <v>17700</v>
      </c>
      <c r="G47" s="3">
        <v>1230</v>
      </c>
      <c r="H47" s="3">
        <v>20700</v>
      </c>
      <c r="K47" s="142" t="s">
        <v>238</v>
      </c>
      <c r="L47" s="143"/>
    </row>
    <row r="48" spans="2:17" x14ac:dyDescent="0.3">
      <c r="B48" s="96">
        <v>45748</v>
      </c>
      <c r="C48" s="2" t="s">
        <v>221</v>
      </c>
      <c r="D48" s="3">
        <v>21800</v>
      </c>
      <c r="E48" s="3">
        <v>1950</v>
      </c>
      <c r="F48" s="3">
        <v>14000</v>
      </c>
      <c r="G48" s="3">
        <v>1100</v>
      </c>
      <c r="H48" s="3">
        <v>16800</v>
      </c>
    </row>
    <row r="49" spans="2:17" x14ac:dyDescent="0.3">
      <c r="B49" s="96">
        <v>45748</v>
      </c>
      <c r="C49" s="2" t="s">
        <v>222</v>
      </c>
      <c r="D49" s="3">
        <v>26000</v>
      </c>
      <c r="E49" s="3">
        <v>1750</v>
      </c>
      <c r="F49" s="3">
        <v>15000</v>
      </c>
      <c r="G49" s="3">
        <v>1000</v>
      </c>
      <c r="H49" s="3">
        <v>17600</v>
      </c>
      <c r="K49" s="164" t="s">
        <v>259</v>
      </c>
      <c r="L49" s="164"/>
      <c r="M49" s="164"/>
      <c r="N49" s="164"/>
      <c r="O49" s="164"/>
      <c r="P49" s="164"/>
      <c r="Q49" s="164"/>
    </row>
    <row r="50" spans="2:17" x14ac:dyDescent="0.3">
      <c r="B50" s="96">
        <v>45748</v>
      </c>
      <c r="C50" s="2" t="s">
        <v>223</v>
      </c>
      <c r="D50" s="3">
        <v>30000</v>
      </c>
      <c r="E50" s="3">
        <v>2400</v>
      </c>
      <c r="F50" s="3">
        <v>18200</v>
      </c>
      <c r="G50" s="3">
        <v>1260</v>
      </c>
      <c r="H50" s="3">
        <v>21300</v>
      </c>
      <c r="K50" s="76" t="s">
        <v>257</v>
      </c>
      <c r="L50" s="76">
        <v>30000</v>
      </c>
    </row>
    <row r="51" spans="2:17" x14ac:dyDescent="0.3">
      <c r="B51" s="96">
        <v>45778</v>
      </c>
      <c r="C51" s="2" t="s">
        <v>221</v>
      </c>
      <c r="D51" s="3">
        <v>22500</v>
      </c>
      <c r="E51" s="3">
        <v>2000</v>
      </c>
      <c r="F51" s="3">
        <v>14400</v>
      </c>
      <c r="G51" s="3">
        <v>1130</v>
      </c>
      <c r="H51" s="3">
        <v>17200</v>
      </c>
      <c r="K51" s="76" t="s">
        <v>258</v>
      </c>
      <c r="L51" s="17">
        <f>COUNTIFS(App_download[Downloads],"&gt;="&amp;L50)</f>
        <v>6</v>
      </c>
    </row>
    <row r="52" spans="2:17" ht="15" thickBot="1" x14ac:dyDescent="0.35">
      <c r="B52" s="96">
        <v>45778</v>
      </c>
      <c r="C52" s="2" t="s">
        <v>222</v>
      </c>
      <c r="D52" s="3">
        <v>26800</v>
      </c>
      <c r="E52" s="3">
        <v>1800</v>
      </c>
      <c r="F52" s="3">
        <v>15400</v>
      </c>
      <c r="G52" s="3">
        <v>1020</v>
      </c>
      <c r="H52" s="3">
        <v>18000</v>
      </c>
    </row>
    <row r="53" spans="2:17" ht="16.2" thickBot="1" x14ac:dyDescent="0.35">
      <c r="B53" s="96">
        <v>45778</v>
      </c>
      <c r="C53" s="2" t="s">
        <v>223</v>
      </c>
      <c r="D53" s="3">
        <v>30800</v>
      </c>
      <c r="E53" s="3">
        <v>2450</v>
      </c>
      <c r="F53" s="3">
        <v>18600</v>
      </c>
      <c r="G53" s="3">
        <v>1280</v>
      </c>
      <c r="H53" s="3">
        <v>21800</v>
      </c>
      <c r="K53" s="142" t="s">
        <v>237</v>
      </c>
      <c r="L53" s="143"/>
    </row>
    <row r="54" spans="2:17" x14ac:dyDescent="0.3">
      <c r="B54" s="96">
        <v>45809</v>
      </c>
      <c r="C54" s="2" t="s">
        <v>221</v>
      </c>
      <c r="D54" s="3">
        <v>23200</v>
      </c>
      <c r="E54" s="3">
        <v>2050</v>
      </c>
      <c r="F54" s="3">
        <v>14800</v>
      </c>
      <c r="G54" s="3">
        <v>1150</v>
      </c>
      <c r="H54" s="3">
        <v>17700</v>
      </c>
    </row>
    <row r="55" spans="2:17" x14ac:dyDescent="0.3">
      <c r="B55" s="96">
        <v>45809</v>
      </c>
      <c r="C55" s="2" t="s">
        <v>222</v>
      </c>
      <c r="D55" s="3">
        <v>27500</v>
      </c>
      <c r="E55" s="3">
        <v>1850</v>
      </c>
      <c r="F55" s="3">
        <v>15800</v>
      </c>
      <c r="G55" s="3">
        <v>1050</v>
      </c>
      <c r="H55" s="3">
        <v>18400</v>
      </c>
      <c r="K55" s="164" t="s">
        <v>261</v>
      </c>
      <c r="L55" s="164"/>
      <c r="M55" s="164"/>
      <c r="N55" s="164"/>
      <c r="O55" s="164"/>
      <c r="P55" s="164"/>
      <c r="Q55" s="164"/>
    </row>
    <row r="56" spans="2:17" x14ac:dyDescent="0.3">
      <c r="B56" s="96">
        <v>45809</v>
      </c>
      <c r="C56" s="2" t="s">
        <v>223</v>
      </c>
      <c r="D56" s="3">
        <v>31500</v>
      </c>
      <c r="E56" s="3">
        <v>2500</v>
      </c>
      <c r="F56" s="3">
        <v>19000</v>
      </c>
      <c r="G56" s="3">
        <v>1300</v>
      </c>
      <c r="H56" s="3">
        <v>22300</v>
      </c>
      <c r="K56" s="76" t="s">
        <v>263</v>
      </c>
      <c r="L56" s="76" t="s">
        <v>222</v>
      </c>
    </row>
    <row r="57" spans="2:17" x14ac:dyDescent="0.3">
      <c r="B57" s="96">
        <v>45839</v>
      </c>
      <c r="C57" s="2" t="s">
        <v>243</v>
      </c>
      <c r="D57" s="3">
        <v>12500</v>
      </c>
      <c r="E57" s="3">
        <v>1100</v>
      </c>
      <c r="F57" s="3">
        <v>8200</v>
      </c>
      <c r="G57" s="3">
        <v>600</v>
      </c>
      <c r="H57" s="3">
        <v>10000</v>
      </c>
      <c r="K57" s="76" t="s">
        <v>264</v>
      </c>
      <c r="L57" s="17">
        <f>SUMIFS(App_download[5 Star Ratings],App_download[App Name],L56)</f>
        <v>227900</v>
      </c>
    </row>
    <row r="58" spans="2:17" x14ac:dyDescent="0.3">
      <c r="B58" s="96">
        <v>45839</v>
      </c>
      <c r="C58" s="2" t="s">
        <v>244</v>
      </c>
      <c r="D58" s="3">
        <v>9800</v>
      </c>
      <c r="E58" s="3">
        <v>950</v>
      </c>
      <c r="F58" s="3">
        <v>6500</v>
      </c>
      <c r="G58" s="3">
        <v>500</v>
      </c>
      <c r="H58" s="3">
        <v>8200</v>
      </c>
      <c r="K58" s="76" t="s">
        <v>220</v>
      </c>
      <c r="L58" s="17">
        <f>SUMIFS(App_download[Total Ratings],App_download[App Name],L56)</f>
        <v>265700</v>
      </c>
    </row>
    <row r="59" spans="2:17" x14ac:dyDescent="0.3">
      <c r="B59" s="96">
        <v>45839</v>
      </c>
      <c r="C59" s="2" t="s">
        <v>245</v>
      </c>
      <c r="D59" s="3">
        <v>15200</v>
      </c>
      <c r="E59" s="3">
        <v>1300</v>
      </c>
      <c r="F59" s="3">
        <v>10500</v>
      </c>
      <c r="G59" s="3">
        <v>700</v>
      </c>
      <c r="H59" s="3">
        <v>12400</v>
      </c>
      <c r="K59" s="76" t="s">
        <v>265</v>
      </c>
      <c r="L59" s="118">
        <f>L57/L58</f>
        <v>0.85773428678961239</v>
      </c>
    </row>
    <row r="60" spans="2:17" x14ac:dyDescent="0.3">
      <c r="B60" s="96">
        <v>45870</v>
      </c>
      <c r="C60" s="2" t="s">
        <v>243</v>
      </c>
      <c r="D60" s="3">
        <v>13000</v>
      </c>
      <c r="E60" s="3">
        <v>1150</v>
      </c>
      <c r="F60" s="3">
        <v>8600</v>
      </c>
      <c r="G60" s="3">
        <v>620</v>
      </c>
      <c r="H60" s="3">
        <v>10500</v>
      </c>
    </row>
    <row r="61" spans="2:17" ht="15" thickBot="1" x14ac:dyDescent="0.35">
      <c r="B61" s="96">
        <v>45870</v>
      </c>
      <c r="C61" s="2" t="s">
        <v>244</v>
      </c>
      <c r="D61" s="3">
        <v>10300</v>
      </c>
      <c r="E61" s="3">
        <v>1000</v>
      </c>
      <c r="F61" s="3">
        <v>6800</v>
      </c>
      <c r="G61" s="3">
        <v>520</v>
      </c>
      <c r="H61" s="3">
        <v>8600</v>
      </c>
    </row>
    <row r="62" spans="2:17" ht="16.2" thickBot="1" x14ac:dyDescent="0.35">
      <c r="B62" s="96">
        <v>45870</v>
      </c>
      <c r="C62" s="2" t="s">
        <v>245</v>
      </c>
      <c r="D62" s="3">
        <v>15800</v>
      </c>
      <c r="E62" s="3">
        <v>1350</v>
      </c>
      <c r="F62" s="3">
        <v>10900</v>
      </c>
      <c r="G62" s="3">
        <v>730</v>
      </c>
      <c r="H62" s="3">
        <v>12900</v>
      </c>
      <c r="K62" s="142" t="s">
        <v>239</v>
      </c>
      <c r="L62" s="143"/>
    </row>
    <row r="63" spans="2:17" x14ac:dyDescent="0.3">
      <c r="B63" s="96">
        <v>45901</v>
      </c>
      <c r="C63" s="2" t="s">
        <v>243</v>
      </c>
      <c r="D63" s="3">
        <v>13700</v>
      </c>
      <c r="E63" s="3">
        <v>1200</v>
      </c>
      <c r="F63" s="3">
        <v>9000</v>
      </c>
      <c r="G63" s="3">
        <v>650</v>
      </c>
      <c r="H63" s="3">
        <v>11000</v>
      </c>
    </row>
    <row r="64" spans="2:17" x14ac:dyDescent="0.3">
      <c r="B64" s="96">
        <v>45901</v>
      </c>
      <c r="C64" s="2" t="s">
        <v>244</v>
      </c>
      <c r="D64" s="3">
        <v>10900</v>
      </c>
      <c r="E64" s="3">
        <v>1050</v>
      </c>
      <c r="F64" s="3">
        <v>7200</v>
      </c>
      <c r="G64" s="3">
        <v>550</v>
      </c>
      <c r="H64" s="3">
        <v>9100</v>
      </c>
      <c r="K64" s="164" t="s">
        <v>266</v>
      </c>
      <c r="L64" s="164"/>
      <c r="M64" s="164"/>
      <c r="N64" s="164"/>
      <c r="O64" s="164"/>
      <c r="P64" s="164"/>
      <c r="Q64" s="164"/>
    </row>
    <row r="65" spans="2:17" x14ac:dyDescent="0.3">
      <c r="B65" s="96">
        <v>45901</v>
      </c>
      <c r="C65" s="2" t="s">
        <v>245</v>
      </c>
      <c r="D65" s="3">
        <v>16400</v>
      </c>
      <c r="E65" s="3">
        <v>1400</v>
      </c>
      <c r="F65" s="3">
        <v>11300</v>
      </c>
      <c r="G65" s="3">
        <v>760</v>
      </c>
      <c r="H65" s="3">
        <v>13400</v>
      </c>
      <c r="K65" s="76" t="s">
        <v>267</v>
      </c>
      <c r="L65" s="76" t="s">
        <v>244</v>
      </c>
    </row>
    <row r="66" spans="2:17" x14ac:dyDescent="0.3">
      <c r="B66" s="96">
        <v>45931</v>
      </c>
      <c r="C66" s="2" t="s">
        <v>243</v>
      </c>
      <c r="D66" s="3">
        <v>14200</v>
      </c>
      <c r="E66" s="3">
        <v>1250</v>
      </c>
      <c r="F66" s="3">
        <v>9400</v>
      </c>
      <c r="G66" s="3">
        <v>670</v>
      </c>
      <c r="H66" s="3">
        <v>11500</v>
      </c>
      <c r="K66" s="76" t="s">
        <v>268</v>
      </c>
      <c r="L66" s="17">
        <f>AVERAGEIFS(App_download[Uninstalls],App_download[App Name],L65)</f>
        <v>1100</v>
      </c>
    </row>
    <row r="67" spans="2:17" ht="15" thickBot="1" x14ac:dyDescent="0.35">
      <c r="B67" s="96">
        <v>45931</v>
      </c>
      <c r="C67" s="2" t="s">
        <v>244</v>
      </c>
      <c r="D67" s="3">
        <v>11500</v>
      </c>
      <c r="E67" s="3">
        <v>1100</v>
      </c>
      <c r="F67" s="3">
        <v>7600</v>
      </c>
      <c r="G67" s="3">
        <v>580</v>
      </c>
      <c r="H67" s="3">
        <v>9600</v>
      </c>
    </row>
    <row r="68" spans="2:17" ht="16.2" thickBot="1" x14ac:dyDescent="0.35">
      <c r="B68" s="96">
        <v>45931</v>
      </c>
      <c r="C68" s="2" t="s">
        <v>245</v>
      </c>
      <c r="D68" s="3">
        <v>17000</v>
      </c>
      <c r="E68" s="3">
        <v>1450</v>
      </c>
      <c r="F68" s="3">
        <v>11700</v>
      </c>
      <c r="G68" s="3">
        <v>780</v>
      </c>
      <c r="H68" s="3">
        <v>13900</v>
      </c>
      <c r="K68" s="142" t="s">
        <v>428</v>
      </c>
      <c r="L68" s="143"/>
    </row>
    <row r="69" spans="2:17" x14ac:dyDescent="0.3">
      <c r="B69" s="96">
        <v>45962</v>
      </c>
      <c r="C69" s="2" t="s">
        <v>243</v>
      </c>
      <c r="D69" s="3">
        <v>14800</v>
      </c>
      <c r="E69" s="3">
        <v>1300</v>
      </c>
      <c r="F69" s="3">
        <v>9800</v>
      </c>
      <c r="G69" s="3">
        <v>700</v>
      </c>
      <c r="H69" s="3">
        <v>12000</v>
      </c>
    </row>
    <row r="70" spans="2:17" x14ac:dyDescent="0.3">
      <c r="B70" s="96">
        <v>45962</v>
      </c>
      <c r="C70" s="2" t="s">
        <v>244</v>
      </c>
      <c r="D70" s="3">
        <v>12000</v>
      </c>
      <c r="E70" s="3">
        <v>1150</v>
      </c>
      <c r="F70" s="3">
        <v>8000</v>
      </c>
      <c r="G70" s="3">
        <v>600</v>
      </c>
      <c r="H70" s="3">
        <v>10000</v>
      </c>
      <c r="K70" s="164" t="s">
        <v>269</v>
      </c>
      <c r="L70" s="164"/>
      <c r="M70" s="164"/>
      <c r="N70" s="164"/>
      <c r="O70" s="164"/>
      <c r="P70" s="164"/>
      <c r="Q70" s="164"/>
    </row>
    <row r="71" spans="2:17" x14ac:dyDescent="0.3">
      <c r="B71" s="96">
        <v>45962</v>
      </c>
      <c r="C71" s="2" t="s">
        <v>245</v>
      </c>
      <c r="D71" s="3">
        <v>17600</v>
      </c>
      <c r="E71" s="3">
        <v>1500</v>
      </c>
      <c r="F71" s="3">
        <v>12100</v>
      </c>
      <c r="G71" s="3">
        <v>800</v>
      </c>
      <c r="H71" s="3">
        <v>14400</v>
      </c>
      <c r="K71" s="114" t="s">
        <v>214</v>
      </c>
      <c r="L71" s="114" t="s">
        <v>217</v>
      </c>
      <c r="M71" s="114" t="s">
        <v>216</v>
      </c>
      <c r="N71" s="114" t="s">
        <v>270</v>
      </c>
    </row>
    <row r="72" spans="2:17" x14ac:dyDescent="0.3">
      <c r="B72" s="96">
        <v>45992</v>
      </c>
      <c r="C72" s="2" t="s">
        <v>243</v>
      </c>
      <c r="D72" s="3">
        <v>15300</v>
      </c>
      <c r="E72" s="3">
        <v>1350</v>
      </c>
      <c r="F72" s="3">
        <v>10200</v>
      </c>
      <c r="G72" s="3">
        <v>720</v>
      </c>
      <c r="H72" s="3">
        <v>12500</v>
      </c>
      <c r="K72" s="115">
        <v>45658</v>
      </c>
      <c r="L72" s="78">
        <f>SUMIFS(App_download[Uninstalls],App_download[Month],K72)</f>
        <v>9350</v>
      </c>
      <c r="M72" s="78">
        <f>SUMIFS(App_download[Downloads],App_download[Month],K72)</f>
        <v>121100</v>
      </c>
      <c r="N72" s="17">
        <f>L72/M72</f>
        <v>7.720891824938067E-2</v>
      </c>
    </row>
    <row r="73" spans="2:17" x14ac:dyDescent="0.3">
      <c r="B73" s="96">
        <v>45992</v>
      </c>
      <c r="C73" s="2" t="s">
        <v>244</v>
      </c>
      <c r="D73" s="3">
        <v>12600</v>
      </c>
      <c r="E73" s="3">
        <v>1200</v>
      </c>
      <c r="F73" s="3">
        <v>8400</v>
      </c>
      <c r="G73" s="3">
        <v>1200</v>
      </c>
      <c r="H73" s="3">
        <v>10500</v>
      </c>
      <c r="K73" s="115">
        <v>45689</v>
      </c>
      <c r="L73" s="78">
        <f>SUMIFS(App_download[Uninstalls],App_download[Month],K73)</f>
        <v>9700</v>
      </c>
      <c r="M73" s="78">
        <f>SUMIFS(App_download[Downloads],App_download[Month],K73)</f>
        <v>131500</v>
      </c>
      <c r="N73" s="17">
        <f t="shared" ref="N73:N83" si="0">L73/M73</f>
        <v>7.3764258555133078E-2</v>
      </c>
      <c r="P73" s="114" t="s">
        <v>271</v>
      </c>
      <c r="Q73" s="114" t="s">
        <v>214</v>
      </c>
    </row>
    <row r="74" spans="2:17" x14ac:dyDescent="0.3">
      <c r="B74" s="96">
        <v>45992</v>
      </c>
      <c r="C74" s="2" t="s">
        <v>245</v>
      </c>
      <c r="D74" s="3">
        <v>18200</v>
      </c>
      <c r="E74" s="3">
        <v>1550</v>
      </c>
      <c r="F74" s="3">
        <v>12500</v>
      </c>
      <c r="G74" s="3">
        <v>820</v>
      </c>
      <c r="H74" s="3">
        <v>14900</v>
      </c>
      <c r="K74" s="115">
        <v>45717</v>
      </c>
      <c r="L74" s="78">
        <f>SUMIFS(App_download[Uninstalls],App_download[Month],K74)</f>
        <v>10050</v>
      </c>
      <c r="M74" s="78">
        <f>SUMIFS(App_download[Downloads],App_download[Month],K74)</f>
        <v>145200</v>
      </c>
      <c r="N74" s="17">
        <f t="shared" si="0"/>
        <v>6.9214876033057857E-2</v>
      </c>
      <c r="P74" s="17">
        <f>MAX(N72:N83)</f>
        <v>8.4775086505190306E-2</v>
      </c>
      <c r="Q74" s="117">
        <f>_xlfn.XLOOKUP(P74,N72:N83,K72:K83)</f>
        <v>45992</v>
      </c>
    </row>
    <row r="75" spans="2:17" x14ac:dyDescent="0.3">
      <c r="B75" s="96">
        <v>45992</v>
      </c>
      <c r="C75" s="2" t="s">
        <v>243</v>
      </c>
      <c r="D75" s="3">
        <v>15900</v>
      </c>
      <c r="E75" s="3">
        <v>1400</v>
      </c>
      <c r="F75" s="3">
        <v>10600</v>
      </c>
      <c r="G75" s="3">
        <v>750</v>
      </c>
      <c r="H75" s="3">
        <v>13000</v>
      </c>
      <c r="K75" s="115">
        <v>45748</v>
      </c>
      <c r="L75" s="78">
        <f>SUMIFS(App_download[Uninstalls],App_download[Month],K75)</f>
        <v>10400</v>
      </c>
      <c r="M75" s="78">
        <f>SUMIFS(App_download[Downloads],App_download[Month],K75)</f>
        <v>130800</v>
      </c>
      <c r="N75" s="17">
        <f t="shared" si="0"/>
        <v>7.9510703363914373E-2</v>
      </c>
    </row>
    <row r="76" spans="2:17" x14ac:dyDescent="0.3">
      <c r="B76" s="96">
        <v>45992</v>
      </c>
      <c r="C76" s="2" t="s">
        <v>244</v>
      </c>
      <c r="D76" s="3">
        <v>13200</v>
      </c>
      <c r="E76" s="3">
        <v>1250</v>
      </c>
      <c r="F76" s="3">
        <v>8800</v>
      </c>
      <c r="G76" s="3">
        <v>650</v>
      </c>
      <c r="H76" s="3">
        <v>11000</v>
      </c>
      <c r="K76" s="115">
        <v>45778</v>
      </c>
      <c r="L76" s="78">
        <f>SUMIFS(App_download[Uninstalls],App_download[Month],K76)</f>
        <v>10700</v>
      </c>
      <c r="M76" s="78">
        <f>SUMIFS(App_download[Downloads],App_download[Month],K76)</f>
        <v>135400</v>
      </c>
      <c r="N76" s="17">
        <f t="shared" si="0"/>
        <v>7.9025110782865587E-2</v>
      </c>
    </row>
    <row r="77" spans="2:17" x14ac:dyDescent="0.3">
      <c r="K77" s="115">
        <v>45809</v>
      </c>
      <c r="L77" s="78">
        <f>SUMIFS(App_download[Uninstalls],App_download[Month],K77)</f>
        <v>11000</v>
      </c>
      <c r="M77" s="78">
        <f>SUMIFS(App_download[Downloads],App_download[Month],K77)</f>
        <v>139500</v>
      </c>
      <c r="N77" s="17">
        <f t="shared" si="0"/>
        <v>7.8853046594982074E-2</v>
      </c>
    </row>
    <row r="78" spans="2:17" x14ac:dyDescent="0.3">
      <c r="K78" s="115">
        <v>45839</v>
      </c>
      <c r="L78" s="78">
        <f>SUMIFS(App_download[Uninstalls],App_download[Month],K78)</f>
        <v>8100</v>
      </c>
      <c r="M78" s="78">
        <f>SUMIFS(App_download[Downloads],App_download[Month],K78)</f>
        <v>96800</v>
      </c>
      <c r="N78" s="17">
        <f t="shared" si="0"/>
        <v>8.3677685950413222E-2</v>
      </c>
    </row>
    <row r="79" spans="2:17" x14ac:dyDescent="0.3">
      <c r="K79" s="115">
        <v>45870</v>
      </c>
      <c r="L79" s="78">
        <f>SUMIFS(App_download[Uninstalls],App_download[Month],K79)</f>
        <v>8400</v>
      </c>
      <c r="M79" s="78">
        <f>SUMIFS(App_download[Downloads],App_download[Month],K79)</f>
        <v>100500</v>
      </c>
      <c r="N79" s="17">
        <f t="shared" si="0"/>
        <v>8.3582089552238809E-2</v>
      </c>
    </row>
    <row r="80" spans="2:17" x14ac:dyDescent="0.3">
      <c r="K80" s="115">
        <v>45901</v>
      </c>
      <c r="L80" s="78">
        <f>SUMIFS(App_download[Uninstalls],App_download[Month],K80)</f>
        <v>8700</v>
      </c>
      <c r="M80" s="78">
        <f>SUMIFS(App_download[Downloads],App_download[Month],K80)</f>
        <v>104300</v>
      </c>
      <c r="N80" s="17">
        <f t="shared" si="0"/>
        <v>8.3413231064237772E-2</v>
      </c>
    </row>
    <row r="81" spans="11:17" x14ac:dyDescent="0.3">
      <c r="K81" s="115">
        <v>45931</v>
      </c>
      <c r="L81" s="78">
        <f>SUMIFS(App_download[Uninstalls],App_download[Month],K81)</f>
        <v>9000</v>
      </c>
      <c r="M81" s="78">
        <f>SUMIFS(App_download[Downloads],App_download[Month],K81)</f>
        <v>108100</v>
      </c>
      <c r="N81" s="17">
        <f t="shared" si="0"/>
        <v>8.3256244218316372E-2</v>
      </c>
    </row>
    <row r="82" spans="11:17" x14ac:dyDescent="0.3">
      <c r="K82" s="115">
        <v>45962</v>
      </c>
      <c r="L82" s="78">
        <f>SUMIFS(App_download[Uninstalls],App_download[Month],K82)</f>
        <v>9300</v>
      </c>
      <c r="M82" s="78">
        <f>SUMIFS(App_download[Downloads],App_download[Month],K82)</f>
        <v>111700</v>
      </c>
      <c r="N82" s="17">
        <f t="shared" si="0"/>
        <v>8.3258728737690246E-2</v>
      </c>
    </row>
    <row r="83" spans="11:17" x14ac:dyDescent="0.3">
      <c r="K83" s="115">
        <v>45992</v>
      </c>
      <c r="L83" s="78">
        <f>SUMIFS(App_download[Uninstalls],App_download[Month],K83)</f>
        <v>12250</v>
      </c>
      <c r="M83" s="78">
        <f>SUMIFS(App_download[Downloads],App_download[Month],K83)</f>
        <v>144500</v>
      </c>
      <c r="N83" s="17">
        <f t="shared" si="0"/>
        <v>8.4775086505190306E-2</v>
      </c>
    </row>
    <row r="85" spans="11:17" ht="15" thickBot="1" x14ac:dyDescent="0.35"/>
    <row r="86" spans="11:17" ht="16.2" thickBot="1" x14ac:dyDescent="0.35">
      <c r="K86" s="142" t="s">
        <v>239</v>
      </c>
      <c r="L86" s="143"/>
    </row>
    <row r="88" spans="11:17" x14ac:dyDescent="0.3">
      <c r="K88" s="164" t="s">
        <v>272</v>
      </c>
      <c r="L88" s="164"/>
      <c r="M88" s="164"/>
      <c r="N88" s="164"/>
      <c r="O88" s="164"/>
      <c r="P88" s="164"/>
      <c r="Q88" s="164"/>
    </row>
    <row r="89" spans="11:17" x14ac:dyDescent="0.3">
      <c r="K89" s="114" t="s">
        <v>214</v>
      </c>
      <c r="L89" s="76" t="s">
        <v>273</v>
      </c>
    </row>
    <row r="90" spans="11:17" x14ac:dyDescent="0.3">
      <c r="K90" s="115">
        <v>45658</v>
      </c>
      <c r="L90" s="17">
        <f>AVERAGEIFS(App_download[Downloads],App_download[Month],K90)</f>
        <v>20183.333333333332</v>
      </c>
    </row>
    <row r="91" spans="11:17" x14ac:dyDescent="0.3">
      <c r="K91" s="115">
        <v>45689</v>
      </c>
      <c r="L91" s="17">
        <f>AVERAGEIFS(App_download[Downloads],App_download[Month],K91)</f>
        <v>21916.666666666668</v>
      </c>
    </row>
    <row r="92" spans="11:17" x14ac:dyDescent="0.3">
      <c r="K92" s="115">
        <v>45717</v>
      </c>
      <c r="L92" s="17">
        <f>AVERAGEIFS(App_download[Downloads],App_download[Month],K92)</f>
        <v>24200</v>
      </c>
    </row>
    <row r="93" spans="11:17" x14ac:dyDescent="0.3">
      <c r="K93" s="115">
        <v>45748</v>
      </c>
      <c r="L93" s="17">
        <f>AVERAGEIFS(App_download[Downloads],App_download[Month],K93)</f>
        <v>21800</v>
      </c>
    </row>
    <row r="94" spans="11:17" x14ac:dyDescent="0.3">
      <c r="K94" s="115">
        <v>45778</v>
      </c>
      <c r="L94" s="17">
        <f>AVERAGEIFS(App_download[Downloads],App_download[Month],K94)</f>
        <v>22566.666666666668</v>
      </c>
    </row>
    <row r="95" spans="11:17" x14ac:dyDescent="0.3">
      <c r="K95" s="115">
        <v>45809</v>
      </c>
      <c r="L95" s="17">
        <f>AVERAGEIFS(App_download[Downloads],App_download[Month],K95)</f>
        <v>23250</v>
      </c>
    </row>
    <row r="96" spans="11:17" x14ac:dyDescent="0.3">
      <c r="K96" s="115">
        <v>45839</v>
      </c>
      <c r="L96" s="17">
        <f>AVERAGEIFS(App_download[Downloads],App_download[Month],K96)</f>
        <v>16133.333333333334</v>
      </c>
    </row>
    <row r="97" spans="11:17" x14ac:dyDescent="0.3">
      <c r="K97" s="115">
        <v>45870</v>
      </c>
      <c r="L97" s="17">
        <f>AVERAGEIFS(App_download[Downloads],App_download[Month],K97)</f>
        <v>16750</v>
      </c>
    </row>
    <row r="98" spans="11:17" x14ac:dyDescent="0.3">
      <c r="K98" s="115">
        <v>45901</v>
      </c>
      <c r="L98" s="17">
        <f>AVERAGEIFS(App_download[Downloads],App_download[Month],K98)</f>
        <v>17383.333333333332</v>
      </c>
    </row>
    <row r="99" spans="11:17" x14ac:dyDescent="0.3">
      <c r="K99" s="115">
        <v>45931</v>
      </c>
      <c r="L99" s="17">
        <f>AVERAGEIFS(App_download[Downloads],App_download[Month],K99)</f>
        <v>18016.666666666668</v>
      </c>
    </row>
    <row r="100" spans="11:17" x14ac:dyDescent="0.3">
      <c r="K100" s="115">
        <v>45962</v>
      </c>
      <c r="L100" s="17">
        <f>AVERAGEIFS(App_download[Downloads],App_download[Month],K100)</f>
        <v>18616.666666666668</v>
      </c>
    </row>
    <row r="101" spans="11:17" x14ac:dyDescent="0.3">
      <c r="K101" s="115">
        <v>45992</v>
      </c>
      <c r="L101" s="17">
        <f>AVERAGEIFS(App_download[Downloads],App_download[Month],K101)</f>
        <v>18062.5</v>
      </c>
    </row>
    <row r="103" spans="11:17" ht="15" thickBot="1" x14ac:dyDescent="0.35"/>
    <row r="104" spans="11:17" ht="16.2" thickBot="1" x14ac:dyDescent="0.35">
      <c r="K104" s="142" t="s">
        <v>427</v>
      </c>
      <c r="L104" s="143"/>
    </row>
    <row r="106" spans="11:17" x14ac:dyDescent="0.3">
      <c r="K106" s="164" t="s">
        <v>274</v>
      </c>
      <c r="L106" s="164"/>
      <c r="M106" s="164"/>
      <c r="N106" s="164"/>
      <c r="O106" s="164"/>
      <c r="P106" s="164"/>
      <c r="Q106" s="164"/>
    </row>
    <row r="107" spans="11:17" x14ac:dyDescent="0.3">
      <c r="K107" s="76" t="s">
        <v>275</v>
      </c>
      <c r="L107" s="17">
        <f>MAX(App_download[Downloads])</f>
        <v>34000</v>
      </c>
    </row>
    <row r="108" spans="11:17" x14ac:dyDescent="0.3">
      <c r="K108" s="76" t="s">
        <v>276</v>
      </c>
      <c r="L108" s="17">
        <f>LARGE(App_download[Downloads],2)</f>
        <v>33000</v>
      </c>
    </row>
    <row r="109" spans="11:17" x14ac:dyDescent="0.3">
      <c r="K109" s="76" t="s">
        <v>277</v>
      </c>
      <c r="L109" s="17">
        <f>LARGE(App_download[Downloads],3)</f>
        <v>32000</v>
      </c>
    </row>
    <row r="111" spans="11:17" ht="15" thickBot="1" x14ac:dyDescent="0.35"/>
    <row r="112" spans="11:17" ht="16.2" thickBot="1" x14ac:dyDescent="0.35">
      <c r="K112" s="142" t="s">
        <v>426</v>
      </c>
      <c r="L112" s="143"/>
    </row>
    <row r="114" spans="11:17" x14ac:dyDescent="0.3">
      <c r="K114" s="164" t="s">
        <v>280</v>
      </c>
      <c r="L114" s="164"/>
      <c r="M114" s="164"/>
      <c r="N114" s="164"/>
      <c r="O114" s="164"/>
      <c r="P114" s="164"/>
      <c r="Q114" s="164"/>
    </row>
    <row r="115" spans="11:17" x14ac:dyDescent="0.3">
      <c r="K115" s="76" t="s">
        <v>275</v>
      </c>
      <c r="L115" s="17">
        <f>MAX(App_download[Downloads])</f>
        <v>34000</v>
      </c>
      <c r="M115" s="17" t="str">
        <f>_xlfn.XLOOKUP(L115,App_download[Downloads],App_download[App Name])</f>
        <v>InstaPic</v>
      </c>
      <c r="N115" s="116">
        <f>INDEX(App_download[Month],MATCH(L115,App_download[Downloads],0))</f>
        <v>45689</v>
      </c>
    </row>
    <row r="116" spans="11:17" x14ac:dyDescent="0.3">
      <c r="K116" s="76" t="s">
        <v>276</v>
      </c>
      <c r="L116" s="17">
        <f>LARGE(App_download[Downloads],2)</f>
        <v>33000</v>
      </c>
      <c r="M116" s="17" t="str">
        <f>_xlfn.XLOOKUP(L116,App_download[Downloads],App_download[App Name])</f>
        <v>WhatsUp</v>
      </c>
      <c r="N116" s="116">
        <f>INDEX(App_download[Month],MATCH(L116,App_download[Downloads],0))</f>
        <v>45717</v>
      </c>
    </row>
    <row r="117" spans="11:17" x14ac:dyDescent="0.3">
      <c r="K117" s="76" t="s">
        <v>277</v>
      </c>
      <c r="L117" s="17">
        <f>LARGE(App_download[Downloads],3)</f>
        <v>32000</v>
      </c>
      <c r="M117" s="17" t="str">
        <f>_xlfn.XLOOKUP(L117,App_download[Downloads],App_download[App Name])</f>
        <v>QuickPay</v>
      </c>
      <c r="N117" s="116">
        <f>INDEX(App_download[Month],MATCH(L117,App_download[Downloads],0))</f>
        <v>45658</v>
      </c>
    </row>
    <row r="119" spans="11:17" ht="15" thickBot="1" x14ac:dyDescent="0.35"/>
    <row r="120" spans="11:17" ht="16.2" thickBot="1" x14ac:dyDescent="0.35">
      <c r="K120" s="142" t="s">
        <v>425</v>
      </c>
      <c r="L120" s="143"/>
    </row>
    <row r="122" spans="11:17" x14ac:dyDescent="0.3">
      <c r="K122" s="164" t="s">
        <v>279</v>
      </c>
      <c r="L122" s="164"/>
      <c r="M122" s="164"/>
      <c r="N122" s="164"/>
      <c r="O122" s="164"/>
      <c r="P122" s="164"/>
      <c r="Q122" s="164"/>
    </row>
    <row r="123" spans="11:17" x14ac:dyDescent="0.3">
      <c r="K123" s="76" t="s">
        <v>214</v>
      </c>
      <c r="L123" s="76" t="s">
        <v>281</v>
      </c>
      <c r="M123" s="76" t="s">
        <v>278</v>
      </c>
    </row>
    <row r="124" spans="11:17" x14ac:dyDescent="0.3">
      <c r="K124" s="112">
        <v>45931</v>
      </c>
      <c r="L124" s="17">
        <f>_xlfn.MAXIFS( App_download[1 Star Ratings],App_download[Month],K124)</f>
        <v>1100</v>
      </c>
      <c r="M124" s="17" t="str" cm="1">
        <f t="array" ref="M124">_xlfn._xlws.FILTER(App_download[App Name],(App_download[Month]=K124)*(App_download[1 Star Ratings]=L124))</f>
        <v>QuickPay</v>
      </c>
    </row>
    <row r="126" spans="11:17" ht="15" thickBot="1" x14ac:dyDescent="0.35"/>
    <row r="127" spans="11:17" ht="16.2" thickBot="1" x14ac:dyDescent="0.35">
      <c r="K127" s="142" t="s">
        <v>425</v>
      </c>
      <c r="L127" s="143"/>
    </row>
    <row r="128" spans="11:17" x14ac:dyDescent="0.3">
      <c r="O128" s="97"/>
      <c r="P128" s="97"/>
      <c r="Q128" s="97"/>
    </row>
    <row r="129" spans="11:17" x14ac:dyDescent="0.3">
      <c r="K129" s="164" t="s">
        <v>282</v>
      </c>
      <c r="L129" s="164"/>
      <c r="M129" s="164"/>
      <c r="N129" s="164"/>
    </row>
    <row r="130" spans="11:17" x14ac:dyDescent="0.3">
      <c r="K130" s="76" t="s">
        <v>214</v>
      </c>
      <c r="L130" s="76" t="s">
        <v>281</v>
      </c>
      <c r="M130" s="76" t="s">
        <v>278</v>
      </c>
    </row>
    <row r="131" spans="11:17" x14ac:dyDescent="0.3">
      <c r="K131" s="112">
        <v>45992</v>
      </c>
      <c r="L131" s="17">
        <f>_xlfn.MAXIFS( App_download[1 Star Ratings],App_download[Month],K131)</f>
        <v>1200</v>
      </c>
      <c r="M131" s="17" t="str" cm="1">
        <f t="array" ref="M131">_xlfn._xlws.FILTER(App_download[App Name],(App_download[Month]=K131)*(App_download[1 Star Ratings]=L131))</f>
        <v>FitTrack</v>
      </c>
    </row>
    <row r="134" spans="11:17" x14ac:dyDescent="0.3">
      <c r="K134" s="164" t="s">
        <v>421</v>
      </c>
      <c r="L134" s="164"/>
      <c r="M134" s="164"/>
      <c r="N134" s="164"/>
      <c r="O134" s="164"/>
      <c r="P134" s="164"/>
      <c r="Q134" s="164"/>
    </row>
    <row r="135" spans="11:17" ht="15" thickBot="1" x14ac:dyDescent="0.35"/>
    <row r="136" spans="11:17" ht="16.2" thickBot="1" x14ac:dyDescent="0.35">
      <c r="K136" s="142" t="s">
        <v>424</v>
      </c>
      <c r="L136" s="143"/>
    </row>
    <row r="138" spans="11:17" x14ac:dyDescent="0.3">
      <c r="K138" s="113" t="s">
        <v>215</v>
      </c>
      <c r="L138" s="113" t="s">
        <v>283</v>
      </c>
    </row>
    <row r="139" spans="11:17" x14ac:dyDescent="0.3">
      <c r="K139" s="112" t="s">
        <v>221</v>
      </c>
      <c r="L139" s="17">
        <f>_xlfn.MAXIFS(App_download[Downloads],App_download[App Name],K139)</f>
        <v>33000</v>
      </c>
    </row>
    <row r="140" spans="11:17" x14ac:dyDescent="0.3">
      <c r="K140" s="112" t="s">
        <v>222</v>
      </c>
      <c r="L140" s="17">
        <f>_xlfn.MAXIFS(App_download[Downloads],App_download[App Name],K140)</f>
        <v>34000</v>
      </c>
    </row>
    <row r="141" spans="11:17" x14ac:dyDescent="0.3">
      <c r="K141" s="112" t="s">
        <v>223</v>
      </c>
      <c r="L141" s="17">
        <f>_xlfn.MAXIFS(App_download[Downloads],App_download[App Name],K141)</f>
        <v>32000</v>
      </c>
    </row>
    <row r="142" spans="11:17" x14ac:dyDescent="0.3">
      <c r="K142" s="112" t="s">
        <v>243</v>
      </c>
      <c r="L142" s="17">
        <f>_xlfn.MAXIFS(App_download[Downloads],App_download[App Name],K142)</f>
        <v>15900</v>
      </c>
    </row>
    <row r="143" spans="11:17" x14ac:dyDescent="0.3">
      <c r="K143" s="112" t="s">
        <v>244</v>
      </c>
      <c r="L143" s="17">
        <f>_xlfn.MAXIFS(App_download[Downloads],App_download[App Name],K143)</f>
        <v>13200</v>
      </c>
    </row>
    <row r="144" spans="11:17" x14ac:dyDescent="0.3">
      <c r="K144" s="112" t="s">
        <v>245</v>
      </c>
      <c r="L144" s="17">
        <f>_xlfn.MAXIFS(App_download[Downloads],App_download[App Name],K144)</f>
        <v>18200</v>
      </c>
    </row>
    <row r="146" spans="11:17" x14ac:dyDescent="0.3">
      <c r="K146" s="164" t="s">
        <v>422</v>
      </c>
      <c r="L146" s="164"/>
      <c r="M146" s="164"/>
      <c r="N146" s="164"/>
      <c r="O146" s="164"/>
      <c r="P146" s="164"/>
      <c r="Q146" s="164"/>
    </row>
    <row r="147" spans="11:17" ht="15" thickBot="1" x14ac:dyDescent="0.35"/>
    <row r="148" spans="11:17" ht="16.2" thickBot="1" x14ac:dyDescent="0.35">
      <c r="K148" s="142" t="s">
        <v>423</v>
      </c>
      <c r="L148" s="143"/>
    </row>
    <row r="150" spans="11:17" x14ac:dyDescent="0.3">
      <c r="K150" s="113" t="s">
        <v>214</v>
      </c>
      <c r="L150" s="113" t="s">
        <v>284</v>
      </c>
      <c r="M150" s="113" t="s">
        <v>278</v>
      </c>
    </row>
    <row r="151" spans="11:17" x14ac:dyDescent="0.3">
      <c r="K151" s="112">
        <v>45658</v>
      </c>
      <c r="L151" s="76">
        <f>_xlfn.MINIFS(App_download[Downloads],App_download[Month],K151)</f>
        <v>12000</v>
      </c>
      <c r="M151" s="17" t="str" cm="1">
        <f t="array" ref="M151">_xlfn._xlws.FILTER(App_download[App Name],(App_download[Month]=K151)*(App_download[Downloads]=L151))</f>
        <v>WhatsUp</v>
      </c>
    </row>
    <row r="152" spans="11:17" x14ac:dyDescent="0.3">
      <c r="K152" s="112">
        <v>45689</v>
      </c>
      <c r="L152" s="76">
        <f>_xlfn.MINIFS(App_download[Downloads],App_download[Month],K152)</f>
        <v>13200</v>
      </c>
      <c r="M152" s="17" t="str" cm="1">
        <f t="array" ref="M152">_xlfn._xlws.FILTER(App_download[App Name],(App_download[Month]=K152)*(App_download[Downloads]=L152))</f>
        <v>WhatsUp</v>
      </c>
    </row>
    <row r="153" spans="11:17" x14ac:dyDescent="0.3">
      <c r="K153" s="112">
        <v>45717</v>
      </c>
      <c r="L153" s="76">
        <f>_xlfn.MINIFS(App_download[Downloads],App_download[Month],K153)</f>
        <v>16800</v>
      </c>
      <c r="M153" s="17" t="str" cm="1">
        <f t="array" ref="M153">_xlfn._xlws.FILTER(App_download[App Name],(App_download[Month]=K153)*(App_download[Downloads]=L153))</f>
        <v>InstaPic</v>
      </c>
    </row>
    <row r="154" spans="11:17" x14ac:dyDescent="0.3">
      <c r="K154" s="112">
        <v>45748</v>
      </c>
      <c r="L154" s="76">
        <f>_xlfn.MINIFS(App_download[Downloads],App_download[Month],K154)</f>
        <v>14500</v>
      </c>
      <c r="M154" s="17" t="str" cm="1">
        <f t="array" ref="M154">_xlfn._xlws.FILTER(App_download[App Name],(App_download[Month]=K154)*(App_download[Downloads]=L154))</f>
        <v>WhatsUp</v>
      </c>
    </row>
    <row r="155" spans="11:17" x14ac:dyDescent="0.3">
      <c r="K155" s="112">
        <v>45778</v>
      </c>
      <c r="L155" s="76">
        <f>_xlfn.MINIFS(App_download[Downloads],App_download[Month],K155)</f>
        <v>15200</v>
      </c>
      <c r="M155" s="17" t="str" cm="1">
        <f t="array" ref="M155">_xlfn._xlws.FILTER(App_download[App Name],(App_download[Month]=K155)*(App_download[Downloads]=L155))</f>
        <v>WhatsUp</v>
      </c>
    </row>
    <row r="156" spans="11:17" x14ac:dyDescent="0.3">
      <c r="K156" s="112">
        <v>45809</v>
      </c>
      <c r="L156" s="76">
        <f>_xlfn.MINIFS(App_download[Downloads],App_download[Month],K156)</f>
        <v>15800</v>
      </c>
      <c r="M156" s="17" t="str" cm="1">
        <f t="array" ref="M156">_xlfn._xlws.FILTER(App_download[App Name],(App_download[Month]=K156)*(App_download[Downloads]=L156))</f>
        <v>WhatsUp</v>
      </c>
    </row>
    <row r="157" spans="11:17" x14ac:dyDescent="0.3">
      <c r="K157" s="112">
        <v>45839</v>
      </c>
      <c r="L157" s="76">
        <f>_xlfn.MINIFS(App_download[Downloads],App_download[Month],K157)</f>
        <v>9800</v>
      </c>
      <c r="M157" s="17" t="str" cm="1">
        <f t="array" ref="M157">_xlfn._xlws.FILTER(App_download[App Name],(App_download[Month]=K157)*(App_download[Downloads]=L157))</f>
        <v>FitTrack</v>
      </c>
    </row>
    <row r="158" spans="11:17" x14ac:dyDescent="0.3">
      <c r="K158" s="112">
        <v>45870</v>
      </c>
      <c r="L158" s="76">
        <f>_xlfn.MINIFS(App_download[Downloads],App_download[Month],K158)</f>
        <v>10300</v>
      </c>
      <c r="M158" s="17" t="str" cm="1">
        <f t="array" ref="M158">_xlfn._xlws.FILTER(App_download[App Name],(App_download[Month]=K158)*(App_download[Downloads]=L158))</f>
        <v>FitTrack</v>
      </c>
    </row>
    <row r="159" spans="11:17" x14ac:dyDescent="0.3">
      <c r="K159" s="112">
        <v>45901</v>
      </c>
      <c r="L159" s="76">
        <f>_xlfn.MINIFS(App_download[Downloads],App_download[Month],K159)</f>
        <v>10900</v>
      </c>
      <c r="M159" s="17" t="str" cm="1">
        <f t="array" ref="M159">_xlfn._xlws.FILTER(App_download[App Name],(App_download[Month]=K159)*(App_download[Downloads]=L159))</f>
        <v>FitTrack</v>
      </c>
    </row>
    <row r="160" spans="11:17" x14ac:dyDescent="0.3">
      <c r="K160" s="112">
        <v>45931</v>
      </c>
      <c r="L160" s="76">
        <f>_xlfn.MINIFS(App_download[Downloads],App_download[Month],K160)</f>
        <v>11500</v>
      </c>
      <c r="M160" s="17" t="str" cm="1">
        <f t="array" ref="M160">_xlfn._xlws.FILTER(App_download[App Name],(App_download[Month]=K160)*(App_download[Downloads]=L160))</f>
        <v>FitTrack</v>
      </c>
    </row>
    <row r="161" spans="11:13" x14ac:dyDescent="0.3">
      <c r="K161" s="112">
        <v>45962</v>
      </c>
      <c r="L161" s="76">
        <f>_xlfn.MINIFS(App_download[Downloads],App_download[Month],K161)</f>
        <v>12000</v>
      </c>
      <c r="M161" s="17" t="str" cm="1">
        <f t="array" ref="M161">_xlfn._xlws.FILTER(App_download[App Name],(App_download[Month]=K161)*(App_download[Downloads]=L161))</f>
        <v>FitTrack</v>
      </c>
    </row>
    <row r="162" spans="11:13" x14ac:dyDescent="0.3">
      <c r="K162" s="112">
        <v>45992</v>
      </c>
      <c r="L162" s="76">
        <f>_xlfn.MINIFS(App_download[Downloads],App_download[Month],K162)</f>
        <v>12600</v>
      </c>
      <c r="M162" s="17" t="str" cm="1">
        <f t="array" ref="M162">_xlfn._xlws.FILTER(App_download[App Name],(App_download[Month]=K162)*(App_download[Downloads]=L162))</f>
        <v>FitTrack</v>
      </c>
    </row>
  </sheetData>
  <mergeCells count="48">
    <mergeCell ref="K129:N129"/>
    <mergeCell ref="K70:Q70"/>
    <mergeCell ref="K88:Q88"/>
    <mergeCell ref="K106:Q106"/>
    <mergeCell ref="K114:Q114"/>
    <mergeCell ref="K122:Q122"/>
    <mergeCell ref="K22:Q22"/>
    <mergeCell ref="K27:Q27"/>
    <mergeCell ref="K34:Q34"/>
    <mergeCell ref="K40:Q40"/>
    <mergeCell ref="K49:Q49"/>
    <mergeCell ref="K13:Q13"/>
    <mergeCell ref="K14:Q14"/>
    <mergeCell ref="K15:Q15"/>
    <mergeCell ref="K16:Q16"/>
    <mergeCell ref="K17:Q17"/>
    <mergeCell ref="K2:Q2"/>
    <mergeCell ref="K20:L20"/>
    <mergeCell ref="K134:N134"/>
    <mergeCell ref="O134:Q134"/>
    <mergeCell ref="K146:N146"/>
    <mergeCell ref="O146:Q146"/>
    <mergeCell ref="K3:Q3"/>
    <mergeCell ref="K4:Q4"/>
    <mergeCell ref="K5:Q5"/>
    <mergeCell ref="K6:Q6"/>
    <mergeCell ref="K7:Q7"/>
    <mergeCell ref="K8:Q8"/>
    <mergeCell ref="K9:Q9"/>
    <mergeCell ref="K10:Q10"/>
    <mergeCell ref="K11:Q11"/>
    <mergeCell ref="K12:Q12"/>
    <mergeCell ref="K148:L148"/>
    <mergeCell ref="K136:L136"/>
    <mergeCell ref="K25:L25"/>
    <mergeCell ref="K32:L32"/>
    <mergeCell ref="K38:L38"/>
    <mergeCell ref="K47:L47"/>
    <mergeCell ref="K53:L53"/>
    <mergeCell ref="K62:L62"/>
    <mergeCell ref="K68:L68"/>
    <mergeCell ref="K86:L86"/>
    <mergeCell ref="K104:L104"/>
    <mergeCell ref="K112:L112"/>
    <mergeCell ref="K120:L120"/>
    <mergeCell ref="K127:L127"/>
    <mergeCell ref="K64:Q64"/>
    <mergeCell ref="K55:Q55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47BE-2245-45E0-A987-A787D939F4D3}">
  <dimension ref="B3:O67"/>
  <sheetViews>
    <sheetView showGridLines="0" topLeftCell="A31" workbookViewId="0">
      <selection activeCell="G56" sqref="G56"/>
    </sheetView>
  </sheetViews>
  <sheetFormatPr defaultRowHeight="14.4" x14ac:dyDescent="0.3"/>
  <cols>
    <col min="2" max="2" width="17.44140625" bestFit="1" customWidth="1"/>
    <col min="3" max="3" width="20" bestFit="1" customWidth="1"/>
    <col min="4" max="4" width="22" bestFit="1" customWidth="1"/>
    <col min="5" max="5" width="19.77734375" bestFit="1" customWidth="1"/>
    <col min="6" max="6" width="18.109375" bestFit="1" customWidth="1"/>
    <col min="11" max="12" width="20" bestFit="1" customWidth="1"/>
  </cols>
  <sheetData>
    <row r="3" spans="2:7" x14ac:dyDescent="0.3">
      <c r="B3" s="90" t="s">
        <v>126</v>
      </c>
      <c r="C3" s="102" t="s">
        <v>285</v>
      </c>
      <c r="D3" s="91" t="s">
        <v>286</v>
      </c>
      <c r="G3" s="100" t="s">
        <v>290</v>
      </c>
    </row>
    <row r="4" spans="2:7" x14ac:dyDescent="0.3">
      <c r="B4" s="101" t="s">
        <v>287</v>
      </c>
      <c r="C4" s="104">
        <v>45659</v>
      </c>
      <c r="D4" s="89">
        <v>55</v>
      </c>
      <c r="F4" t="s">
        <v>287</v>
      </c>
    </row>
    <row r="5" spans="2:7" x14ac:dyDescent="0.3">
      <c r="B5" s="101" t="s">
        <v>288</v>
      </c>
      <c r="C5" s="104">
        <v>45661</v>
      </c>
      <c r="D5" s="89">
        <v>120</v>
      </c>
    </row>
    <row r="6" spans="2:7" x14ac:dyDescent="0.3">
      <c r="B6" s="101" t="s">
        <v>289</v>
      </c>
      <c r="C6" s="104">
        <v>45663</v>
      </c>
      <c r="D6" s="89">
        <v>80</v>
      </c>
    </row>
    <row r="7" spans="2:7" x14ac:dyDescent="0.3">
      <c r="B7" s="101" t="s">
        <v>287</v>
      </c>
      <c r="C7" s="104">
        <v>45665</v>
      </c>
      <c r="D7" s="89">
        <v>58</v>
      </c>
      <c r="F7" t="s">
        <v>291</v>
      </c>
    </row>
    <row r="8" spans="2:7" x14ac:dyDescent="0.3">
      <c r="B8" s="101" t="s">
        <v>288</v>
      </c>
      <c r="C8" s="104">
        <v>45667</v>
      </c>
      <c r="D8" s="89">
        <v>125</v>
      </c>
      <c r="F8" s="106">
        <f>_xlfn.MAXIFS(Products_A[Effective Date],Products_A[Product],F4)</f>
        <v>45732</v>
      </c>
    </row>
    <row r="9" spans="2:7" x14ac:dyDescent="0.3">
      <c r="B9" s="101" t="s">
        <v>289</v>
      </c>
      <c r="C9" s="104">
        <v>45669</v>
      </c>
      <c r="D9" s="89">
        <v>85</v>
      </c>
      <c r="G9" t="s">
        <v>293</v>
      </c>
    </row>
    <row r="10" spans="2:7" x14ac:dyDescent="0.3">
      <c r="B10" s="101" t="s">
        <v>287</v>
      </c>
      <c r="C10" s="104">
        <v>45671</v>
      </c>
      <c r="D10" s="89">
        <v>60</v>
      </c>
      <c r="F10" t="s">
        <v>292</v>
      </c>
      <c r="G10" t="s">
        <v>292</v>
      </c>
    </row>
    <row r="11" spans="2:7" x14ac:dyDescent="0.3">
      <c r="B11" s="101" t="s">
        <v>288</v>
      </c>
      <c r="C11" s="104">
        <v>45673</v>
      </c>
      <c r="D11" s="89">
        <v>130</v>
      </c>
      <c r="F11" cm="1">
        <f t="array" ref="F11:F12">_xlfn._xlws.FILTER(Products_A[Price per Box],(Products_A[Product]=F4)*(Products_A[Effective Date]=F8))</f>
        <v>100</v>
      </c>
      <c r="G11" cm="1">
        <f t="array" ref="G11">_xlfn.XLOOKUP(1,(Products_A[Product]=F4)*(Products_A[Effective Date]=F8),Products_A[Price per Box])</f>
        <v>100</v>
      </c>
    </row>
    <row r="12" spans="2:7" x14ac:dyDescent="0.3">
      <c r="B12" s="101" t="s">
        <v>289</v>
      </c>
      <c r="C12" s="104">
        <v>45690</v>
      </c>
      <c r="D12" s="89">
        <v>88</v>
      </c>
      <c r="F12">
        <v>75</v>
      </c>
    </row>
    <row r="13" spans="2:7" x14ac:dyDescent="0.3">
      <c r="B13" s="101" t="s">
        <v>287</v>
      </c>
      <c r="C13" s="104">
        <v>45692</v>
      </c>
      <c r="D13" s="89">
        <v>62</v>
      </c>
    </row>
    <row r="14" spans="2:7" x14ac:dyDescent="0.3">
      <c r="B14" s="101" t="s">
        <v>288</v>
      </c>
      <c r="C14" s="104">
        <v>45694</v>
      </c>
      <c r="D14" s="89">
        <v>135</v>
      </c>
    </row>
    <row r="15" spans="2:7" x14ac:dyDescent="0.3">
      <c r="B15" s="101" t="s">
        <v>289</v>
      </c>
      <c r="C15" s="104">
        <v>45696</v>
      </c>
      <c r="D15" s="89">
        <v>90</v>
      </c>
    </row>
    <row r="16" spans="2:7" x14ac:dyDescent="0.3">
      <c r="B16" s="101" t="s">
        <v>287</v>
      </c>
      <c r="C16" s="104">
        <v>45698</v>
      </c>
      <c r="D16" s="89">
        <v>65</v>
      </c>
    </row>
    <row r="17" spans="2:4" x14ac:dyDescent="0.3">
      <c r="B17" s="101" t="s">
        <v>288</v>
      </c>
      <c r="C17" s="104">
        <v>45700</v>
      </c>
      <c r="D17" s="89">
        <v>138</v>
      </c>
    </row>
    <row r="18" spans="2:4" x14ac:dyDescent="0.3">
      <c r="B18" s="101" t="s">
        <v>289</v>
      </c>
      <c r="C18" s="104">
        <v>45702</v>
      </c>
      <c r="D18" s="89">
        <v>92</v>
      </c>
    </row>
    <row r="19" spans="2:4" x14ac:dyDescent="0.3">
      <c r="B19" s="101" t="s">
        <v>287</v>
      </c>
      <c r="C19" s="104">
        <v>45704</v>
      </c>
      <c r="D19" s="89">
        <v>68</v>
      </c>
    </row>
    <row r="20" spans="2:4" x14ac:dyDescent="0.3">
      <c r="B20" s="101" t="s">
        <v>288</v>
      </c>
      <c r="C20" s="104">
        <v>45706</v>
      </c>
      <c r="D20" s="89">
        <v>140</v>
      </c>
    </row>
    <row r="21" spans="2:4" x14ac:dyDescent="0.3">
      <c r="B21" s="101" t="s">
        <v>289</v>
      </c>
      <c r="C21" s="104">
        <v>45718</v>
      </c>
      <c r="D21" s="89">
        <v>95</v>
      </c>
    </row>
    <row r="22" spans="2:4" x14ac:dyDescent="0.3">
      <c r="B22" s="101" t="s">
        <v>287</v>
      </c>
      <c r="C22" s="104">
        <v>45720</v>
      </c>
      <c r="D22" s="89">
        <v>70</v>
      </c>
    </row>
    <row r="23" spans="2:4" x14ac:dyDescent="0.3">
      <c r="B23" s="101" t="s">
        <v>288</v>
      </c>
      <c r="C23" s="104">
        <v>45722</v>
      </c>
      <c r="D23" s="89">
        <v>145</v>
      </c>
    </row>
    <row r="24" spans="2:4" x14ac:dyDescent="0.3">
      <c r="B24" s="101" t="s">
        <v>289</v>
      </c>
      <c r="C24" s="104">
        <v>45724</v>
      </c>
      <c r="D24" s="89">
        <v>98</v>
      </c>
    </row>
    <row r="25" spans="2:4" x14ac:dyDescent="0.3">
      <c r="B25" s="101" t="s">
        <v>287</v>
      </c>
      <c r="C25" s="104">
        <v>45726</v>
      </c>
      <c r="D25" s="89">
        <v>72</v>
      </c>
    </row>
    <row r="26" spans="2:4" x14ac:dyDescent="0.3">
      <c r="B26" s="101" t="s">
        <v>288</v>
      </c>
      <c r="C26" s="104">
        <v>45728</v>
      </c>
      <c r="D26" s="89">
        <v>148</v>
      </c>
    </row>
    <row r="27" spans="2:4" x14ac:dyDescent="0.3">
      <c r="B27" s="101" t="s">
        <v>287</v>
      </c>
      <c r="C27" s="104">
        <v>45732</v>
      </c>
      <c r="D27" s="89">
        <v>100</v>
      </c>
    </row>
    <row r="28" spans="2:4" x14ac:dyDescent="0.3">
      <c r="B28" s="103" t="s">
        <v>287</v>
      </c>
      <c r="C28" s="105">
        <v>45732</v>
      </c>
      <c r="D28" s="92">
        <v>75</v>
      </c>
    </row>
    <row r="35" spans="2:15" x14ac:dyDescent="0.3">
      <c r="K35" s="99" t="s">
        <v>294</v>
      </c>
      <c r="L35" s="99" t="s">
        <v>295</v>
      </c>
      <c r="M35" s="99" t="s">
        <v>296</v>
      </c>
      <c r="N35" s="99" t="s">
        <v>297</v>
      </c>
      <c r="O35" s="99" t="s">
        <v>298</v>
      </c>
    </row>
    <row r="36" spans="2:15" x14ac:dyDescent="0.3">
      <c r="B36" s="4" t="s">
        <v>346</v>
      </c>
      <c r="C36" s="4" t="s">
        <v>347</v>
      </c>
      <c r="D36" s="4" t="s">
        <v>126</v>
      </c>
      <c r="K36" s="98" t="s">
        <v>299</v>
      </c>
      <c r="L36" s="98" t="s">
        <v>300</v>
      </c>
      <c r="M36" s="98" t="s">
        <v>301</v>
      </c>
      <c r="N36" s="98" t="s">
        <v>302</v>
      </c>
      <c r="O36" s="98" t="s">
        <v>303</v>
      </c>
    </row>
    <row r="37" spans="2:15" x14ac:dyDescent="0.3">
      <c r="B37" s="4" t="s">
        <v>348</v>
      </c>
      <c r="C37" s="4" t="s">
        <v>295</v>
      </c>
      <c r="D37" s="4"/>
      <c r="K37" s="98" t="s">
        <v>304</v>
      </c>
      <c r="L37" s="98" t="s">
        <v>305</v>
      </c>
      <c r="M37" s="98" t="s">
        <v>306</v>
      </c>
      <c r="N37" s="98" t="s">
        <v>307</v>
      </c>
      <c r="O37" s="98" t="s">
        <v>308</v>
      </c>
    </row>
    <row r="38" spans="2:15" x14ac:dyDescent="0.3">
      <c r="B38" s="4" t="s">
        <v>350</v>
      </c>
      <c r="C38" s="4" t="s">
        <v>297</v>
      </c>
      <c r="D38" s="4" t="s">
        <v>307</v>
      </c>
      <c r="K38" s="98" t="s">
        <v>309</v>
      </c>
      <c r="L38" s="98" t="s">
        <v>310</v>
      </c>
      <c r="M38" s="98" t="s">
        <v>311</v>
      </c>
      <c r="N38" s="98" t="s">
        <v>312</v>
      </c>
      <c r="O38" s="98" t="s">
        <v>313</v>
      </c>
    </row>
    <row r="39" spans="2:15" x14ac:dyDescent="0.3">
      <c r="B39" s="4" t="s">
        <v>349</v>
      </c>
      <c r="C39" s="4"/>
      <c r="D39" s="4"/>
      <c r="K39" s="98" t="s">
        <v>314</v>
      </c>
      <c r="L39" s="98" t="s">
        <v>315</v>
      </c>
      <c r="M39" s="98" t="s">
        <v>316</v>
      </c>
      <c r="N39" s="98" t="s">
        <v>317</v>
      </c>
      <c r="O39" s="98" t="s">
        <v>318</v>
      </c>
    </row>
    <row r="40" spans="2:15" x14ac:dyDescent="0.3">
      <c r="B40" s="4" t="s">
        <v>351</v>
      </c>
      <c r="C40" s="4"/>
      <c r="D40" s="4"/>
      <c r="K40" s="98" t="s">
        <v>319</v>
      </c>
      <c r="L40" s="98" t="s">
        <v>320</v>
      </c>
      <c r="M40" s="98" t="s">
        <v>321</v>
      </c>
      <c r="N40" s="98" t="s">
        <v>322</v>
      </c>
      <c r="O40" s="98" t="s">
        <v>323</v>
      </c>
    </row>
    <row r="41" spans="2:15" x14ac:dyDescent="0.3">
      <c r="B41" s="4" t="s">
        <v>352</v>
      </c>
      <c r="C41" s="4"/>
      <c r="D41" s="4"/>
      <c r="K41" s="98" t="s">
        <v>324</v>
      </c>
      <c r="L41" s="98" t="s">
        <v>325</v>
      </c>
      <c r="M41" s="98" t="s">
        <v>326</v>
      </c>
      <c r="N41" s="98" t="s">
        <v>327</v>
      </c>
      <c r="O41" s="2"/>
    </row>
    <row r="42" spans="2:15" x14ac:dyDescent="0.3">
      <c r="B42" s="4" t="s">
        <v>353</v>
      </c>
      <c r="C42" s="4"/>
      <c r="D42" s="4"/>
      <c r="K42" s="98" t="s">
        <v>328</v>
      </c>
      <c r="L42" s="98" t="s">
        <v>329</v>
      </c>
      <c r="M42" s="98" t="s">
        <v>330</v>
      </c>
      <c r="N42" s="98" t="s">
        <v>331</v>
      </c>
      <c r="O42" s="2"/>
    </row>
    <row r="43" spans="2:15" x14ac:dyDescent="0.3">
      <c r="B43" s="4" t="s">
        <v>354</v>
      </c>
      <c r="C43" s="4"/>
      <c r="D43" s="4"/>
      <c r="K43" s="98" t="s">
        <v>332</v>
      </c>
      <c r="L43" s="98" t="s">
        <v>333</v>
      </c>
      <c r="M43" s="98" t="s">
        <v>334</v>
      </c>
      <c r="N43" s="2"/>
      <c r="O43" s="2"/>
    </row>
    <row r="44" spans="2:15" x14ac:dyDescent="0.3">
      <c r="B44" s="4" t="s">
        <v>355</v>
      </c>
      <c r="C44" s="4"/>
      <c r="D44" s="4"/>
      <c r="K44" s="98" t="s">
        <v>335</v>
      </c>
      <c r="L44" s="98" t="s">
        <v>336</v>
      </c>
      <c r="M44" s="98" t="s">
        <v>337</v>
      </c>
      <c r="N44" s="2"/>
      <c r="O44" s="2"/>
    </row>
    <row r="45" spans="2:15" x14ac:dyDescent="0.3">
      <c r="B45" s="4" t="s">
        <v>356</v>
      </c>
      <c r="C45" s="4"/>
      <c r="D45" s="4"/>
      <c r="K45" s="98" t="s">
        <v>338</v>
      </c>
      <c r="L45" s="98" t="s">
        <v>339</v>
      </c>
      <c r="M45" s="2"/>
      <c r="N45" s="2"/>
      <c r="O45" s="2"/>
    </row>
    <row r="46" spans="2:15" x14ac:dyDescent="0.3">
      <c r="B46" s="4" t="s">
        <v>357</v>
      </c>
      <c r="C46" s="4"/>
      <c r="D46" s="4"/>
      <c r="K46" s="98" t="s">
        <v>340</v>
      </c>
      <c r="L46" s="98" t="s">
        <v>341</v>
      </c>
      <c r="M46" s="2"/>
      <c r="N46" s="2"/>
      <c r="O46" s="2"/>
    </row>
    <row r="47" spans="2:15" x14ac:dyDescent="0.3">
      <c r="B47" s="4" t="s">
        <v>358</v>
      </c>
      <c r="C47" s="4"/>
      <c r="D47" s="4"/>
      <c r="K47" s="98" t="s">
        <v>342</v>
      </c>
      <c r="L47" s="2"/>
      <c r="M47" s="2"/>
      <c r="N47" s="2"/>
      <c r="O47" s="2"/>
    </row>
    <row r="48" spans="2:15" x14ac:dyDescent="0.3">
      <c r="B48" s="4" t="s">
        <v>359</v>
      </c>
      <c r="C48" s="4"/>
      <c r="D48" s="4"/>
      <c r="K48" s="98" t="s">
        <v>343</v>
      </c>
      <c r="L48" s="2"/>
      <c r="M48" s="2"/>
      <c r="N48" s="2"/>
      <c r="O48" s="2"/>
    </row>
    <row r="49" spans="2:15" x14ac:dyDescent="0.3">
      <c r="B49" s="4" t="s">
        <v>360</v>
      </c>
      <c r="C49" s="4"/>
      <c r="D49" s="4"/>
      <c r="K49" s="98" t="s">
        <v>344</v>
      </c>
      <c r="L49" s="2"/>
      <c r="M49" s="2"/>
      <c r="N49" s="2"/>
      <c r="O49" s="2"/>
    </row>
    <row r="50" spans="2:15" x14ac:dyDescent="0.3">
      <c r="B50" s="4" t="s">
        <v>361</v>
      </c>
      <c r="C50" s="4"/>
      <c r="D50" s="4"/>
      <c r="K50" s="98" t="s">
        <v>345</v>
      </c>
      <c r="L50" s="2"/>
      <c r="M50" s="2"/>
      <c r="N50" s="2"/>
      <c r="O50" s="2"/>
    </row>
    <row r="51" spans="2:15" x14ac:dyDescent="0.3">
      <c r="B51" s="4" t="s">
        <v>362</v>
      </c>
      <c r="C51" s="4"/>
      <c r="D51" s="4"/>
    </row>
    <row r="52" spans="2:15" x14ac:dyDescent="0.3">
      <c r="B52" s="4" t="s">
        <v>363</v>
      </c>
      <c r="C52" s="4"/>
      <c r="D52" s="4"/>
    </row>
    <row r="53" spans="2:15" x14ac:dyDescent="0.3">
      <c r="B53" s="4" t="s">
        <v>364</v>
      </c>
      <c r="C53" s="4"/>
      <c r="D53" s="4"/>
      <c r="K53" t="str" cm="1">
        <f t="array" ref="K53:K67">_xlfn.XLOOKUP(C37,K35:O35,K36:O50)</f>
        <v>Cocoa Bites</v>
      </c>
    </row>
    <row r="54" spans="2:15" x14ac:dyDescent="0.3">
      <c r="B54" s="4" t="s">
        <v>365</v>
      </c>
      <c r="C54" s="4"/>
      <c r="D54" s="4"/>
      <c r="K54" t="str">
        <v>Almond Truffle Bites</v>
      </c>
    </row>
    <row r="55" spans="2:15" x14ac:dyDescent="0.3">
      <c r="B55" s="4" t="s">
        <v>366</v>
      </c>
      <c r="C55" s="4"/>
      <c r="D55" s="4"/>
      <c r="K55" t="str">
        <v>Hazelnut Choco Cubes</v>
      </c>
    </row>
    <row r="56" spans="2:15" x14ac:dyDescent="0.3">
      <c r="B56" s="4" t="s">
        <v>367</v>
      </c>
      <c r="C56" s="4"/>
      <c r="D56" s="4"/>
      <c r="K56" t="str">
        <v>Peanut Butter Pops</v>
      </c>
    </row>
    <row r="57" spans="2:15" x14ac:dyDescent="0.3">
      <c r="K57" t="str">
        <v>Coconut Crunchies</v>
      </c>
    </row>
    <row r="58" spans="2:15" x14ac:dyDescent="0.3">
      <c r="K58" t="str">
        <v>Crispy Rice Bites</v>
      </c>
    </row>
    <row r="59" spans="2:15" x14ac:dyDescent="0.3">
      <c r="K59" t="str">
        <v>Cashew Choco Squares</v>
      </c>
    </row>
    <row r="60" spans="2:15" x14ac:dyDescent="0.3">
      <c r="K60" t="str">
        <v>Coffee Bean Bites</v>
      </c>
    </row>
    <row r="61" spans="2:15" x14ac:dyDescent="0.3">
      <c r="K61" t="str">
        <v>Pistachio Choco Bites</v>
      </c>
    </row>
    <row r="62" spans="2:15" x14ac:dyDescent="0.3">
      <c r="K62" t="str">
        <v>Choco Raisin Cubes</v>
      </c>
    </row>
    <row r="63" spans="2:15" x14ac:dyDescent="0.3">
      <c r="K63" t="str">
        <v>Rocky Road Bites</v>
      </c>
    </row>
    <row r="64" spans="2:15" x14ac:dyDescent="0.3">
      <c r="K64">
        <v>0</v>
      </c>
    </row>
    <row r="65" spans="11:11" x14ac:dyDescent="0.3">
      <c r="K65">
        <v>0</v>
      </c>
    </row>
    <row r="66" spans="11:11" x14ac:dyDescent="0.3">
      <c r="K66">
        <v>0</v>
      </c>
    </row>
    <row r="67" spans="11:11" x14ac:dyDescent="0.3">
      <c r="K67">
        <v>0</v>
      </c>
    </row>
  </sheetData>
  <phoneticPr fontId="32" type="noConversion"/>
  <dataValidations count="2">
    <dataValidation type="list" allowBlank="1" showInputMessage="1" showErrorMessage="1" sqref="C37:C56" xr:uid="{10F4A290-8CBF-4132-A8BB-04F82D871D20}">
      <formula1>$K$35:$O$35</formula1>
    </dataValidation>
    <dataValidation type="list" allowBlank="1" showInputMessage="1" showErrorMessage="1" sqref="D37:D56" xr:uid="{CADBE027-9FD2-437C-A49C-951C2C3FC0A7}">
      <formula1>_xlfn.XLOOKUP(C37,$K$35:$O$35,$K$36:$O$50)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58B0-B470-4015-96E3-459F0E4578B7}">
  <dimension ref="B2:L12"/>
  <sheetViews>
    <sheetView showGridLines="0" workbookViewId="0">
      <selection activeCell="L5" sqref="L5"/>
    </sheetView>
  </sheetViews>
  <sheetFormatPr defaultRowHeight="14.4" x14ac:dyDescent="0.3"/>
  <cols>
    <col min="10" max="10" width="23.33203125" bestFit="1" customWidth="1"/>
  </cols>
  <sheetData>
    <row r="2" spans="2:12" x14ac:dyDescent="0.3">
      <c r="B2" s="4" t="s">
        <v>368</v>
      </c>
      <c r="C2" s="4" t="s">
        <v>369</v>
      </c>
      <c r="D2" s="4" t="s">
        <v>370</v>
      </c>
      <c r="E2" s="4" t="s">
        <v>371</v>
      </c>
      <c r="F2" s="4" t="s">
        <v>372</v>
      </c>
      <c r="J2" s="110" t="s">
        <v>380</v>
      </c>
      <c r="K2" s="110">
        <v>2014</v>
      </c>
    </row>
    <row r="3" spans="2:12" x14ac:dyDescent="0.3">
      <c r="B3" s="4">
        <v>2009</v>
      </c>
      <c r="C3" s="4" t="s">
        <v>373</v>
      </c>
      <c r="D3" s="4" t="s">
        <v>374</v>
      </c>
      <c r="E3" s="4" t="s">
        <v>375</v>
      </c>
      <c r="F3" s="4"/>
      <c r="J3" s="111" t="s">
        <v>381</v>
      </c>
      <c r="K3" s="17" t="str">
        <f>LOOKUP(REPT("z",6),INDEX(C3:I12,MATCH(K2,B3:B12,0),))</f>
        <v>Bank</v>
      </c>
    </row>
    <row r="4" spans="2:12" x14ac:dyDescent="0.3">
      <c r="B4" s="4">
        <v>2010</v>
      </c>
      <c r="C4" s="4" t="s">
        <v>373</v>
      </c>
      <c r="D4" s="4"/>
      <c r="E4" s="4"/>
      <c r="F4" s="4"/>
      <c r="J4" s="111" t="s">
        <v>382</v>
      </c>
      <c r="K4" s="17" t="str" cm="1">
        <f t="array" ref="K4">_xlfn.LET(_xlpm.mrow, _xlfn.XLOOKUP(K2,B3:B12,C3:I12),_xlfn.XLOOKUP("*",_xlpm.mrow,_xlpm.mrow,,2,-1))</f>
        <v>Bank</v>
      </c>
    </row>
    <row r="5" spans="2:12" x14ac:dyDescent="0.3">
      <c r="B5" s="4">
        <v>2011</v>
      </c>
      <c r="C5" s="4" t="s">
        <v>373</v>
      </c>
      <c r="D5" s="4" t="s">
        <v>374</v>
      </c>
      <c r="E5" s="4" t="s">
        <v>375</v>
      </c>
      <c r="F5" s="4" t="s">
        <v>378</v>
      </c>
      <c r="J5" s="111" t="s">
        <v>383</v>
      </c>
      <c r="K5" s="17">
        <f>COUNTA(INDEX(C3:I12,MATCH(K2,B3:B12,0),))</f>
        <v>2</v>
      </c>
      <c r="L5" s="17" t="str" cm="1">
        <f t="array" ref="L5">INDEX(C3:I12,MATCH(K2,B3:B12,0),K5)</f>
        <v>Bank</v>
      </c>
    </row>
    <row r="6" spans="2:12" x14ac:dyDescent="0.3">
      <c r="B6" s="4">
        <v>2012</v>
      </c>
      <c r="C6" s="4" t="s">
        <v>373</v>
      </c>
      <c r="D6" s="4"/>
      <c r="E6" s="4"/>
      <c r="F6" s="4"/>
    </row>
    <row r="7" spans="2:12" x14ac:dyDescent="0.3">
      <c r="B7" s="4">
        <v>2013</v>
      </c>
      <c r="C7" s="4" t="s">
        <v>373</v>
      </c>
      <c r="D7" s="4" t="s">
        <v>374</v>
      </c>
      <c r="E7" s="4" t="s">
        <v>375</v>
      </c>
      <c r="F7" s="4"/>
    </row>
    <row r="8" spans="2:12" x14ac:dyDescent="0.3">
      <c r="B8" s="4">
        <v>2014</v>
      </c>
      <c r="C8" s="4" t="s">
        <v>373</v>
      </c>
      <c r="D8" s="4" t="s">
        <v>374</v>
      </c>
      <c r="E8" s="4"/>
      <c r="F8" s="4"/>
    </row>
    <row r="9" spans="2:12" x14ac:dyDescent="0.3">
      <c r="B9" s="4">
        <v>2015</v>
      </c>
      <c r="C9" s="4" t="s">
        <v>373</v>
      </c>
      <c r="D9" s="4" t="s">
        <v>374</v>
      </c>
      <c r="E9" s="4" t="s">
        <v>376</v>
      </c>
      <c r="F9" s="4"/>
    </row>
    <row r="10" spans="2:12" x14ac:dyDescent="0.3">
      <c r="B10" s="4">
        <v>2016</v>
      </c>
      <c r="C10" s="4" t="s">
        <v>373</v>
      </c>
      <c r="D10" s="4" t="s">
        <v>374</v>
      </c>
      <c r="E10" s="4" t="s">
        <v>376</v>
      </c>
      <c r="F10" s="4"/>
    </row>
    <row r="11" spans="2:12" x14ac:dyDescent="0.3">
      <c r="B11" s="4">
        <v>2017</v>
      </c>
      <c r="C11" s="4" t="s">
        <v>373</v>
      </c>
      <c r="D11" s="4" t="s">
        <v>374</v>
      </c>
      <c r="E11" s="4" t="s">
        <v>377</v>
      </c>
      <c r="F11" s="4" t="s">
        <v>379</v>
      </c>
    </row>
    <row r="12" spans="2:12" x14ac:dyDescent="0.3">
      <c r="B12" s="4">
        <v>2018</v>
      </c>
      <c r="C12" s="4" t="s">
        <v>373</v>
      </c>
      <c r="D12" s="4" t="s">
        <v>374</v>
      </c>
      <c r="E12" s="4"/>
      <c r="F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421E-66E5-4701-BBB7-1CC0E1CF5DC2}">
  <dimension ref="B3:V26"/>
  <sheetViews>
    <sheetView showGridLines="0" tabSelected="1" workbookViewId="0">
      <selection activeCell="N16" sqref="N16"/>
    </sheetView>
  </sheetViews>
  <sheetFormatPr defaultRowHeight="14.4" x14ac:dyDescent="0.3"/>
  <cols>
    <col min="2" max="2" width="11.33203125" bestFit="1" customWidth="1"/>
    <col min="3" max="3" width="9.44140625" customWidth="1"/>
    <col min="4" max="4" width="9.77734375" customWidth="1"/>
    <col min="5" max="5" width="15.33203125" customWidth="1"/>
    <col min="6" max="6" width="13.109375" customWidth="1"/>
    <col min="9" max="9" width="9.6640625" bestFit="1" customWidth="1"/>
    <col min="10" max="10" width="14.88671875" bestFit="1" customWidth="1"/>
    <col min="14" max="14" width="17.44140625" bestFit="1" customWidth="1"/>
  </cols>
  <sheetData>
    <row r="3" spans="2:22" x14ac:dyDescent="0.3">
      <c r="B3" s="1" t="s">
        <v>24</v>
      </c>
      <c r="C3" s="1" t="s">
        <v>384</v>
      </c>
      <c r="D3" s="1" t="s">
        <v>292</v>
      </c>
      <c r="E3" s="1" t="s">
        <v>396</v>
      </c>
      <c r="F3" s="1" t="s">
        <v>399</v>
      </c>
      <c r="I3" s="109" t="s">
        <v>385</v>
      </c>
      <c r="J3" s="109" t="s">
        <v>386</v>
      </c>
      <c r="M3" s="109" t="s">
        <v>394</v>
      </c>
      <c r="N3" s="109" t="s">
        <v>395</v>
      </c>
    </row>
    <row r="4" spans="2:22" x14ac:dyDescent="0.3">
      <c r="B4" s="2" t="s">
        <v>400</v>
      </c>
      <c r="C4" s="2">
        <v>290</v>
      </c>
      <c r="D4" s="107">
        <v>0.9</v>
      </c>
      <c r="E4" s="107">
        <v>1.85</v>
      </c>
      <c r="F4" s="107">
        <v>8.65</v>
      </c>
    </row>
    <row r="5" spans="2:22" x14ac:dyDescent="0.3">
      <c r="B5" s="2" t="s">
        <v>401</v>
      </c>
      <c r="C5" s="2">
        <v>190</v>
      </c>
      <c r="D5" s="107">
        <v>1</v>
      </c>
      <c r="E5" s="107">
        <v>2</v>
      </c>
      <c r="F5" s="107">
        <v>9.6</v>
      </c>
      <c r="I5" s="80" t="s">
        <v>387</v>
      </c>
      <c r="J5" s="80" t="s">
        <v>406</v>
      </c>
      <c r="M5" s="80" t="s">
        <v>384</v>
      </c>
      <c r="N5" s="80">
        <v>240</v>
      </c>
    </row>
    <row r="6" spans="2:22" x14ac:dyDescent="0.3">
      <c r="B6" s="2" t="s">
        <v>402</v>
      </c>
      <c r="C6" s="2">
        <v>190</v>
      </c>
      <c r="D6" s="107">
        <v>1.1000000000000001</v>
      </c>
      <c r="E6" s="107">
        <v>2.15</v>
      </c>
      <c r="F6" s="107">
        <v>10.55</v>
      </c>
      <c r="I6" s="17" t="s">
        <v>388</v>
      </c>
      <c r="J6" s="17">
        <f>VLOOKUP(J5,Menu[[Name]:[Price]],3,0)</f>
        <v>1.3</v>
      </c>
      <c r="M6" s="80" t="s">
        <v>292</v>
      </c>
      <c r="N6" s="80">
        <v>1.1000000000000001</v>
      </c>
    </row>
    <row r="7" spans="2:22" x14ac:dyDescent="0.3">
      <c r="B7" s="2" t="s">
        <v>403</v>
      </c>
      <c r="C7" s="2">
        <v>250</v>
      </c>
      <c r="D7" s="107">
        <v>1.2</v>
      </c>
      <c r="E7" s="107">
        <v>2.2000000000000002</v>
      </c>
      <c r="F7" s="107">
        <v>11.5</v>
      </c>
    </row>
    <row r="8" spans="2:22" x14ac:dyDescent="0.3">
      <c r="B8" s="2" t="s">
        <v>404</v>
      </c>
      <c r="C8" s="2">
        <v>210</v>
      </c>
      <c r="D8" s="107">
        <v>1.1499999999999999</v>
      </c>
      <c r="E8" s="107">
        <v>2.2000000000000002</v>
      </c>
      <c r="F8" s="107">
        <v>11.05</v>
      </c>
      <c r="M8" s="17" t="s">
        <v>24</v>
      </c>
      <c r="N8" s="17" t="str" cm="1">
        <f t="array" ref="N8">_xlfn._xlws.FILTER(Menu[Name],(Menu[Calories]=N5)*(Menu[Price]=N6))</f>
        <v>Glazed Cruller</v>
      </c>
    </row>
    <row r="9" spans="2:22" x14ac:dyDescent="0.3">
      <c r="B9" s="2" t="s">
        <v>405</v>
      </c>
      <c r="C9" s="2">
        <v>310</v>
      </c>
      <c r="D9" s="107">
        <v>1.25</v>
      </c>
      <c r="E9" s="107">
        <v>2.2000000000000002</v>
      </c>
      <c r="F9" s="107">
        <v>12</v>
      </c>
    </row>
    <row r="10" spans="2:22" x14ac:dyDescent="0.3">
      <c r="B10" s="2" t="s">
        <v>406</v>
      </c>
      <c r="C10" s="2">
        <v>270</v>
      </c>
      <c r="D10" s="107">
        <v>1.3</v>
      </c>
      <c r="E10" s="107">
        <v>2.25</v>
      </c>
      <c r="F10" s="107">
        <v>12.5</v>
      </c>
      <c r="I10" s="109" t="s">
        <v>389</v>
      </c>
      <c r="J10" s="109" t="s">
        <v>390</v>
      </c>
      <c r="R10" s="1"/>
      <c r="S10" s="1"/>
      <c r="T10" s="1"/>
      <c r="U10" s="1"/>
      <c r="V10" s="1"/>
    </row>
    <row r="11" spans="2:22" x14ac:dyDescent="0.3">
      <c r="B11" s="2" t="s">
        <v>407</v>
      </c>
      <c r="C11" s="2">
        <v>270</v>
      </c>
      <c r="D11" s="107">
        <v>1.3</v>
      </c>
      <c r="E11" s="107">
        <v>2.4</v>
      </c>
      <c r="F11" s="107">
        <v>12.5</v>
      </c>
      <c r="R11" s="2"/>
      <c r="S11" s="2"/>
      <c r="T11" s="2"/>
      <c r="U11" s="2"/>
      <c r="V11" s="2"/>
    </row>
    <row r="12" spans="2:22" x14ac:dyDescent="0.3">
      <c r="B12" s="2" t="s">
        <v>408</v>
      </c>
      <c r="C12" s="2">
        <v>350</v>
      </c>
      <c r="D12" s="107">
        <v>1.35</v>
      </c>
      <c r="E12" s="107">
        <v>2.4500000000000002</v>
      </c>
      <c r="F12" s="107">
        <v>12.95</v>
      </c>
      <c r="I12" s="80" t="s">
        <v>384</v>
      </c>
      <c r="J12" s="80">
        <v>350</v>
      </c>
      <c r="M12" s="109" t="s">
        <v>397</v>
      </c>
      <c r="N12" s="109" t="s">
        <v>398</v>
      </c>
      <c r="R12" s="2"/>
      <c r="S12" s="2"/>
      <c r="T12" s="2"/>
      <c r="U12" s="2"/>
      <c r="V12" s="2"/>
    </row>
    <row r="13" spans="2:22" x14ac:dyDescent="0.3">
      <c r="B13" s="2" t="s">
        <v>409</v>
      </c>
      <c r="C13" s="2">
        <v>240</v>
      </c>
      <c r="D13" s="107">
        <v>1.1499999999999999</v>
      </c>
      <c r="E13" s="107">
        <v>2.25</v>
      </c>
      <c r="F13" s="107">
        <v>11.05</v>
      </c>
      <c r="I13" s="17" t="s">
        <v>24</v>
      </c>
      <c r="J13" s="17" t="str">
        <f>_xlfn.XLOOKUP(J12,Menu[Calories],Menu[Name])</f>
        <v>Boston Crème</v>
      </c>
      <c r="R13" s="2"/>
      <c r="S13" s="2"/>
      <c r="T13" s="2"/>
      <c r="U13" s="2"/>
      <c r="V13" s="2"/>
    </row>
    <row r="14" spans="2:22" x14ac:dyDescent="0.3">
      <c r="B14" s="2" t="s">
        <v>410</v>
      </c>
      <c r="C14" s="2">
        <v>240</v>
      </c>
      <c r="D14" s="107">
        <v>1.1000000000000001</v>
      </c>
      <c r="E14" s="107">
        <v>2.2000000000000002</v>
      </c>
      <c r="F14" s="107">
        <v>10.55</v>
      </c>
      <c r="M14" s="80" t="s">
        <v>292</v>
      </c>
      <c r="N14" s="80">
        <v>1.25</v>
      </c>
      <c r="R14" s="2"/>
      <c r="S14" s="2"/>
      <c r="T14" s="2"/>
      <c r="U14" s="2"/>
      <c r="V14" s="2"/>
    </row>
    <row r="15" spans="2:22" x14ac:dyDescent="0.3">
      <c r="B15" s="2" t="s">
        <v>411</v>
      </c>
      <c r="C15" s="2">
        <v>270</v>
      </c>
      <c r="D15" s="107">
        <v>1.25</v>
      </c>
      <c r="E15" s="107">
        <v>2.2999999999999998</v>
      </c>
      <c r="F15" s="107">
        <v>12</v>
      </c>
      <c r="R15" s="2"/>
      <c r="S15" s="2"/>
      <c r="T15" s="2"/>
      <c r="U15" s="2"/>
      <c r="V15" s="2"/>
    </row>
    <row r="16" spans="2:22" x14ac:dyDescent="0.3">
      <c r="B16" s="2" t="s">
        <v>412</v>
      </c>
      <c r="C16" s="2">
        <v>300</v>
      </c>
      <c r="D16" s="107">
        <v>1.25</v>
      </c>
      <c r="E16" s="107">
        <v>2.25</v>
      </c>
      <c r="F16" s="107">
        <v>12</v>
      </c>
      <c r="I16" s="109" t="s">
        <v>393</v>
      </c>
      <c r="J16" s="109" t="s">
        <v>391</v>
      </c>
      <c r="M16" s="17" t="s">
        <v>24</v>
      </c>
      <c r="N16" s="108" t="str" cm="1">
        <f t="array" ref="N16:N19">_xlfn._xlws.FILTER(Menu[Name],Menu[Price]=N14,"No such Person")</f>
        <v>Powered</v>
      </c>
      <c r="R16" s="2"/>
      <c r="S16" s="2"/>
      <c r="T16" s="2"/>
      <c r="U16" s="2"/>
      <c r="V16" s="2"/>
    </row>
    <row r="17" spans="2:22" x14ac:dyDescent="0.3">
      <c r="B17" s="2" t="s">
        <v>413</v>
      </c>
      <c r="C17" s="2">
        <v>300</v>
      </c>
      <c r="D17" s="107">
        <v>1.25</v>
      </c>
      <c r="E17" s="107">
        <v>2.25</v>
      </c>
      <c r="F17" s="107">
        <v>12</v>
      </c>
      <c r="N17" s="108" t="str">
        <v>Jelly Filled</v>
      </c>
      <c r="R17" s="2"/>
      <c r="S17" s="2"/>
      <c r="T17" s="2"/>
      <c r="U17" s="2"/>
      <c r="V17" s="2"/>
    </row>
    <row r="18" spans="2:22" x14ac:dyDescent="0.3">
      <c r="B18" s="2" t="s">
        <v>414</v>
      </c>
      <c r="C18" s="2">
        <v>250</v>
      </c>
      <c r="D18" s="107">
        <v>1.3</v>
      </c>
      <c r="E18" s="107">
        <v>2.2999999999999998</v>
      </c>
      <c r="F18" s="107">
        <v>12.5</v>
      </c>
      <c r="I18" s="80" t="s">
        <v>24</v>
      </c>
      <c r="J18" s="80" t="s">
        <v>412</v>
      </c>
      <c r="N18" s="108" t="str">
        <v>Sour Cream</v>
      </c>
      <c r="R18" s="2"/>
      <c r="S18" s="2"/>
      <c r="T18" s="2"/>
      <c r="U18" s="2"/>
      <c r="V18" s="2"/>
    </row>
    <row r="19" spans="2:22" x14ac:dyDescent="0.3">
      <c r="B19" s="2" t="s">
        <v>415</v>
      </c>
      <c r="C19" s="2">
        <v>350</v>
      </c>
      <c r="D19" s="107">
        <v>1.45</v>
      </c>
      <c r="E19" s="107">
        <v>2.4500000000000002</v>
      </c>
      <c r="F19" s="107">
        <v>13.9</v>
      </c>
      <c r="I19" s="80" t="s">
        <v>392</v>
      </c>
      <c r="J19" s="80" t="s">
        <v>396</v>
      </c>
      <c r="N19" s="108" t="str">
        <v>Glazed Raspberry</v>
      </c>
      <c r="R19" s="2"/>
      <c r="S19" s="2"/>
      <c r="T19" s="2"/>
      <c r="U19" s="2"/>
      <c r="V19" s="2"/>
    </row>
    <row r="20" spans="2:22" x14ac:dyDescent="0.3">
      <c r="I20" s="17" t="s">
        <v>292</v>
      </c>
      <c r="J20" s="17" cm="1">
        <f t="array" ref="J20">_xlfn.XLOOKUP(J18,Menu[Name],_xlfn.XLOOKUP(J19,Menu[[#Headers],[Calories]:[x12 Price]],Menu[[Calories]:[x12 Price]]))</f>
        <v>2.25</v>
      </c>
      <c r="R20" s="2"/>
      <c r="S20" s="2"/>
      <c r="T20" s="2"/>
      <c r="U20" s="2"/>
      <c r="V20" s="2"/>
    </row>
    <row r="21" spans="2:22" x14ac:dyDescent="0.3">
      <c r="R21" s="2"/>
      <c r="S21" s="2"/>
      <c r="T21" s="2"/>
      <c r="U21" s="2"/>
      <c r="V21" s="2"/>
    </row>
    <row r="22" spans="2:22" x14ac:dyDescent="0.3">
      <c r="R22" s="2"/>
      <c r="S22" s="2"/>
      <c r="T22" s="2"/>
      <c r="U22" s="2"/>
      <c r="V22" s="2"/>
    </row>
    <row r="23" spans="2:22" x14ac:dyDescent="0.3">
      <c r="R23" s="2"/>
      <c r="S23" s="2"/>
      <c r="T23" s="2"/>
      <c r="U23" s="2"/>
      <c r="V23" s="2"/>
    </row>
    <row r="24" spans="2:22" x14ac:dyDescent="0.3">
      <c r="R24" s="2"/>
      <c r="S24" s="2"/>
      <c r="T24" s="2"/>
      <c r="U24" s="2"/>
      <c r="V24" s="2"/>
    </row>
    <row r="25" spans="2:22" x14ac:dyDescent="0.3">
      <c r="R25" s="2"/>
      <c r="S25" s="2"/>
      <c r="T25" s="2"/>
      <c r="U25" s="2"/>
      <c r="V25" s="2"/>
    </row>
    <row r="26" spans="2:22" x14ac:dyDescent="0.3">
      <c r="R26" s="2"/>
      <c r="S26" s="2"/>
      <c r="T26" s="2"/>
      <c r="U26" s="2"/>
      <c r="V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6 Questions Lookup</vt:lpstr>
      <vt:lpstr>5 Questions Lookup</vt:lpstr>
      <vt:lpstr>11 Questions Xlookup</vt:lpstr>
      <vt:lpstr>9 Questions Filter</vt:lpstr>
      <vt:lpstr>6 Question INDEX + MATCH</vt:lpstr>
      <vt:lpstr>15 Question Functions</vt:lpstr>
      <vt:lpstr>Drop Downs</vt:lpstr>
      <vt:lpstr>3 Find Last Non-blank value</vt:lpstr>
      <vt:lpstr>5 Question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surera</cp:lastModifiedBy>
  <dcterms:created xsi:type="dcterms:W3CDTF">2015-06-05T18:17:20Z</dcterms:created>
  <dcterms:modified xsi:type="dcterms:W3CDTF">2025-09-01T16:17:31Z</dcterms:modified>
</cp:coreProperties>
</file>