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n\Desktop\"/>
    </mc:Choice>
  </mc:AlternateContent>
  <xr:revisionPtr revIDLastSave="0" documentId="8_{A01DD2D9-3425-41AD-9437-C9E962EAC3E1}" xr6:coauthVersionLast="43" xr6:coauthVersionMax="43" xr10:uidLastSave="{00000000-0000-0000-0000-000000000000}"/>
  <bookViews>
    <workbookView xWindow="-98" yWindow="-98" windowWidth="24196" windowHeight="13155" tabRatio="658" xr2:uid="{00000000-000D-0000-FFFF-FFFF00000000}"/>
  </bookViews>
  <sheets>
    <sheet name="LoanPymts" sheetId="2" r:id="rId1"/>
    <sheet name="Loans-AnnualInt" sheetId="6" r:id="rId2"/>
    <sheet name="Loans-Comparisons" sheetId="3" r:id="rId3"/>
    <sheet name="CompoundInt1" sheetId="7" r:id="rId4"/>
    <sheet name="CompoundInt2" sheetId="4" r:id="rId5"/>
    <sheet name="TimeValMoney_Discounting" sheetId="13" r:id="rId6"/>
    <sheet name="TimeValMoney-Formulas" sheetId="14" r:id="rId7"/>
    <sheet name="TimeValMoney-Models" sheetId="15" r:id="rId8"/>
    <sheet name="SubscriptionEx" sheetId="11" r:id="rId9"/>
    <sheet name="NPV" sheetId="17" r:id="rId10"/>
    <sheet name="OperationsEx" sheetId="8" r:id="rId11"/>
  </sheets>
  <definedNames>
    <definedName name="Cost">#REF!</definedName>
    <definedName name="Life">#REF!</definedName>
    <definedName name="Salva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28" i="17" l="1"/>
  <c r="B14" i="17"/>
  <c r="F7" i="15"/>
  <c r="B7" i="15"/>
  <c r="A51" i="14"/>
  <c r="B46" i="14"/>
  <c r="A26" i="14"/>
  <c r="B21" i="14"/>
  <c r="B41" i="14"/>
  <c r="B40" i="14" s="1"/>
  <c r="B39" i="14" s="1"/>
  <c r="B38" i="14" s="1"/>
  <c r="B37" i="14" s="1"/>
  <c r="B36" i="14" s="1"/>
  <c r="B35" i="14" s="1"/>
  <c r="B34" i="14" s="1"/>
  <c r="B33" i="14" s="1"/>
  <c r="B32" i="14" s="1"/>
  <c r="B7" i="14"/>
  <c r="B8" i="14" s="1"/>
  <c r="B9" i="14" s="1"/>
  <c r="B10" i="14" s="1"/>
  <c r="B11" i="14" s="1"/>
  <c r="B12" i="14" s="1"/>
  <c r="B13" i="14" s="1"/>
  <c r="B14" i="14" s="1"/>
  <c r="B15" i="14" s="1"/>
  <c r="B16" i="14" s="1"/>
  <c r="E22" i="13"/>
  <c r="E16" i="13"/>
  <c r="D7" i="13"/>
  <c r="B22" i="13"/>
  <c r="B8" i="13"/>
  <c r="B9" i="13" s="1"/>
  <c r="B10" i="13" s="1"/>
  <c r="B11" i="13" s="1"/>
  <c r="B12" i="13" s="1"/>
  <c r="B13" i="13" s="1"/>
  <c r="B14" i="13" s="1"/>
  <c r="B15" i="13" s="1"/>
  <c r="B16" i="13" s="1"/>
  <c r="B17" i="13" s="1"/>
  <c r="H11" i="11"/>
  <c r="G11" i="11"/>
  <c r="F11" i="11"/>
  <c r="H10" i="11"/>
  <c r="G10" i="11"/>
  <c r="F10" i="11"/>
  <c r="B20" i="8"/>
  <c r="B16" i="8"/>
  <c r="B12" i="8"/>
  <c r="F8" i="8"/>
  <c r="E8" i="8"/>
  <c r="D8" i="8"/>
  <c r="C8" i="8"/>
  <c r="B8" i="8"/>
  <c r="H7" i="8"/>
  <c r="I11" i="11" l="1"/>
  <c r="I10" i="11"/>
  <c r="B9" i="8"/>
  <c r="B10" i="8"/>
  <c r="B13" i="8" s="1"/>
  <c r="E14" i="8" l="1"/>
  <c r="D14" i="8"/>
  <c r="F14" i="8"/>
  <c r="C14" i="8"/>
  <c r="B14" i="8"/>
  <c r="B21" i="8"/>
  <c r="B17" i="8"/>
  <c r="F18" i="8" l="1"/>
  <c r="E18" i="8"/>
  <c r="C18" i="8"/>
  <c r="D18" i="8"/>
  <c r="D25" i="8" s="1"/>
  <c r="B18" i="8"/>
  <c r="C22" i="8"/>
  <c r="F22" i="8"/>
  <c r="F25" i="8" s="1"/>
  <c r="B22" i="8"/>
  <c r="B25" i="8" s="1"/>
  <c r="D22" i="8"/>
  <c r="E22" i="8"/>
  <c r="E25" i="8" s="1"/>
  <c r="C25" i="8"/>
  <c r="B24" i="8"/>
  <c r="B26" i="8" l="1"/>
  <c r="E7" i="4"/>
  <c r="B24" i="7"/>
  <c r="B19" i="7"/>
  <c r="B5" i="7"/>
  <c r="B7" i="4" l="1"/>
  <c r="D3" i="3"/>
  <c r="E3" i="3" s="1"/>
  <c r="D2" i="3"/>
  <c r="E2" i="3" s="1"/>
  <c r="C4" i="2"/>
  <c r="A4" i="2" s="1"/>
  <c r="A1" i="8"/>
</calcChain>
</file>

<file path=xl/sharedStrings.xml><?xml version="1.0" encoding="utf-8"?>
<sst xmlns="http://schemas.openxmlformats.org/spreadsheetml/2006/main" count="184" uniqueCount="121">
  <si>
    <t>Present Value</t>
  </si>
  <si>
    <t>Annual Interest Rate</t>
  </si>
  <si>
    <t>Years</t>
  </si>
  <si>
    <t>Future Value</t>
  </si>
  <si>
    <t>Monthly Payment</t>
  </si>
  <si>
    <t>Pmt</t>
  </si>
  <si>
    <t>Rate</t>
  </si>
  <si>
    <t>Nper</t>
  </si>
  <si>
    <t>Pv</t>
  </si>
  <si>
    <t>Fv</t>
  </si>
  <si>
    <t>Amount</t>
  </si>
  <si>
    <t>Total Paid</t>
  </si>
  <si>
    <t>Principal</t>
  </si>
  <si>
    <t>Compounding Periods Per Year</t>
  </si>
  <si>
    <t>Amount Earned</t>
  </si>
  <si>
    <t>Period</t>
  </si>
  <si>
    <t>=PMT</t>
  </si>
  <si>
    <t>=RATE</t>
  </si>
  <si>
    <t>=NPER</t>
  </si>
  <si>
    <t>=PV</t>
  </si>
  <si>
    <t>These functions are designed to work together</t>
  </si>
  <si>
    <t>*Note: why are we using 0.5% as rate? What would .5% monthly be annually? 6%.</t>
  </si>
  <si>
    <t>*Turning annual interest into monthly: annual/12. (e.g. 6% becomes 0.5%)</t>
  </si>
  <si>
    <t>*Monthly payment from years: years*12 (e.g. 20 becomes 240)</t>
  </si>
  <si>
    <t>Convert Yrs to Months</t>
  </si>
  <si>
    <t>Convert Annual Rate to Monthly</t>
  </si>
  <si>
    <t>Total Paid by Borrower for Loan</t>
  </si>
  <si>
    <t>Now let's simply into one calculation all at once to get monthly payment.</t>
  </si>
  <si>
    <t>Remember:</t>
  </si>
  <si>
    <t>(Note: Total Paid needs to change, too - convert years to months, *12)</t>
  </si>
  <si>
    <t>How does the amount grow over time…not just in a straight line, but interest on top of interest</t>
  </si>
  <si>
    <r>
      <rPr>
        <i/>
        <sz val="11"/>
        <color theme="1"/>
        <rFont val="Calibri"/>
        <family val="2"/>
        <scheme val="minor"/>
      </rPr>
      <t>Compound Interest</t>
    </r>
    <r>
      <rPr>
        <sz val="11"/>
        <color theme="1"/>
        <rFont val="Calibri"/>
        <family val="2"/>
        <scheme val="minor"/>
      </rPr>
      <t>: Think putting your money in a savings or retirement account…</t>
    </r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</si>
  <si>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</si>
  <si>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</si>
  <si>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</si>
  <si>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</si>
  <si>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</si>
  <si>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</si>
  <si>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</si>
  <si>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</si>
  <si>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</si>
  <si>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</si>
  <si>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Another way of looking at it - what's happening here at Year 10</t>
  </si>
  <si>
    <t>Year 0</t>
  </si>
  <si>
    <t xml:space="preserve">And what's an easier way of expressing that?  </t>
  </si>
  <si>
    <t>Mon-Thu</t>
  </si>
  <si>
    <t>Fri</t>
  </si>
  <si>
    <t>Sat</t>
  </si>
  <si>
    <t>h/t Carrie Chan</t>
  </si>
  <si>
    <t>Reception</t>
  </si>
  <si>
    <t>Division</t>
  </si>
  <si>
    <t>Super Relaxing</t>
  </si>
  <si>
    <t>Hydration</t>
  </si>
  <si>
    <t>Hairstyle</t>
  </si>
  <si>
    <t>Activity time [min]</t>
  </si>
  <si>
    <t>Total workers</t>
  </si>
  <si>
    <t># workers</t>
  </si>
  <si>
    <t>capacity [cust/hr]</t>
  </si>
  <si>
    <t>cycle time [min]</t>
  </si>
  <si>
    <t>(if capacity constrained)</t>
  </si>
  <si>
    <t>process capacity [cust/hr]</t>
  </si>
  <si>
    <t>demand rate [Saturday]</t>
  </si>
  <si>
    <t>flow rate</t>
  </si>
  <si>
    <t>utilization</t>
  </si>
  <si>
    <t>(bottleneck)</t>
  </si>
  <si>
    <t>demand rate [Friday]</t>
  </si>
  <si>
    <t>demand rate [mon-thu]</t>
  </si>
  <si>
    <t>Flow rate per week</t>
  </si>
  <si>
    <t>(&lt;---combined Mon-Sun flow rates)</t>
  </si>
  <si>
    <t>Average utilization per week</t>
  </si>
  <si>
    <t>Avg Labor util</t>
  </si>
  <si>
    <t>&lt;-- weighted average of utilizations</t>
  </si>
  <si>
    <t>a)</t>
  </si>
  <si>
    <t>Year</t>
  </si>
  <si>
    <t xml:space="preserve">b) </t>
  </si>
  <si>
    <t>Total</t>
  </si>
  <si>
    <t>3yr option</t>
  </si>
  <si>
    <t>** This brings us to the bedrock principle of finance: The "Time Value of Money"</t>
  </si>
  <si>
    <t>E.g. Getting $1,000 today with WORTH MORE than getting it tomorrow, or next year…</t>
  </si>
  <si>
    <t>Your $1,000 is worth more today because of the value of interest over time</t>
  </si>
  <si>
    <t>TIME VALUE OF MONEY: Works in BOTH directions!</t>
  </si>
  <si>
    <t>Money now worth MORE, but money you get in the future worth LESS…</t>
  </si>
  <si>
    <t>Now let's reverse it (instead of 100 * 1.05, now it's 100 / 1.05)</t>
  </si>
  <si>
    <t>&lt;--Now, looking back from year 10</t>
  </si>
  <si>
    <t>Remember our original yearly compounding table:</t>
  </si>
  <si>
    <t>Now let's bring this back home -- remember those PV (present value) and FV (future value) formulas?</t>
  </si>
  <si>
    <t>Or using powers:</t>
  </si>
  <si>
    <t>Our original yearly compounding table:</t>
  </si>
  <si>
    <t>Now, let's use Excel's "Present Value" (PV) Function to do everything in one stroke:</t>
  </si>
  <si>
    <t>=FV(5%,10,0,-100)</t>
  </si>
  <si>
    <t>Now let's reverse it and do DISCOUNTING</t>
  </si>
  <si>
    <t>**********</t>
  </si>
  <si>
    <t>Using powers:</t>
  </si>
  <si>
    <t>=PV(5%,10,0,-100)</t>
  </si>
  <si>
    <t>&lt;---</t>
  </si>
  <si>
    <t>&lt;--</t>
  </si>
  <si>
    <t>Using powers to express:</t>
  </si>
  <si>
    <t>Using powers again:</t>
  </si>
  <si>
    <t>Amount Today</t>
  </si>
  <si>
    <t>Let's now build two basic models for calculating the time value of money</t>
  </si>
  <si>
    <t>Amount To Be Received</t>
  </si>
  <si>
    <t>Years until you receive money</t>
  </si>
  <si>
    <t>Annual Interest Rate/"Discount Rate"</t>
  </si>
  <si>
    <t>Years of Growth</t>
  </si>
  <si>
    <t>discount rate A</t>
  </si>
  <si>
    <t>discount rate B</t>
  </si>
  <si>
    <t>Cash Flow (CF)</t>
  </si>
  <si>
    <t>Cash Flow</t>
  </si>
  <si>
    <t>Discount Rate</t>
  </si>
  <si>
    <t>Net Present Value</t>
  </si>
  <si>
    <t>&lt;--This is the money you're spending up front, known as the "initial outlay." This number is NEGATIVE to reflect it's money going out/being spent.</t>
  </si>
  <si>
    <t>Finally, let's talk about "Net Present Value" -- Basically 99% of decisions are based on this calculation</t>
  </si>
  <si>
    <t>=NPV(B4,B8:B12)+B7</t>
  </si>
  <si>
    <t>This is for a Hair Salon - Steps of the Process</t>
  </si>
  <si>
    <t>The question: Will this project/investment make me money</t>
  </si>
  <si>
    <t>Let's start by looking at loans: payment amount, interest rate, number of payments, present value (loan value), future value (amount due at the end)</t>
  </si>
  <si>
    <t>Functions we'll use include:</t>
  </si>
  <si>
    <t>=PMT(D2,E2,C2)</t>
  </si>
  <si>
    <t>=E2*F2</t>
  </si>
  <si>
    <t>Chk</t>
  </si>
  <si>
    <t>****************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</si>
</sst>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0.0%"/>
    <numFmt numFmtId="167" formatCode="_(* #,##0_);_(* \(#,##0\);_(* &quot;-&quot;??_);_(@_)"/>
    <numFmt numFmtId="168" formatCode="0.0"/>
    <numFmt numFmtId="169" formatCode="_(* #,##0.000_);_(* \(#,##0.000\);_(* &quot;-&quot;??_);_(@_)"/>
    <numFmt numFmtId="170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5">
    <xf numFmtId="0" fontId="0" fillId="0" borderId="0" xfId="0"/>
    <xf numFmtId="8" fontId="0" fillId="0" borderId="1" xfId="0" applyNumberFormat="1" applyBorder="1"/>
    <xf numFmtId="0" fontId="2" fillId="0" borderId="0" xfId="0" applyFont="1" applyBorder="1"/>
    <xf numFmtId="8" fontId="0" fillId="0" borderId="0" xfId="0" applyNumberFormat="1" applyBorder="1"/>
    <xf numFmtId="8" fontId="0" fillId="0" borderId="0" xfId="0" applyNumberFormat="1"/>
    <xf numFmtId="0" fontId="2" fillId="0" borderId="0" xfId="0" applyFont="1"/>
    <xf numFmtId="10" fontId="0" fillId="0" borderId="0" xfId="0" applyNumberFormat="1"/>
    <xf numFmtId="164" fontId="0" fillId="0" borderId="0" xfId="0" applyNumberFormat="1"/>
    <xf numFmtId="5" fontId="1" fillId="0" borderId="4" xfId="1" applyNumberFormat="1" applyFont="1" applyBorder="1"/>
    <xf numFmtId="9" fontId="1" fillId="0" borderId="2" xfId="2" applyFont="1" applyBorder="1"/>
    <xf numFmtId="0" fontId="0" fillId="0" borderId="2" xfId="0" applyBorder="1"/>
    <xf numFmtId="0" fontId="0" fillId="0" borderId="3" xfId="0" applyBorder="1"/>
    <xf numFmtId="164" fontId="1" fillId="0" borderId="1" xfId="1" applyNumberFormat="1" applyFont="1" applyBorder="1"/>
    <xf numFmtId="0" fontId="0" fillId="0" borderId="0" xfId="0" applyBorder="1"/>
    <xf numFmtId="44" fontId="0" fillId="0" borderId="0" xfId="0" applyNumberFormat="1"/>
    <xf numFmtId="0" fontId="0" fillId="0" borderId="0" xfId="0" applyFont="1"/>
    <xf numFmtId="0" fontId="0" fillId="0" borderId="0" xfId="0" quotePrefix="1"/>
    <xf numFmtId="9" fontId="0" fillId="0" borderId="0" xfId="0" applyNumberFormat="1"/>
    <xf numFmtId="44" fontId="0" fillId="0" borderId="0" xfId="1" applyFont="1"/>
    <xf numFmtId="165" fontId="2" fillId="0" borderId="0" xfId="1" applyNumberFormat="1" applyFont="1"/>
    <xf numFmtId="165" fontId="0" fillId="0" borderId="0" xfId="1" applyNumberFormat="1" applyFont="1"/>
    <xf numFmtId="10" fontId="0" fillId="0" borderId="0" xfId="2" applyNumberFormat="1" applyFont="1"/>
    <xf numFmtId="43" fontId="0" fillId="0" borderId="0" xfId="3" applyFont="1"/>
    <xf numFmtId="165" fontId="6" fillId="0" borderId="0" xfId="1" applyNumberFormat="1" applyFont="1"/>
    <xf numFmtId="167" fontId="0" fillId="0" borderId="0" xfId="3" applyNumberFormat="1" applyFont="1"/>
    <xf numFmtId="8" fontId="0" fillId="0" borderId="0" xfId="1" applyNumberFormat="1" applyFont="1"/>
    <xf numFmtId="0" fontId="7" fillId="0" borderId="0" xfId="0" applyFont="1"/>
    <xf numFmtId="44" fontId="0" fillId="0" borderId="0" xfId="1" applyNumberFormat="1" applyFont="1"/>
    <xf numFmtId="0" fontId="0" fillId="0" borderId="4" xfId="0" applyBorder="1"/>
    <xf numFmtId="5" fontId="1" fillId="0" borderId="0" xfId="1" applyNumberFormat="1" applyFont="1" applyBorder="1"/>
    <xf numFmtId="9" fontId="1" fillId="0" borderId="0" xfId="2" applyFont="1" applyBorder="1"/>
    <xf numFmtId="164" fontId="1" fillId="0" borderId="0" xfId="1" applyNumberFormat="1" applyFont="1" applyBorder="1"/>
    <xf numFmtId="0" fontId="0" fillId="0" borderId="0" xfId="0" applyAlignment="1">
      <alignment horizontal="center"/>
    </xf>
    <xf numFmtId="0" fontId="8" fillId="0" borderId="0" xfId="0" applyFont="1"/>
    <xf numFmtId="167" fontId="9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/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168" fontId="0" fillId="0" borderId="0" xfId="0" applyNumberFormat="1"/>
    <xf numFmtId="0" fontId="3" fillId="2" borderId="0" xfId="4" applyAlignment="1">
      <alignment horizontal="center"/>
    </xf>
    <xf numFmtId="1" fontId="3" fillId="2" borderId="0" xfId="4" applyNumberFormat="1" applyAlignment="1">
      <alignment horizontal="center"/>
    </xf>
    <xf numFmtId="2" fontId="5" fillId="4" borderId="0" xfId="6" applyNumberFormat="1" applyAlignment="1">
      <alignment horizontal="center"/>
    </xf>
    <xf numFmtId="0" fontId="0" fillId="0" borderId="0" xfId="0" applyAlignment="1">
      <alignment horizontal="left"/>
    </xf>
    <xf numFmtId="0" fontId="4" fillId="3" borderId="0" xfId="5" applyAlignment="1">
      <alignment horizontal="center"/>
    </xf>
    <xf numFmtId="0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0" xfId="1" applyNumberFormat="1" applyFont="1" applyAlignment="1">
      <alignment horizontal="right"/>
    </xf>
    <xf numFmtId="0" fontId="0" fillId="0" borderId="0" xfId="1" applyNumberFormat="1" applyFont="1"/>
    <xf numFmtId="9" fontId="11" fillId="5" borderId="0" xfId="0" applyNumberFormat="1" applyFont="1" applyFill="1" applyAlignment="1">
      <alignment horizontal="center"/>
    </xf>
    <xf numFmtId="9" fontId="0" fillId="5" borderId="0" xfId="2" applyFont="1" applyFill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 wrapText="1"/>
    </xf>
    <xf numFmtId="166" fontId="0" fillId="0" borderId="0" xfId="2" applyNumberFormat="1" applyFont="1" applyAlignment="1">
      <alignment horizontal="center"/>
    </xf>
    <xf numFmtId="10" fontId="2" fillId="0" borderId="0" xfId="0" applyNumberFormat="1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9" xfId="0" applyNumberForma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/>
    <xf numFmtId="0" fontId="0" fillId="0" borderId="0" xfId="0" applyFont="1" applyFill="1" applyBorder="1"/>
    <xf numFmtId="44" fontId="0" fillId="0" borderId="0" xfId="1" applyFont="1" applyBorder="1"/>
    <xf numFmtId="0" fontId="7" fillId="0" borderId="0" xfId="0" applyFont="1" applyFill="1" applyBorder="1"/>
    <xf numFmtId="8" fontId="2" fillId="0" borderId="0" xfId="0" quotePrefix="1" applyNumberFormat="1" applyFont="1" applyBorder="1"/>
    <xf numFmtId="44" fontId="0" fillId="0" borderId="1" xfId="1" applyNumberFormat="1" applyFont="1" applyBorder="1"/>
    <xf numFmtId="44" fontId="0" fillId="0" borderId="1" xfId="0" applyNumberFormat="1" applyBorder="1"/>
    <xf numFmtId="44" fontId="0" fillId="0" borderId="1" xfId="1" applyFont="1" applyBorder="1"/>
    <xf numFmtId="44" fontId="1" fillId="0" borderId="0" xfId="1" applyNumberFormat="1" applyFont="1" applyBorder="1"/>
    <xf numFmtId="44" fontId="1" fillId="0" borderId="0" xfId="1" applyFont="1" applyBorder="1"/>
    <xf numFmtId="0" fontId="2" fillId="0" borderId="10" xfId="0" applyFont="1" applyBorder="1"/>
    <xf numFmtId="5" fontId="1" fillId="0" borderId="11" xfId="1" applyNumberFormat="1" applyFont="1" applyBorder="1"/>
    <xf numFmtId="0" fontId="2" fillId="0" borderId="9" xfId="0" applyFont="1" applyBorder="1"/>
    <xf numFmtId="9" fontId="1" fillId="0" borderId="12" xfId="2" applyFont="1" applyBorder="1"/>
    <xf numFmtId="0" fontId="2" fillId="0" borderId="8" xfId="0" applyFont="1" applyBorder="1"/>
    <xf numFmtId="0" fontId="0" fillId="0" borderId="13" xfId="0" applyBorder="1"/>
    <xf numFmtId="170" fontId="1" fillId="6" borderId="0" xfId="1" applyNumberFormat="1" applyFont="1" applyFill="1" applyBorder="1"/>
    <xf numFmtId="170" fontId="1" fillId="7" borderId="0" xfId="1" applyNumberFormat="1" applyFont="1" applyFill="1" applyBorder="1"/>
    <xf numFmtId="0" fontId="12" fillId="0" borderId="0" xfId="0" applyFont="1" applyAlignment="1">
      <alignment horizontal="center"/>
    </xf>
    <xf numFmtId="167" fontId="1" fillId="0" borderId="0" xfId="3" applyNumberFormat="1"/>
    <xf numFmtId="167" fontId="1" fillId="0" borderId="0" xfId="3" applyNumberFormat="1" applyFont="1"/>
    <xf numFmtId="44" fontId="0" fillId="0" borderId="0" xfId="1" quotePrefix="1" applyFont="1"/>
    <xf numFmtId="165" fontId="0" fillId="0" borderId="0" xfId="1" quotePrefix="1" applyNumberFormat="1" applyFont="1"/>
    <xf numFmtId="8" fontId="0" fillId="0" borderId="0" xfId="0" quotePrefix="1" applyNumberFormat="1"/>
    <xf numFmtId="2" fontId="0" fillId="0" borderId="0" xfId="0" applyNumberFormat="1"/>
  </cellXfs>
  <cellStyles count="7">
    <cellStyle name="Bad" xfId="5" builtinId="27"/>
    <cellStyle name="Comma" xfId="3" builtinId="3"/>
    <cellStyle name="Currency" xfId="1" builtinId="4"/>
    <cellStyle name="Good" xfId="4" builtinId="26"/>
    <cellStyle name="Neutral" xfId="6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18</xdr:col>
      <xdr:colOff>466725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0" y="85725"/>
          <a:ext cx="11563350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 one-year subscription to a magazine costs $15. A three-year subscription is $37.50. Which option do you prefer if the interest rate is 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15%? 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25%?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125" zoomScaleNormal="125" workbookViewId="0">
      <selection activeCell="A17" sqref="A17"/>
    </sheetView>
  </sheetViews>
  <sheetFormatPr defaultRowHeight="14.25" x14ac:dyDescent="0.45"/>
  <cols>
    <col min="1" max="1" width="17.1328125" customWidth="1"/>
    <col min="4" max="4" width="12.9296875" bestFit="1" customWidth="1"/>
  </cols>
  <sheetData>
    <row r="1" spans="1:5" x14ac:dyDescent="0.45">
      <c r="A1" s="26" t="s">
        <v>115</v>
      </c>
    </row>
    <row r="3" spans="1:5" x14ac:dyDescent="0.45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</row>
    <row r="4" spans="1:5" x14ac:dyDescent="0.45">
      <c r="A4" s="4">
        <f>PMT(B4,C4,D4)</f>
        <v>-1074.6465877172473</v>
      </c>
      <c r="B4" s="6">
        <v>5.0000000000000001E-3</v>
      </c>
      <c r="C4">
        <f>20*12</f>
        <v>240</v>
      </c>
      <c r="D4" s="7">
        <v>150000</v>
      </c>
      <c r="E4">
        <v>0</v>
      </c>
    </row>
    <row r="5" spans="1:5" x14ac:dyDescent="0.45">
      <c r="B5" s="6"/>
      <c r="D5" s="4"/>
    </row>
    <row r="6" spans="1:5" x14ac:dyDescent="0.45">
      <c r="A6">
        <v>-1074.6465877172473</v>
      </c>
      <c r="B6" s="6">
        <f>RATE(C6,A6,D6)</f>
        <v>4.9999999999999949E-3</v>
      </c>
      <c r="C6">
        <v>240</v>
      </c>
      <c r="D6" s="4">
        <v>150000</v>
      </c>
    </row>
    <row r="8" spans="1:5" x14ac:dyDescent="0.45">
      <c r="A8" t="s">
        <v>116</v>
      </c>
    </row>
    <row r="9" spans="1:5" x14ac:dyDescent="0.45">
      <c r="A9" s="16" t="s">
        <v>16</v>
      </c>
    </row>
    <row r="10" spans="1:5" x14ac:dyDescent="0.45">
      <c r="A10" s="16" t="s">
        <v>17</v>
      </c>
    </row>
    <row r="11" spans="1:5" x14ac:dyDescent="0.45">
      <c r="A11" s="16" t="s">
        <v>18</v>
      </c>
    </row>
    <row r="12" spans="1:5" x14ac:dyDescent="0.45">
      <c r="A12" s="16" t="s">
        <v>19</v>
      </c>
    </row>
    <row r="13" spans="1:5" x14ac:dyDescent="0.45">
      <c r="A13" t="s">
        <v>20</v>
      </c>
    </row>
    <row r="15" spans="1:5" x14ac:dyDescent="0.45">
      <c r="A15" t="s">
        <v>21</v>
      </c>
    </row>
    <row r="17" spans="1:2" x14ac:dyDescent="0.45">
      <c r="A17" s="84">
        <v>-1074.6465877172473</v>
      </c>
      <c r="B17" t="s">
        <v>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8"/>
  <sheetViews>
    <sheetView zoomScale="125" zoomScaleNormal="125" workbookViewId="0">
      <selection activeCell="A17" sqref="A17"/>
    </sheetView>
  </sheetViews>
  <sheetFormatPr defaultRowHeight="14.25" x14ac:dyDescent="0.45"/>
  <cols>
    <col min="1" max="1" width="31.86328125" bestFit="1" customWidth="1"/>
    <col min="2" max="3" width="11.86328125" customWidth="1"/>
    <col min="258" max="258" width="31.86328125" bestFit="1" customWidth="1"/>
    <col min="259" max="259" width="11.86328125" customWidth="1"/>
    <col min="514" max="514" width="31.86328125" bestFit="1" customWidth="1"/>
    <col min="515" max="515" width="11.86328125" customWidth="1"/>
    <col min="770" max="770" width="31.86328125" bestFit="1" customWidth="1"/>
    <col min="771" max="771" width="11.86328125" customWidth="1"/>
    <col min="1026" max="1026" width="31.86328125" bestFit="1" customWidth="1"/>
    <col min="1027" max="1027" width="11.86328125" customWidth="1"/>
    <col min="1282" max="1282" width="31.86328125" bestFit="1" customWidth="1"/>
    <col min="1283" max="1283" width="11.86328125" customWidth="1"/>
    <col min="1538" max="1538" width="31.86328125" bestFit="1" customWidth="1"/>
    <col min="1539" max="1539" width="11.86328125" customWidth="1"/>
    <col min="1794" max="1794" width="31.86328125" bestFit="1" customWidth="1"/>
    <col min="1795" max="1795" width="11.86328125" customWidth="1"/>
    <col min="2050" max="2050" width="31.86328125" bestFit="1" customWidth="1"/>
    <col min="2051" max="2051" width="11.86328125" customWidth="1"/>
    <col min="2306" max="2306" width="31.86328125" bestFit="1" customWidth="1"/>
    <col min="2307" max="2307" width="11.86328125" customWidth="1"/>
    <col min="2562" max="2562" width="31.86328125" bestFit="1" customWidth="1"/>
    <col min="2563" max="2563" width="11.86328125" customWidth="1"/>
    <col min="2818" max="2818" width="31.86328125" bestFit="1" customWidth="1"/>
    <col min="2819" max="2819" width="11.86328125" customWidth="1"/>
    <col min="3074" max="3074" width="31.86328125" bestFit="1" customWidth="1"/>
    <col min="3075" max="3075" width="11.86328125" customWidth="1"/>
    <col min="3330" max="3330" width="31.86328125" bestFit="1" customWidth="1"/>
    <col min="3331" max="3331" width="11.86328125" customWidth="1"/>
    <col min="3586" max="3586" width="31.86328125" bestFit="1" customWidth="1"/>
    <col min="3587" max="3587" width="11.86328125" customWidth="1"/>
    <col min="3842" max="3842" width="31.86328125" bestFit="1" customWidth="1"/>
    <col min="3843" max="3843" width="11.86328125" customWidth="1"/>
    <col min="4098" max="4098" width="31.86328125" bestFit="1" customWidth="1"/>
    <col min="4099" max="4099" width="11.86328125" customWidth="1"/>
    <col min="4354" max="4354" width="31.86328125" bestFit="1" customWidth="1"/>
    <col min="4355" max="4355" width="11.86328125" customWidth="1"/>
    <col min="4610" max="4610" width="31.86328125" bestFit="1" customWidth="1"/>
    <col min="4611" max="4611" width="11.86328125" customWidth="1"/>
    <col min="4866" max="4866" width="31.86328125" bestFit="1" customWidth="1"/>
    <col min="4867" max="4867" width="11.86328125" customWidth="1"/>
    <col min="5122" max="5122" width="31.86328125" bestFit="1" customWidth="1"/>
    <col min="5123" max="5123" width="11.86328125" customWidth="1"/>
    <col min="5378" max="5378" width="31.86328125" bestFit="1" customWidth="1"/>
    <col min="5379" max="5379" width="11.86328125" customWidth="1"/>
    <col min="5634" max="5634" width="31.86328125" bestFit="1" customWidth="1"/>
    <col min="5635" max="5635" width="11.86328125" customWidth="1"/>
    <col min="5890" max="5890" width="31.86328125" bestFit="1" customWidth="1"/>
    <col min="5891" max="5891" width="11.86328125" customWidth="1"/>
    <col min="6146" max="6146" width="31.86328125" bestFit="1" customWidth="1"/>
    <col min="6147" max="6147" width="11.86328125" customWidth="1"/>
    <col min="6402" max="6402" width="31.86328125" bestFit="1" customWidth="1"/>
    <col min="6403" max="6403" width="11.86328125" customWidth="1"/>
    <col min="6658" max="6658" width="31.86328125" bestFit="1" customWidth="1"/>
    <col min="6659" max="6659" width="11.86328125" customWidth="1"/>
    <col min="6914" max="6914" width="31.86328125" bestFit="1" customWidth="1"/>
    <col min="6915" max="6915" width="11.86328125" customWidth="1"/>
    <col min="7170" max="7170" width="31.86328125" bestFit="1" customWidth="1"/>
    <col min="7171" max="7171" width="11.86328125" customWidth="1"/>
    <col min="7426" max="7426" width="31.86328125" bestFit="1" customWidth="1"/>
    <col min="7427" max="7427" width="11.86328125" customWidth="1"/>
    <col min="7682" max="7682" width="31.86328125" bestFit="1" customWidth="1"/>
    <col min="7683" max="7683" width="11.86328125" customWidth="1"/>
    <col min="7938" max="7938" width="31.86328125" bestFit="1" customWidth="1"/>
    <col min="7939" max="7939" width="11.86328125" customWidth="1"/>
    <col min="8194" max="8194" width="31.86328125" bestFit="1" customWidth="1"/>
    <col min="8195" max="8195" width="11.86328125" customWidth="1"/>
    <col min="8450" max="8450" width="31.86328125" bestFit="1" customWidth="1"/>
    <col min="8451" max="8451" width="11.86328125" customWidth="1"/>
    <col min="8706" max="8706" width="31.86328125" bestFit="1" customWidth="1"/>
    <col min="8707" max="8707" width="11.86328125" customWidth="1"/>
    <col min="8962" max="8962" width="31.86328125" bestFit="1" customWidth="1"/>
    <col min="8963" max="8963" width="11.86328125" customWidth="1"/>
    <col min="9218" max="9218" width="31.86328125" bestFit="1" customWidth="1"/>
    <col min="9219" max="9219" width="11.86328125" customWidth="1"/>
    <col min="9474" max="9474" width="31.86328125" bestFit="1" customWidth="1"/>
    <col min="9475" max="9475" width="11.86328125" customWidth="1"/>
    <col min="9730" max="9730" width="31.86328125" bestFit="1" customWidth="1"/>
    <col min="9731" max="9731" width="11.86328125" customWidth="1"/>
    <col min="9986" max="9986" width="31.86328125" bestFit="1" customWidth="1"/>
    <col min="9987" max="9987" width="11.86328125" customWidth="1"/>
    <col min="10242" max="10242" width="31.86328125" bestFit="1" customWidth="1"/>
    <col min="10243" max="10243" width="11.86328125" customWidth="1"/>
    <col min="10498" max="10498" width="31.86328125" bestFit="1" customWidth="1"/>
    <col min="10499" max="10499" width="11.86328125" customWidth="1"/>
    <col min="10754" max="10754" width="31.86328125" bestFit="1" customWidth="1"/>
    <col min="10755" max="10755" width="11.86328125" customWidth="1"/>
    <col min="11010" max="11010" width="31.86328125" bestFit="1" customWidth="1"/>
    <col min="11011" max="11011" width="11.86328125" customWidth="1"/>
    <col min="11266" max="11266" width="31.86328125" bestFit="1" customWidth="1"/>
    <col min="11267" max="11267" width="11.86328125" customWidth="1"/>
    <col min="11522" max="11522" width="31.86328125" bestFit="1" customWidth="1"/>
    <col min="11523" max="11523" width="11.86328125" customWidth="1"/>
    <col min="11778" max="11778" width="31.86328125" bestFit="1" customWidth="1"/>
    <col min="11779" max="11779" width="11.86328125" customWidth="1"/>
    <col min="12034" max="12034" width="31.86328125" bestFit="1" customWidth="1"/>
    <col min="12035" max="12035" width="11.86328125" customWidth="1"/>
    <col min="12290" max="12290" width="31.86328125" bestFit="1" customWidth="1"/>
    <col min="12291" max="12291" width="11.86328125" customWidth="1"/>
    <col min="12546" max="12546" width="31.86328125" bestFit="1" customWidth="1"/>
    <col min="12547" max="12547" width="11.86328125" customWidth="1"/>
    <col min="12802" max="12802" width="31.86328125" bestFit="1" customWidth="1"/>
    <col min="12803" max="12803" width="11.86328125" customWidth="1"/>
    <col min="13058" max="13058" width="31.86328125" bestFit="1" customWidth="1"/>
    <col min="13059" max="13059" width="11.86328125" customWidth="1"/>
    <col min="13314" max="13314" width="31.86328125" bestFit="1" customWidth="1"/>
    <col min="13315" max="13315" width="11.86328125" customWidth="1"/>
    <col min="13570" max="13570" width="31.86328125" bestFit="1" customWidth="1"/>
    <col min="13571" max="13571" width="11.86328125" customWidth="1"/>
    <col min="13826" max="13826" width="31.86328125" bestFit="1" customWidth="1"/>
    <col min="13827" max="13827" width="11.86328125" customWidth="1"/>
    <col min="14082" max="14082" width="31.86328125" bestFit="1" customWidth="1"/>
    <col min="14083" max="14083" width="11.86328125" customWidth="1"/>
    <col min="14338" max="14338" width="31.86328125" bestFit="1" customWidth="1"/>
    <col min="14339" max="14339" width="11.86328125" customWidth="1"/>
    <col min="14594" max="14594" width="31.86328125" bestFit="1" customWidth="1"/>
    <col min="14595" max="14595" width="11.86328125" customWidth="1"/>
    <col min="14850" max="14850" width="31.86328125" bestFit="1" customWidth="1"/>
    <col min="14851" max="14851" width="11.86328125" customWidth="1"/>
    <col min="15106" max="15106" width="31.86328125" bestFit="1" customWidth="1"/>
    <col min="15107" max="15107" width="11.86328125" customWidth="1"/>
    <col min="15362" max="15362" width="31.86328125" bestFit="1" customWidth="1"/>
    <col min="15363" max="15363" width="11.86328125" customWidth="1"/>
    <col min="15618" max="15618" width="31.86328125" bestFit="1" customWidth="1"/>
    <col min="15619" max="15619" width="11.86328125" customWidth="1"/>
    <col min="15874" max="15874" width="31.86328125" bestFit="1" customWidth="1"/>
    <col min="15875" max="15875" width="11.86328125" customWidth="1"/>
    <col min="16130" max="16130" width="31.86328125" bestFit="1" customWidth="1"/>
    <col min="16131" max="16131" width="11.86328125" customWidth="1"/>
  </cols>
  <sheetData>
    <row r="1" spans="1:4" x14ac:dyDescent="0.45">
      <c r="A1" s="5" t="s">
        <v>111</v>
      </c>
    </row>
    <row r="2" spans="1:4" x14ac:dyDescent="0.45">
      <c r="A2" s="36" t="s">
        <v>114</v>
      </c>
    </row>
    <row r="4" spans="1:4" x14ac:dyDescent="0.45">
      <c r="A4" t="s">
        <v>108</v>
      </c>
      <c r="B4" s="17">
        <v>0.1</v>
      </c>
      <c r="C4" s="17"/>
    </row>
    <row r="6" spans="1:4" x14ac:dyDescent="0.45">
      <c r="A6" s="78" t="s">
        <v>15</v>
      </c>
      <c r="B6" s="78" t="s">
        <v>107</v>
      </c>
      <c r="C6" s="78"/>
      <c r="D6" s="78"/>
    </row>
    <row r="7" spans="1:4" x14ac:dyDescent="0.45">
      <c r="A7" s="32">
        <v>0</v>
      </c>
      <c r="B7" s="79">
        <v>-800</v>
      </c>
      <c r="C7" s="80" t="s">
        <v>110</v>
      </c>
    </row>
    <row r="8" spans="1:4" x14ac:dyDescent="0.45">
      <c r="A8" s="32">
        <v>1</v>
      </c>
      <c r="B8" s="79">
        <v>100</v>
      </c>
      <c r="C8" s="79"/>
      <c r="D8" s="4"/>
    </row>
    <row r="9" spans="1:4" x14ac:dyDescent="0.45">
      <c r="A9" s="32">
        <v>2</v>
      </c>
      <c r="B9" s="79">
        <v>200</v>
      </c>
      <c r="C9" s="79"/>
      <c r="D9" s="4"/>
    </row>
    <row r="10" spans="1:4" x14ac:dyDescent="0.45">
      <c r="A10" s="32">
        <v>3</v>
      </c>
      <c r="B10" s="79">
        <v>300</v>
      </c>
      <c r="C10" s="79"/>
      <c r="D10" s="4"/>
    </row>
    <row r="11" spans="1:4" x14ac:dyDescent="0.45">
      <c r="A11" s="32">
        <v>4</v>
      </c>
      <c r="B11" s="79">
        <v>400</v>
      </c>
      <c r="C11" s="79"/>
      <c r="D11" s="4"/>
    </row>
    <row r="12" spans="1:4" x14ac:dyDescent="0.45">
      <c r="A12" s="32">
        <v>5</v>
      </c>
      <c r="B12" s="79">
        <v>500</v>
      </c>
      <c r="C12" s="79"/>
      <c r="D12" s="4"/>
    </row>
    <row r="14" spans="1:4" x14ac:dyDescent="0.45">
      <c r="A14" t="s">
        <v>109</v>
      </c>
      <c r="B14" s="18">
        <f>NPV(B4,B8:B12)+B7</f>
        <v>265.25883105351681</v>
      </c>
      <c r="C14" s="81" t="s">
        <v>112</v>
      </c>
    </row>
    <row r="15" spans="1:4" x14ac:dyDescent="0.45">
      <c r="B15" s="18"/>
      <c r="C15" s="18"/>
    </row>
    <row r="16" spans="1:4" x14ac:dyDescent="0.45">
      <c r="A16" t="s">
        <v>120</v>
      </c>
      <c r="B16" s="18"/>
      <c r="C16" s="18"/>
    </row>
    <row r="18" spans="1:2" x14ac:dyDescent="0.45">
      <c r="A18" t="s">
        <v>108</v>
      </c>
      <c r="B18" s="17">
        <v>0.1</v>
      </c>
    </row>
    <row r="20" spans="1:2" x14ac:dyDescent="0.45">
      <c r="A20" s="78" t="s">
        <v>15</v>
      </c>
      <c r="B20" s="78" t="s">
        <v>107</v>
      </c>
    </row>
    <row r="21" spans="1:2" x14ac:dyDescent="0.45">
      <c r="A21" s="32">
        <v>0</v>
      </c>
      <c r="B21" s="79">
        <v>-600</v>
      </c>
    </row>
    <row r="22" spans="1:2" x14ac:dyDescent="0.45">
      <c r="A22" s="32">
        <v>1</v>
      </c>
      <c r="B22" s="79">
        <v>100</v>
      </c>
    </row>
    <row r="23" spans="1:2" x14ac:dyDescent="0.45">
      <c r="A23" s="32">
        <v>2</v>
      </c>
      <c r="B23" s="79">
        <v>-200</v>
      </c>
    </row>
    <row r="24" spans="1:2" x14ac:dyDescent="0.45">
      <c r="A24" s="32">
        <v>3</v>
      </c>
      <c r="B24" s="79">
        <v>300</v>
      </c>
    </row>
    <row r="25" spans="1:2" x14ac:dyDescent="0.45">
      <c r="A25" s="32">
        <v>4</v>
      </c>
      <c r="B25" s="79">
        <v>500</v>
      </c>
    </row>
    <row r="26" spans="1:2" x14ac:dyDescent="0.45">
      <c r="A26" s="32">
        <v>5</v>
      </c>
      <c r="B26" s="79">
        <v>400</v>
      </c>
    </row>
    <row r="28" spans="1:2" x14ac:dyDescent="0.45">
      <c r="A28" t="s">
        <v>109</v>
      </c>
      <c r="B28" s="18">
        <f>NPV(B18,B22:B26)+B21</f>
        <v>140.88953188741425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6"/>
  <sheetViews>
    <sheetView workbookViewId="0">
      <selection activeCell="I21" sqref="I21"/>
    </sheetView>
  </sheetViews>
  <sheetFormatPr defaultRowHeight="14.25" x14ac:dyDescent="0.45"/>
  <cols>
    <col min="1" max="1" width="25.86328125" customWidth="1"/>
    <col min="2" max="2" width="9.1328125" style="32"/>
    <col min="3" max="3" width="12" style="32" customWidth="1"/>
    <col min="4" max="6" width="9.1328125" style="32"/>
    <col min="8" max="8" width="13.1328125" bestFit="1" customWidth="1"/>
    <col min="9" max="10" width="11.73046875" customWidth="1"/>
    <col min="11" max="11" width="16.265625" customWidth="1"/>
    <col min="12" max="12" width="11.59765625" bestFit="1" customWidth="1"/>
  </cols>
  <sheetData>
    <row r="1" spans="1:12" x14ac:dyDescent="0.45">
      <c r="A1">
        <f ca="1">A1:H26</f>
        <v>0</v>
      </c>
      <c r="B1" s="32" t="s">
        <v>45</v>
      </c>
      <c r="C1" s="32" t="s">
        <v>46</v>
      </c>
      <c r="D1" s="32" t="s">
        <v>47</v>
      </c>
      <c r="H1" s="33" t="s">
        <v>48</v>
      </c>
    </row>
    <row r="2" spans="1:12" x14ac:dyDescent="0.45">
      <c r="B2" s="34">
        <v>293</v>
      </c>
      <c r="C2" s="34">
        <v>396</v>
      </c>
      <c r="D2" s="34">
        <v>513</v>
      </c>
      <c r="I2" s="35" t="s">
        <v>113</v>
      </c>
    </row>
    <row r="4" spans="1:12" ht="14.65" thickBot="1" x14ac:dyDescent="0.5">
      <c r="I4" s="36"/>
    </row>
    <row r="5" spans="1:12" ht="26.25" x14ac:dyDescent="0.45">
      <c r="B5" s="37" t="s">
        <v>49</v>
      </c>
      <c r="C5" s="37" t="s">
        <v>50</v>
      </c>
      <c r="D5" s="37" t="s">
        <v>51</v>
      </c>
      <c r="E5" s="37" t="s">
        <v>52</v>
      </c>
      <c r="F5" s="38" t="s">
        <v>53</v>
      </c>
    </row>
    <row r="6" spans="1:12" x14ac:dyDescent="0.45">
      <c r="A6" t="s">
        <v>54</v>
      </c>
      <c r="B6" s="32">
        <v>2</v>
      </c>
      <c r="C6" s="32">
        <v>12.5</v>
      </c>
      <c r="D6" s="32">
        <v>40</v>
      </c>
      <c r="E6" s="32">
        <v>8</v>
      </c>
      <c r="F6" s="32">
        <v>14</v>
      </c>
      <c r="G6" s="39"/>
      <c r="H6" t="s">
        <v>55</v>
      </c>
    </row>
    <row r="7" spans="1:12" x14ac:dyDescent="0.45">
      <c r="A7" t="s">
        <v>56</v>
      </c>
      <c r="B7" s="32">
        <v>2</v>
      </c>
      <c r="C7" s="32">
        <v>8</v>
      </c>
      <c r="D7" s="32">
        <v>18</v>
      </c>
      <c r="E7" s="32">
        <v>4</v>
      </c>
      <c r="F7" s="32">
        <v>9</v>
      </c>
      <c r="H7">
        <f>SUM(B7:F7)</f>
        <v>41</v>
      </c>
    </row>
    <row r="8" spans="1:12" x14ac:dyDescent="0.45">
      <c r="A8" t="s">
        <v>57</v>
      </c>
      <c r="B8" s="40">
        <f>B7*60/B6</f>
        <v>60</v>
      </c>
      <c r="C8" s="40">
        <f t="shared" ref="C8:F8" si="0">C7*60/C6</f>
        <v>38.4</v>
      </c>
      <c r="D8" s="40">
        <f>D7*60/D6</f>
        <v>27</v>
      </c>
      <c r="E8" s="40">
        <f t="shared" si="0"/>
        <v>30</v>
      </c>
      <c r="F8" s="41">
        <f t="shared" si="0"/>
        <v>38.571428571428569</v>
      </c>
    </row>
    <row r="9" spans="1:12" x14ac:dyDescent="0.45">
      <c r="A9" t="s">
        <v>58</v>
      </c>
      <c r="B9" s="42">
        <f>60/MIN(B8:F8)</f>
        <v>2.2222222222222223</v>
      </c>
      <c r="C9" s="43" t="s">
        <v>59</v>
      </c>
      <c r="I9" s="32"/>
      <c r="L9" s="32"/>
    </row>
    <row r="10" spans="1:12" x14ac:dyDescent="0.45">
      <c r="A10" t="s">
        <v>60</v>
      </c>
      <c r="B10" s="44">
        <f>MIN(B8:F8)</f>
        <v>27</v>
      </c>
      <c r="I10" s="45"/>
      <c r="L10" s="46"/>
    </row>
    <row r="11" spans="1:12" x14ac:dyDescent="0.45">
      <c r="I11" s="45"/>
      <c r="L11" s="46"/>
    </row>
    <row r="12" spans="1:12" x14ac:dyDescent="0.45">
      <c r="A12" t="s">
        <v>61</v>
      </c>
      <c r="B12" s="32">
        <f>513/12</f>
        <v>42.75</v>
      </c>
      <c r="H12" s="5"/>
      <c r="I12" s="47"/>
      <c r="K12" s="5"/>
      <c r="L12" s="47"/>
    </row>
    <row r="13" spans="1:12" x14ac:dyDescent="0.45">
      <c r="A13" t="s">
        <v>62</v>
      </c>
      <c r="B13" s="32">
        <f>MIN(B10:B12)</f>
        <v>27</v>
      </c>
      <c r="I13" s="48"/>
    </row>
    <row r="14" spans="1:12" x14ac:dyDescent="0.45">
      <c r="A14" t="s">
        <v>63</v>
      </c>
      <c r="B14" s="49">
        <f>IF(ISNUMBER(B8),$B$13/B8,0)</f>
        <v>0.45</v>
      </c>
      <c r="C14" s="49">
        <f>$B$13/C8</f>
        <v>0.703125</v>
      </c>
      <c r="D14" s="49">
        <f t="shared" ref="D14:E14" si="1">$B$13/D8</f>
        <v>1</v>
      </c>
      <c r="E14" s="49">
        <f t="shared" si="1"/>
        <v>0.9</v>
      </c>
      <c r="F14" s="49">
        <f>$B$13/F8</f>
        <v>0.70000000000000007</v>
      </c>
      <c r="L14" s="24"/>
    </row>
    <row r="15" spans="1:12" x14ac:dyDescent="0.45">
      <c r="D15" s="32" t="s">
        <v>64</v>
      </c>
      <c r="L15" s="24"/>
    </row>
    <row r="16" spans="1:12" x14ac:dyDescent="0.45">
      <c r="A16" t="s">
        <v>65</v>
      </c>
      <c r="B16" s="32">
        <f>396/12</f>
        <v>33</v>
      </c>
    </row>
    <row r="17" spans="1:11" x14ac:dyDescent="0.45">
      <c r="A17" t="s">
        <v>62</v>
      </c>
      <c r="B17" s="32">
        <f>MIN(B16,B10)</f>
        <v>27</v>
      </c>
    </row>
    <row r="18" spans="1:11" x14ac:dyDescent="0.45">
      <c r="A18" t="s">
        <v>63</v>
      </c>
      <c r="B18" s="50">
        <f>IF(ISNUMBER(B8),$B$17/B8,0)</f>
        <v>0.45</v>
      </c>
      <c r="C18" s="50">
        <f t="shared" ref="C18:E18" si="2">$B$17/C8</f>
        <v>0.703125</v>
      </c>
      <c r="D18" s="50">
        <f t="shared" si="2"/>
        <v>1</v>
      </c>
      <c r="E18" s="50">
        <f t="shared" si="2"/>
        <v>0.9</v>
      </c>
      <c r="F18" s="50">
        <f>$B$17/F8</f>
        <v>0.70000000000000007</v>
      </c>
    </row>
    <row r="19" spans="1:11" x14ac:dyDescent="0.45">
      <c r="D19" s="32" t="s">
        <v>64</v>
      </c>
    </row>
    <row r="20" spans="1:11" x14ac:dyDescent="0.45">
      <c r="A20" t="s">
        <v>66</v>
      </c>
      <c r="B20" s="51">
        <f>293/12</f>
        <v>24.416666666666668</v>
      </c>
      <c r="K20" s="52"/>
    </row>
    <row r="21" spans="1:11" x14ac:dyDescent="0.45">
      <c r="A21" t="s">
        <v>62</v>
      </c>
      <c r="B21" s="51">
        <f>MIN(B20,B13)</f>
        <v>24.416666666666668</v>
      </c>
    </row>
    <row r="22" spans="1:11" x14ac:dyDescent="0.45">
      <c r="A22" t="s">
        <v>63</v>
      </c>
      <c r="B22" s="50">
        <f>IF(ISNUMBER(B8),$B$21/B8,0)</f>
        <v>0.40694444444444444</v>
      </c>
      <c r="C22" s="50">
        <f t="shared" ref="C22:F22" si="3">$B$21/C8</f>
        <v>0.63585069444444453</v>
      </c>
      <c r="D22" s="50">
        <f t="shared" si="3"/>
        <v>0.90432098765432101</v>
      </c>
      <c r="E22" s="50">
        <f t="shared" si="3"/>
        <v>0.81388888888888888</v>
      </c>
      <c r="F22" s="50">
        <f t="shared" si="3"/>
        <v>0.63302469135802475</v>
      </c>
    </row>
    <row r="24" spans="1:11" ht="42.75" x14ac:dyDescent="0.45">
      <c r="A24" t="s">
        <v>67</v>
      </c>
      <c r="B24" s="32">
        <f>(B13+B17+B21*4)*12</f>
        <v>1820.0000000000002</v>
      </c>
      <c r="C24" s="53" t="s">
        <v>68</v>
      </c>
    </row>
    <row r="25" spans="1:11" x14ac:dyDescent="0.45">
      <c r="A25" t="s">
        <v>69</v>
      </c>
      <c r="B25" s="50">
        <f>(B14+B18+4*B22)/6</f>
        <v>0.42129629629629628</v>
      </c>
      <c r="C25" s="50">
        <f t="shared" ref="C25:F25" si="4">(C14+C18+4*C22)/6</f>
        <v>0.65827546296296302</v>
      </c>
      <c r="D25" s="50">
        <f t="shared" si="4"/>
        <v>0.93621399176954734</v>
      </c>
      <c r="E25" s="50">
        <f t="shared" si="4"/>
        <v>0.84259259259259256</v>
      </c>
      <c r="F25" s="50">
        <f t="shared" si="4"/>
        <v>0.65534979423868311</v>
      </c>
    </row>
    <row r="26" spans="1:11" x14ac:dyDescent="0.45">
      <c r="A26" t="s">
        <v>70</v>
      </c>
      <c r="B26" s="54">
        <f>SUMPRODUCT(B25:F25,B7:F7)/SUM(B7:F7)</f>
        <v>0.78607723577235766</v>
      </c>
      <c r="C26" s="35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zoomScale="125" zoomScaleNormal="125" workbookViewId="0">
      <selection activeCell="D2" sqref="D2"/>
    </sheetView>
  </sheetViews>
  <sheetFormatPr defaultRowHeight="14.25" x14ac:dyDescent="0.45"/>
  <cols>
    <col min="1" max="1" width="19.3984375" bestFit="1" customWidth="1"/>
    <col min="3" max="3" width="12.59765625" style="20" bestFit="1" customWidth="1"/>
    <col min="4" max="4" width="31.59765625" style="20" bestFit="1" customWidth="1"/>
    <col min="5" max="5" width="22.59765625" style="20" bestFit="1" customWidth="1"/>
    <col min="6" max="6" width="22.59765625" style="20" customWidth="1"/>
    <col min="7" max="7" width="29.1328125" bestFit="1" customWidth="1"/>
  </cols>
  <sheetData>
    <row r="1" spans="1:7" x14ac:dyDescent="0.45">
      <c r="A1" s="5" t="s">
        <v>1</v>
      </c>
      <c r="B1" s="5" t="s">
        <v>2</v>
      </c>
      <c r="C1" s="19" t="s">
        <v>10</v>
      </c>
      <c r="D1" s="23" t="s">
        <v>25</v>
      </c>
      <c r="E1" s="23" t="s">
        <v>24</v>
      </c>
      <c r="F1" s="19" t="s">
        <v>4</v>
      </c>
      <c r="G1" s="5" t="s">
        <v>26</v>
      </c>
    </row>
    <row r="2" spans="1:7" x14ac:dyDescent="0.45">
      <c r="A2" s="6">
        <v>0.06</v>
      </c>
      <c r="B2">
        <v>20</v>
      </c>
      <c r="C2" s="20">
        <v>150000</v>
      </c>
      <c r="D2" s="21"/>
      <c r="E2" s="24"/>
      <c r="F2" s="25"/>
      <c r="G2" s="4"/>
    </row>
    <row r="3" spans="1:7" x14ac:dyDescent="0.45">
      <c r="A3" s="6"/>
      <c r="F3" s="82" t="s">
        <v>117</v>
      </c>
      <c r="G3" s="83" t="s">
        <v>118</v>
      </c>
    </row>
    <row r="4" spans="1:7" x14ac:dyDescent="0.45">
      <c r="A4" s="6"/>
      <c r="G4" s="4"/>
    </row>
    <row r="7" spans="1:7" x14ac:dyDescent="0.45">
      <c r="A7" t="s">
        <v>22</v>
      </c>
    </row>
    <row r="8" spans="1:7" x14ac:dyDescent="0.45">
      <c r="A8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zoomScale="125" zoomScaleNormal="125" workbookViewId="0">
      <selection activeCell="D3" sqref="D3"/>
    </sheetView>
  </sheetViews>
  <sheetFormatPr defaultRowHeight="14.25" x14ac:dyDescent="0.45"/>
  <cols>
    <col min="1" max="1" width="19.3984375" bestFit="1" customWidth="1"/>
    <col min="3" max="3" width="12.59765625" style="20" bestFit="1" customWidth="1"/>
    <col min="4" max="4" width="17" bestFit="1" customWidth="1"/>
    <col min="5" max="5" width="12.59765625" bestFit="1" customWidth="1"/>
  </cols>
  <sheetData>
    <row r="1" spans="1:5" x14ac:dyDescent="0.45">
      <c r="A1" s="5" t="s">
        <v>1</v>
      </c>
      <c r="B1" s="5" t="s">
        <v>2</v>
      </c>
      <c r="C1" s="19" t="s">
        <v>10</v>
      </c>
      <c r="D1" s="5" t="s">
        <v>4</v>
      </c>
      <c r="E1" s="5" t="s">
        <v>11</v>
      </c>
    </row>
    <row r="2" spans="1:5" x14ac:dyDescent="0.45">
      <c r="A2" s="6">
        <v>0.06</v>
      </c>
      <c r="B2">
        <v>20</v>
      </c>
      <c r="C2" s="20">
        <v>150000</v>
      </c>
      <c r="D2" s="4">
        <f>PMT(A2/12,B2*12,C2)</f>
        <v>-1074.6465877172473</v>
      </c>
      <c r="E2" s="4">
        <f>B2*12*D2</f>
        <v>-257915.18105213935</v>
      </c>
    </row>
    <row r="3" spans="1:5" x14ac:dyDescent="0.45">
      <c r="A3" s="6">
        <v>0.06</v>
      </c>
      <c r="B3">
        <v>25</v>
      </c>
      <c r="C3" s="20">
        <v>150000</v>
      </c>
      <c r="D3" s="4">
        <f>PMT(A3/12,B3*12,C3)</f>
        <v>-966.45210222826279</v>
      </c>
      <c r="E3" s="4">
        <f>B3*12*D3</f>
        <v>-289935.63066847884</v>
      </c>
    </row>
    <row r="4" spans="1:5" x14ac:dyDescent="0.45">
      <c r="A4" s="6"/>
      <c r="B4">
        <v>30</v>
      </c>
      <c r="D4" s="4"/>
      <c r="E4" s="4"/>
    </row>
    <row r="5" spans="1:5" x14ac:dyDescent="0.45">
      <c r="A5" s="6"/>
      <c r="D5" s="4"/>
      <c r="E5" s="4"/>
    </row>
    <row r="6" spans="1:5" x14ac:dyDescent="0.45">
      <c r="A6" s="6"/>
      <c r="D6" s="4"/>
      <c r="E6" s="4"/>
    </row>
    <row r="9" spans="1:5" x14ac:dyDescent="0.45">
      <c r="D9" s="26" t="s">
        <v>27</v>
      </c>
    </row>
    <row r="10" spans="1:5" x14ac:dyDescent="0.45">
      <c r="D10" t="s">
        <v>28</v>
      </c>
    </row>
    <row r="11" spans="1:5" x14ac:dyDescent="0.45">
      <c r="D11" t="s">
        <v>22</v>
      </c>
    </row>
    <row r="12" spans="1:5" x14ac:dyDescent="0.45">
      <c r="D12" t="s">
        <v>23</v>
      </c>
    </row>
    <row r="14" spans="1:5" x14ac:dyDescent="0.45">
      <c r="D1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zoomScale="125" zoomScaleNormal="125" workbookViewId="0">
      <selection activeCell="G10" sqref="G10"/>
    </sheetView>
  </sheetViews>
  <sheetFormatPr defaultRowHeight="14.25" x14ac:dyDescent="0.45"/>
  <cols>
    <col min="1" max="1" width="11.1328125" customWidth="1"/>
    <col min="2" max="2" width="14.265625" customWidth="1"/>
  </cols>
  <sheetData>
    <row r="1" spans="1:7" x14ac:dyDescent="0.45">
      <c r="A1" t="s">
        <v>31</v>
      </c>
    </row>
    <row r="2" spans="1:7" x14ac:dyDescent="0.45">
      <c r="A2" t="s">
        <v>30</v>
      </c>
    </row>
    <row r="4" spans="1:7" x14ac:dyDescent="0.45">
      <c r="A4" t="s">
        <v>43</v>
      </c>
      <c r="B4" s="27">
        <v>100</v>
      </c>
      <c r="C4" s="27"/>
      <c r="D4" s="18">
        <v>100</v>
      </c>
      <c r="E4" s="18"/>
      <c r="F4" s="18">
        <v>100</v>
      </c>
      <c r="G4" s="28" t="s">
        <v>6</v>
      </c>
    </row>
    <row r="5" spans="1:7" x14ac:dyDescent="0.45">
      <c r="A5" t="s">
        <v>32</v>
      </c>
      <c r="B5" s="27">
        <f>B4*1.05</f>
        <v>105</v>
      </c>
      <c r="D5" s="18"/>
      <c r="E5" s="18"/>
      <c r="F5" s="18"/>
      <c r="G5" s="11">
        <v>0.05</v>
      </c>
    </row>
    <row r="6" spans="1:7" x14ac:dyDescent="0.45">
      <c r="A6" t="s">
        <v>33</v>
      </c>
      <c r="B6" s="27"/>
      <c r="D6" s="18"/>
      <c r="E6" s="18"/>
      <c r="F6" s="18"/>
    </row>
    <row r="7" spans="1:7" x14ac:dyDescent="0.45">
      <c r="A7" t="s">
        <v>34</v>
      </c>
      <c r="B7" s="27"/>
      <c r="D7" s="18"/>
      <c r="E7" s="18"/>
      <c r="F7" s="18"/>
    </row>
    <row r="8" spans="1:7" x14ac:dyDescent="0.45">
      <c r="A8" t="s">
        <v>35</v>
      </c>
      <c r="B8" s="27"/>
      <c r="D8" s="18"/>
      <c r="E8" s="18"/>
      <c r="F8" s="18"/>
    </row>
    <row r="9" spans="1:7" x14ac:dyDescent="0.45">
      <c r="A9" t="s">
        <v>36</v>
      </c>
      <c r="B9" s="27"/>
      <c r="D9" s="18"/>
      <c r="E9" s="18"/>
      <c r="F9" s="18"/>
    </row>
    <row r="10" spans="1:7" x14ac:dyDescent="0.45">
      <c r="A10" t="s">
        <v>37</v>
      </c>
      <c r="B10" s="27"/>
      <c r="D10" s="18"/>
      <c r="E10" s="18"/>
      <c r="F10" s="18"/>
    </row>
    <row r="11" spans="1:7" x14ac:dyDescent="0.45">
      <c r="A11" t="s">
        <v>38</v>
      </c>
      <c r="B11" s="27"/>
      <c r="D11" s="18"/>
      <c r="E11" s="18"/>
      <c r="F11" s="18"/>
    </row>
    <row r="12" spans="1:7" x14ac:dyDescent="0.45">
      <c r="A12" t="s">
        <v>39</v>
      </c>
      <c r="B12" s="27"/>
      <c r="D12" s="18"/>
      <c r="E12" s="18"/>
      <c r="F12" s="18"/>
    </row>
    <row r="13" spans="1:7" x14ac:dyDescent="0.45">
      <c r="A13" t="s">
        <v>40</v>
      </c>
      <c r="B13" s="27"/>
      <c r="D13" s="18"/>
      <c r="E13" s="18"/>
      <c r="F13" s="18"/>
    </row>
    <row r="14" spans="1:7" x14ac:dyDescent="0.45">
      <c r="A14" t="s">
        <v>41</v>
      </c>
      <c r="B14" s="27"/>
      <c r="D14" s="18"/>
      <c r="E14" s="18"/>
      <c r="F14" s="18"/>
    </row>
    <row r="17" spans="1:2" x14ac:dyDescent="0.45">
      <c r="A17" s="26" t="s">
        <v>42</v>
      </c>
    </row>
    <row r="19" spans="1:2" x14ac:dyDescent="0.45">
      <c r="A19" t="s">
        <v>41</v>
      </c>
      <c r="B19" s="14">
        <f>B4*1.05*1.05*1.05*1.05*1.05*1.05*1.05*1.05*1.05*1.05</f>
        <v>162.88946267774421</v>
      </c>
    </row>
    <row r="22" spans="1:2" x14ac:dyDescent="0.45">
      <c r="A22" s="26" t="s">
        <v>44</v>
      </c>
    </row>
    <row r="24" spans="1:2" x14ac:dyDescent="0.45">
      <c r="A24" t="s">
        <v>41</v>
      </c>
      <c r="B24" s="14">
        <f>B4*1.05^10</f>
        <v>162.88946267774415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zoomScale="125" zoomScaleNormal="125" workbookViewId="0">
      <selection activeCell="C9" sqref="C9"/>
    </sheetView>
  </sheetViews>
  <sheetFormatPr defaultRowHeight="14.25" x14ac:dyDescent="0.45"/>
  <cols>
    <col min="1" max="1" width="29" bestFit="1" customWidth="1"/>
    <col min="4" max="4" width="29" bestFit="1" customWidth="1"/>
    <col min="5" max="5" width="9.265625" bestFit="1" customWidth="1"/>
  </cols>
  <sheetData>
    <row r="2" spans="1:5" x14ac:dyDescent="0.45">
      <c r="A2" s="5" t="s">
        <v>12</v>
      </c>
      <c r="B2" s="8">
        <v>10000</v>
      </c>
      <c r="D2" s="5" t="s">
        <v>12</v>
      </c>
      <c r="E2" s="8">
        <v>10000</v>
      </c>
    </row>
    <row r="3" spans="1:5" x14ac:dyDescent="0.45">
      <c r="A3" s="5" t="s">
        <v>1</v>
      </c>
      <c r="B3" s="9">
        <v>0.05</v>
      </c>
      <c r="D3" s="5" t="s">
        <v>1</v>
      </c>
      <c r="E3" s="9">
        <v>0.05</v>
      </c>
    </row>
    <row r="4" spans="1:5" x14ac:dyDescent="0.45">
      <c r="A4" s="5" t="s">
        <v>13</v>
      </c>
      <c r="B4" s="10">
        <v>1</v>
      </c>
      <c r="D4" s="5" t="s">
        <v>13</v>
      </c>
      <c r="E4" s="10">
        <v>4</v>
      </c>
    </row>
    <row r="5" spans="1:5" x14ac:dyDescent="0.45">
      <c r="A5" s="5" t="s">
        <v>2</v>
      </c>
      <c r="B5" s="11">
        <v>15</v>
      </c>
      <c r="D5" s="5" t="s">
        <v>2</v>
      </c>
      <c r="E5" s="11">
        <v>15</v>
      </c>
    </row>
    <row r="7" spans="1:5" x14ac:dyDescent="0.45">
      <c r="A7" s="5" t="s">
        <v>14</v>
      </c>
      <c r="B7" s="12">
        <f>B2*(1+B3/B4)^(B4*B5)</f>
        <v>20789.281794113678</v>
      </c>
      <c r="D7" s="5" t="s">
        <v>14</v>
      </c>
      <c r="E7" s="12">
        <f>E2*(1+E3/E4)^(E4*E5)</f>
        <v>21071.813469512392</v>
      </c>
    </row>
    <row r="10" spans="1:5" x14ac:dyDescent="0.45">
      <c r="A10" s="13"/>
      <c r="B10" s="13"/>
    </row>
    <row r="11" spans="1:5" x14ac:dyDescent="0.45">
      <c r="A11" s="2"/>
      <c r="B11" s="29"/>
    </row>
    <row r="12" spans="1:5" x14ac:dyDescent="0.45">
      <c r="A12" s="59" t="s">
        <v>77</v>
      </c>
      <c r="B12" s="30"/>
    </row>
    <row r="13" spans="1:5" x14ac:dyDescent="0.45">
      <c r="A13" s="60" t="s">
        <v>78</v>
      </c>
      <c r="B13" s="13"/>
    </row>
    <row r="14" spans="1:5" x14ac:dyDescent="0.45">
      <c r="A14" s="60" t="s">
        <v>79</v>
      </c>
      <c r="B14" s="13"/>
    </row>
    <row r="15" spans="1:5" x14ac:dyDescent="0.45">
      <c r="A15" s="13"/>
      <c r="B15" s="13"/>
    </row>
    <row r="16" spans="1:5" x14ac:dyDescent="0.45">
      <c r="A16" s="2"/>
      <c r="B16" s="31"/>
    </row>
    <row r="17" spans="1:2" x14ac:dyDescent="0.45">
      <c r="A17" s="13"/>
      <c r="B17" s="13"/>
    </row>
    <row r="18" spans="1:2" x14ac:dyDescent="0.45">
      <c r="A18" s="13"/>
      <c r="B18" s="13"/>
    </row>
    <row r="19" spans="1:2" x14ac:dyDescent="0.45">
      <c r="A19" s="13"/>
      <c r="B19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"/>
  <sheetViews>
    <sheetView zoomScale="125" zoomScaleNormal="125" workbookViewId="0">
      <selection activeCell="B3" sqref="B3"/>
    </sheetView>
  </sheetViews>
  <sheetFormatPr defaultRowHeight="14.25" x14ac:dyDescent="0.45"/>
  <cols>
    <col min="1" max="1" width="30" customWidth="1"/>
    <col min="2" max="2" width="9" bestFit="1" customWidth="1"/>
    <col min="6" max="6" width="30" customWidth="1"/>
    <col min="7" max="7" width="10.59765625" bestFit="1" customWidth="1"/>
  </cols>
  <sheetData>
    <row r="1" spans="1:7" x14ac:dyDescent="0.45">
      <c r="A1" s="36" t="s">
        <v>80</v>
      </c>
    </row>
    <row r="2" spans="1:7" x14ac:dyDescent="0.45">
      <c r="A2" s="26" t="s">
        <v>81</v>
      </c>
    </row>
    <row r="3" spans="1:7" x14ac:dyDescent="0.45">
      <c r="A3" s="26"/>
    </row>
    <row r="5" spans="1:7" x14ac:dyDescent="0.45">
      <c r="A5" s="63" t="s">
        <v>84</v>
      </c>
      <c r="D5" s="26" t="s">
        <v>82</v>
      </c>
    </row>
    <row r="6" spans="1:7" x14ac:dyDescent="0.45">
      <c r="A6" s="61"/>
    </row>
    <row r="7" spans="1:7" x14ac:dyDescent="0.45">
      <c r="A7" t="s">
        <v>43</v>
      </c>
      <c r="B7" s="27">
        <v>100</v>
      </c>
      <c r="C7" s="27"/>
      <c r="D7" s="18">
        <f>D8/1.05</f>
        <v>95.238095238095241</v>
      </c>
      <c r="E7" s="18"/>
      <c r="F7" s="62"/>
      <c r="G7" s="13"/>
    </row>
    <row r="8" spans="1:7" x14ac:dyDescent="0.45">
      <c r="A8" t="s">
        <v>32</v>
      </c>
      <c r="B8" s="27">
        <f>B7*1.05</f>
        <v>105</v>
      </c>
      <c r="D8" s="18">
        <v>100</v>
      </c>
      <c r="E8" s="18"/>
      <c r="F8" s="62"/>
      <c r="G8" s="13"/>
    </row>
    <row r="9" spans="1:7" x14ac:dyDescent="0.45">
      <c r="A9" t="s">
        <v>33</v>
      </c>
      <c r="B9" s="27">
        <f t="shared" ref="B9:B17" si="0">B8*1.05</f>
        <v>110.25</v>
      </c>
      <c r="D9" s="18"/>
      <c r="E9" s="18"/>
      <c r="F9" s="62"/>
      <c r="G9" s="13"/>
    </row>
    <row r="10" spans="1:7" x14ac:dyDescent="0.45">
      <c r="A10" t="s">
        <v>34</v>
      </c>
      <c r="B10" s="27">
        <f t="shared" si="0"/>
        <v>115.7625</v>
      </c>
      <c r="D10" s="18"/>
      <c r="E10" s="18"/>
      <c r="F10" s="62"/>
      <c r="G10" s="13"/>
    </row>
    <row r="11" spans="1:7" x14ac:dyDescent="0.45">
      <c r="A11" t="s">
        <v>35</v>
      </c>
      <c r="B11" s="27">
        <f t="shared" si="0"/>
        <v>121.55062500000001</v>
      </c>
      <c r="D11" s="18"/>
      <c r="E11" s="18"/>
      <c r="F11" s="62"/>
      <c r="G11" s="13"/>
    </row>
    <row r="12" spans="1:7" x14ac:dyDescent="0.45">
      <c r="A12" t="s">
        <v>36</v>
      </c>
      <c r="B12" s="27">
        <f t="shared" si="0"/>
        <v>127.62815625000002</v>
      </c>
      <c r="D12" s="18"/>
      <c r="E12" s="18"/>
      <c r="F12" s="62"/>
      <c r="G12" s="13"/>
    </row>
    <row r="13" spans="1:7" x14ac:dyDescent="0.45">
      <c r="A13" t="s">
        <v>37</v>
      </c>
      <c r="B13" s="27">
        <f t="shared" si="0"/>
        <v>134.00956406250003</v>
      </c>
      <c r="D13" s="18"/>
      <c r="E13" s="18"/>
      <c r="F13" s="62"/>
      <c r="G13" s="13"/>
    </row>
    <row r="14" spans="1:7" x14ac:dyDescent="0.45">
      <c r="A14" t="s">
        <v>38</v>
      </c>
      <c r="B14" s="27">
        <f t="shared" si="0"/>
        <v>140.71004226562505</v>
      </c>
      <c r="D14" s="18"/>
      <c r="E14" s="18"/>
      <c r="F14" s="62"/>
      <c r="G14" s="3"/>
    </row>
    <row r="15" spans="1:7" x14ac:dyDescent="0.45">
      <c r="A15" t="s">
        <v>39</v>
      </c>
      <c r="B15" s="27">
        <f t="shared" si="0"/>
        <v>147.74554437890632</v>
      </c>
      <c r="D15" s="18"/>
      <c r="E15" s="18"/>
      <c r="F15" s="62"/>
      <c r="G15" s="13"/>
    </row>
    <row r="16" spans="1:7" x14ac:dyDescent="0.45">
      <c r="A16" t="s">
        <v>40</v>
      </c>
      <c r="B16" s="27">
        <f t="shared" si="0"/>
        <v>155.13282159785163</v>
      </c>
      <c r="D16" s="18"/>
      <c r="E16" s="18">
        <f>E17/1.05</f>
        <v>95.238095238095241</v>
      </c>
      <c r="F16" s="62"/>
      <c r="G16" s="3"/>
    </row>
    <row r="17" spans="1:7" x14ac:dyDescent="0.45">
      <c r="A17" t="s">
        <v>41</v>
      </c>
      <c r="B17" s="27">
        <f t="shared" si="0"/>
        <v>162.88946267774421</v>
      </c>
      <c r="D17" s="18"/>
      <c r="E17" s="18">
        <v>100</v>
      </c>
      <c r="F17" s="62"/>
      <c r="G17" s="13"/>
    </row>
    <row r="20" spans="1:7" x14ac:dyDescent="0.45">
      <c r="A20" t="s">
        <v>96</v>
      </c>
      <c r="D20" s="15"/>
      <c r="E20" t="s">
        <v>97</v>
      </c>
    </row>
    <row r="22" spans="1:7" x14ac:dyDescent="0.45">
      <c r="A22" t="s">
        <v>41</v>
      </c>
      <c r="B22" s="14">
        <f>B7*1.05^10</f>
        <v>162.88946267774415</v>
      </c>
      <c r="E22" s="14">
        <f>E17/1.05^10</f>
        <v>61.391325354075931</v>
      </c>
      <c r="F22" s="26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1"/>
  <sheetViews>
    <sheetView zoomScale="125" zoomScaleNormal="125" workbookViewId="0">
      <selection activeCell="B2" sqref="B2"/>
    </sheetView>
  </sheetViews>
  <sheetFormatPr defaultRowHeight="14.25" x14ac:dyDescent="0.45"/>
  <cols>
    <col min="1" max="1" width="16.86328125" customWidth="1"/>
    <col min="2" max="2" width="9" bestFit="1" customWidth="1"/>
    <col min="3" max="3" width="22.265625" customWidth="1"/>
    <col min="4" max="4" width="55.265625" bestFit="1" customWidth="1"/>
    <col min="5" max="5" width="9" bestFit="1" customWidth="1"/>
    <col min="6" max="6" width="32.265625" bestFit="1" customWidth="1"/>
    <col min="7" max="7" width="8.3984375" bestFit="1" customWidth="1"/>
  </cols>
  <sheetData>
    <row r="1" spans="1:7" x14ac:dyDescent="0.45">
      <c r="A1" s="36" t="s">
        <v>85</v>
      </c>
    </row>
    <row r="4" spans="1:7" x14ac:dyDescent="0.45">
      <c r="A4" s="63" t="s">
        <v>87</v>
      </c>
    </row>
    <row r="5" spans="1:7" x14ac:dyDescent="0.45">
      <c r="A5" s="61"/>
    </row>
    <row r="6" spans="1:7" x14ac:dyDescent="0.45">
      <c r="A6" t="s">
        <v>43</v>
      </c>
      <c r="B6" s="68">
        <v>100</v>
      </c>
      <c r="C6" s="27"/>
      <c r="G6" s="13"/>
    </row>
    <row r="7" spans="1:7" x14ac:dyDescent="0.45">
      <c r="A7" t="s">
        <v>32</v>
      </c>
      <c r="B7" s="27">
        <f>B6*1.05</f>
        <v>105</v>
      </c>
      <c r="G7" s="13"/>
    </row>
    <row r="8" spans="1:7" x14ac:dyDescent="0.45">
      <c r="A8" t="s">
        <v>33</v>
      </c>
      <c r="B8" s="27">
        <f t="shared" ref="B8:B16" si="0">B7*1.05</f>
        <v>110.25</v>
      </c>
      <c r="G8" s="13"/>
    </row>
    <row r="9" spans="1:7" x14ac:dyDescent="0.45">
      <c r="A9" t="s">
        <v>34</v>
      </c>
      <c r="B9" s="27">
        <f t="shared" si="0"/>
        <v>115.7625</v>
      </c>
      <c r="G9" s="13"/>
    </row>
    <row r="10" spans="1:7" x14ac:dyDescent="0.45">
      <c r="A10" t="s">
        <v>35</v>
      </c>
      <c r="B10" s="27">
        <f t="shared" si="0"/>
        <v>121.55062500000001</v>
      </c>
      <c r="G10" s="13"/>
    </row>
    <row r="11" spans="1:7" x14ac:dyDescent="0.45">
      <c r="A11" t="s">
        <v>36</v>
      </c>
      <c r="B11" s="27">
        <f t="shared" si="0"/>
        <v>127.62815625000002</v>
      </c>
      <c r="G11" s="13"/>
    </row>
    <row r="12" spans="1:7" x14ac:dyDescent="0.45">
      <c r="A12" t="s">
        <v>37</v>
      </c>
      <c r="B12" s="27">
        <f t="shared" si="0"/>
        <v>134.00956406250003</v>
      </c>
      <c r="G12" s="13"/>
    </row>
    <row r="13" spans="1:7" x14ac:dyDescent="0.45">
      <c r="A13" t="s">
        <v>38</v>
      </c>
      <c r="B13" s="27">
        <f t="shared" si="0"/>
        <v>140.71004226562505</v>
      </c>
      <c r="G13" s="3"/>
    </row>
    <row r="14" spans="1:7" x14ac:dyDescent="0.45">
      <c r="A14" t="s">
        <v>39</v>
      </c>
      <c r="B14" s="27">
        <f t="shared" si="0"/>
        <v>147.74554437890632</v>
      </c>
      <c r="G14" s="13"/>
    </row>
    <row r="15" spans="1:7" x14ac:dyDescent="0.45">
      <c r="A15" t="s">
        <v>40</v>
      </c>
      <c r="B15" s="27">
        <f t="shared" si="0"/>
        <v>155.13282159785163</v>
      </c>
      <c r="G15" s="3"/>
    </row>
    <row r="16" spans="1:7" x14ac:dyDescent="0.45">
      <c r="A16" t="s">
        <v>41</v>
      </c>
      <c r="B16" s="65">
        <f t="shared" si="0"/>
        <v>162.88946267774421</v>
      </c>
      <c r="G16" s="13"/>
    </row>
    <row r="19" spans="1:3" x14ac:dyDescent="0.45">
      <c r="A19" s="26" t="s">
        <v>86</v>
      </c>
    </row>
    <row r="21" spans="1:3" x14ac:dyDescent="0.45">
      <c r="A21" t="s">
        <v>41</v>
      </c>
      <c r="B21" s="66">
        <f>B6*1.05^10</f>
        <v>162.88946267774415</v>
      </c>
    </row>
    <row r="23" spans="1:3" x14ac:dyDescent="0.45">
      <c r="A23" s="26" t="s">
        <v>88</v>
      </c>
    </row>
    <row r="25" spans="1:3" x14ac:dyDescent="0.45">
      <c r="A25" s="64" t="s">
        <v>89</v>
      </c>
    </row>
    <row r="26" spans="1:3" x14ac:dyDescent="0.45">
      <c r="A26" s="1">
        <f>FV(5%,10,0,-100)</f>
        <v>162.88946267774415</v>
      </c>
      <c r="B26" t="s">
        <v>94</v>
      </c>
    </row>
    <row r="27" spans="1:3" x14ac:dyDescent="0.45">
      <c r="A27" s="3"/>
    </row>
    <row r="28" spans="1:3" x14ac:dyDescent="0.45">
      <c r="A28" t="s">
        <v>91</v>
      </c>
    </row>
    <row r="30" spans="1:3" x14ac:dyDescent="0.45">
      <c r="A30" s="26" t="s">
        <v>90</v>
      </c>
    </row>
    <row r="32" spans="1:3" x14ac:dyDescent="0.45">
      <c r="A32" t="s">
        <v>43</v>
      </c>
      <c r="B32" s="67">
        <f t="shared" ref="B32:B40" si="1">B33/1.05</f>
        <v>61.39132535407591</v>
      </c>
      <c r="C32" s="62"/>
    </row>
    <row r="33" spans="1:3" x14ac:dyDescent="0.45">
      <c r="A33" t="s">
        <v>32</v>
      </c>
      <c r="B33" s="18">
        <f t="shared" si="1"/>
        <v>64.460891621779709</v>
      </c>
      <c r="C33" s="62"/>
    </row>
    <row r="34" spans="1:3" x14ac:dyDescent="0.45">
      <c r="A34" t="s">
        <v>33</v>
      </c>
      <c r="B34" s="18">
        <f t="shared" si="1"/>
        <v>67.683936202868693</v>
      </c>
      <c r="C34" s="62"/>
    </row>
    <row r="35" spans="1:3" x14ac:dyDescent="0.45">
      <c r="A35" t="s">
        <v>34</v>
      </c>
      <c r="B35" s="18">
        <f t="shared" si="1"/>
        <v>71.06813301301213</v>
      </c>
      <c r="C35" s="62"/>
    </row>
    <row r="36" spans="1:3" x14ac:dyDescent="0.45">
      <c r="A36" t="s">
        <v>35</v>
      </c>
      <c r="B36" s="18">
        <f t="shared" si="1"/>
        <v>74.621539663662745</v>
      </c>
      <c r="C36" s="62"/>
    </row>
    <row r="37" spans="1:3" x14ac:dyDescent="0.45">
      <c r="A37" t="s">
        <v>36</v>
      </c>
      <c r="B37" s="18">
        <f t="shared" si="1"/>
        <v>78.352616646845888</v>
      </c>
      <c r="C37" s="62"/>
    </row>
    <row r="38" spans="1:3" x14ac:dyDescent="0.45">
      <c r="A38" t="s">
        <v>37</v>
      </c>
      <c r="B38" s="18">
        <f t="shared" si="1"/>
        <v>82.270247479188185</v>
      </c>
      <c r="C38" s="62"/>
    </row>
    <row r="39" spans="1:3" x14ac:dyDescent="0.45">
      <c r="A39" t="s">
        <v>38</v>
      </c>
      <c r="B39" s="18">
        <f t="shared" si="1"/>
        <v>86.383759853147595</v>
      </c>
      <c r="C39" s="62"/>
    </row>
    <row r="40" spans="1:3" x14ac:dyDescent="0.45">
      <c r="A40" t="s">
        <v>39</v>
      </c>
      <c r="B40" s="18">
        <f t="shared" si="1"/>
        <v>90.702947845804985</v>
      </c>
      <c r="C40" s="62"/>
    </row>
    <row r="41" spans="1:3" x14ac:dyDescent="0.45">
      <c r="A41" t="s">
        <v>40</v>
      </c>
      <c r="B41" s="18">
        <f>B42/1.05</f>
        <v>95.238095238095241</v>
      </c>
      <c r="C41" s="62"/>
    </row>
    <row r="42" spans="1:3" x14ac:dyDescent="0.45">
      <c r="A42" t="s">
        <v>41</v>
      </c>
      <c r="B42" s="69">
        <v>100</v>
      </c>
      <c r="C42" s="62"/>
    </row>
    <row r="44" spans="1:3" x14ac:dyDescent="0.45">
      <c r="A44" s="26" t="s">
        <v>92</v>
      </c>
    </row>
    <row r="46" spans="1:3" x14ac:dyDescent="0.45">
      <c r="A46" t="s">
        <v>41</v>
      </c>
      <c r="B46" s="66">
        <f>B42/1.05^10</f>
        <v>61.391325354075931</v>
      </c>
    </row>
    <row r="48" spans="1:3" x14ac:dyDescent="0.45">
      <c r="A48" s="26" t="s">
        <v>88</v>
      </c>
      <c r="B48" s="14"/>
      <c r="C48" s="26"/>
    </row>
    <row r="50" spans="1:2" x14ac:dyDescent="0.45">
      <c r="A50" s="64" t="s">
        <v>93</v>
      </c>
    </row>
    <row r="51" spans="1:2" x14ac:dyDescent="0.45">
      <c r="A51" s="1">
        <f>PV(5%,10,0,-100)</f>
        <v>61.391325354075931</v>
      </c>
      <c r="B51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zoomScale="125" zoomScaleNormal="125" workbookViewId="0">
      <selection activeCell="A6" sqref="A6"/>
    </sheetView>
  </sheetViews>
  <sheetFormatPr defaultRowHeight="14.25" x14ac:dyDescent="0.45"/>
  <cols>
    <col min="1" max="1" width="30.3984375" customWidth="1"/>
    <col min="2" max="2" width="8.265625" bestFit="1" customWidth="1"/>
    <col min="5" max="5" width="35" bestFit="1" customWidth="1"/>
    <col min="6" max="6" width="14.1328125" customWidth="1"/>
  </cols>
  <sheetData>
    <row r="1" spans="1:6" x14ac:dyDescent="0.45">
      <c r="A1" s="60" t="s">
        <v>99</v>
      </c>
      <c r="B1" s="13"/>
    </row>
    <row r="2" spans="1:6" x14ac:dyDescent="0.45">
      <c r="A2" s="13"/>
      <c r="B2" s="13"/>
    </row>
    <row r="3" spans="1:6" x14ac:dyDescent="0.45">
      <c r="A3" s="70" t="s">
        <v>98</v>
      </c>
      <c r="B3" s="71">
        <v>100</v>
      </c>
      <c r="E3" s="70" t="s">
        <v>100</v>
      </c>
      <c r="F3" s="71">
        <v>100</v>
      </c>
    </row>
    <row r="4" spans="1:6" x14ac:dyDescent="0.45">
      <c r="A4" s="72" t="s">
        <v>1</v>
      </c>
      <c r="B4" s="73">
        <v>0.05</v>
      </c>
      <c r="E4" s="72" t="s">
        <v>102</v>
      </c>
      <c r="F4" s="73">
        <v>0.05</v>
      </c>
    </row>
    <row r="5" spans="1:6" x14ac:dyDescent="0.45">
      <c r="A5" s="74" t="s">
        <v>103</v>
      </c>
      <c r="B5" s="75">
        <v>10</v>
      </c>
      <c r="E5" s="74" t="s">
        <v>101</v>
      </c>
      <c r="F5" s="75">
        <v>10</v>
      </c>
    </row>
    <row r="6" spans="1:6" x14ac:dyDescent="0.45">
      <c r="A6" s="13"/>
      <c r="B6" s="13"/>
      <c r="E6" s="13"/>
      <c r="F6" s="13"/>
    </row>
    <row r="7" spans="1:6" x14ac:dyDescent="0.45">
      <c r="A7" s="2" t="s">
        <v>3</v>
      </c>
      <c r="B7" s="76">
        <f>FV(B4,B5,0,-100)</f>
        <v>162.88946267774415</v>
      </c>
      <c r="E7" s="2" t="s">
        <v>0</v>
      </c>
      <c r="F7" s="77">
        <f>FV(F4,F5,0,-100)</f>
        <v>162.88946267774415</v>
      </c>
    </row>
    <row r="8" spans="1:6" x14ac:dyDescent="0.45">
      <c r="A8" s="13"/>
      <c r="B8" s="13"/>
    </row>
    <row r="9" spans="1:6" x14ac:dyDescent="0.45">
      <c r="A9" s="13"/>
      <c r="B9" s="13"/>
    </row>
    <row r="10" spans="1:6" x14ac:dyDescent="0.45">
      <c r="A10" s="3"/>
      <c r="B10" s="13"/>
    </row>
    <row r="11" spans="1:6" x14ac:dyDescent="0.45">
      <c r="A11" s="13"/>
      <c r="B11" s="13"/>
    </row>
    <row r="12" spans="1:6" x14ac:dyDescent="0.45">
      <c r="A12" s="13"/>
      <c r="B12" s="13"/>
    </row>
    <row r="13" spans="1:6" x14ac:dyDescent="0.45">
      <c r="A13" s="13"/>
      <c r="B13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8:J14"/>
  <sheetViews>
    <sheetView zoomScale="125" zoomScaleNormal="125" workbookViewId="0">
      <selection activeCell="H21" sqref="H21"/>
    </sheetView>
  </sheetViews>
  <sheetFormatPr defaultRowHeight="14.25" x14ac:dyDescent="0.45"/>
  <cols>
    <col min="1" max="1" width="10" bestFit="1" customWidth="1"/>
    <col min="5" max="5" width="14.3984375" bestFit="1" customWidth="1"/>
  </cols>
  <sheetData>
    <row r="8" spans="1:10" x14ac:dyDescent="0.45">
      <c r="A8" s="5" t="s">
        <v>72</v>
      </c>
      <c r="B8" s="55">
        <v>0.15</v>
      </c>
      <c r="E8" s="56" t="s">
        <v>73</v>
      </c>
      <c r="F8" s="56">
        <v>0</v>
      </c>
      <c r="G8" s="56">
        <v>1</v>
      </c>
      <c r="H8" s="56">
        <v>2</v>
      </c>
      <c r="I8" s="57"/>
    </row>
    <row r="9" spans="1:10" x14ac:dyDescent="0.45">
      <c r="A9" s="5" t="s">
        <v>74</v>
      </c>
      <c r="B9" s="55">
        <v>0.25</v>
      </c>
      <c r="E9" s="56" t="s">
        <v>106</v>
      </c>
      <c r="F9" s="56">
        <v>15</v>
      </c>
      <c r="G9" s="56">
        <v>15</v>
      </c>
      <c r="H9" s="56">
        <v>15</v>
      </c>
      <c r="I9" s="57" t="s">
        <v>75</v>
      </c>
      <c r="J9" s="26"/>
    </row>
    <row r="10" spans="1:10" x14ac:dyDescent="0.45">
      <c r="A10" s="5"/>
      <c r="B10" s="5"/>
      <c r="E10" t="s">
        <v>104</v>
      </c>
      <c r="F10" s="22">
        <f>F$9/(1+$B8)^F$8</f>
        <v>15</v>
      </c>
      <c r="G10" s="22">
        <f t="shared" ref="G10:H11" si="0">G$9/(1+$B8)^G$8</f>
        <v>13.043478260869566</v>
      </c>
      <c r="H10" s="22">
        <f t="shared" si="0"/>
        <v>11.342155009451798</v>
      </c>
      <c r="I10" s="58">
        <f>SUM(F10:H10)</f>
        <v>39.385633270321364</v>
      </c>
      <c r="J10" s="26"/>
    </row>
    <row r="11" spans="1:10" x14ac:dyDescent="0.45">
      <c r="A11" s="5" t="s">
        <v>76</v>
      </c>
      <c r="B11" s="5">
        <v>37.5</v>
      </c>
      <c r="E11" t="s">
        <v>105</v>
      </c>
      <c r="F11" s="22">
        <f>F$9/(1+$B9)^F$8</f>
        <v>15</v>
      </c>
      <c r="G11" s="22">
        <f t="shared" si="0"/>
        <v>12</v>
      </c>
      <c r="H11" s="22">
        <f t="shared" si="0"/>
        <v>9.6</v>
      </c>
      <c r="I11" s="58">
        <f>SUM(F11:H11)</f>
        <v>36.6</v>
      </c>
      <c r="J11" s="26"/>
    </row>
    <row r="14" spans="1:10" x14ac:dyDescent="0.45">
      <c r="I1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LoanPymts</vt:lpstr>
      <vt:lpstr>Loans-AnnualInt</vt:lpstr>
      <vt:lpstr>Loans-Comparisons</vt:lpstr>
      <vt:lpstr>CompoundInt1</vt:lpstr>
      <vt:lpstr>CompoundInt2</vt:lpstr>
      <vt:lpstr>TimeValMoney_Discounting</vt:lpstr>
      <vt:lpstr>TimeValMoney-Formulas</vt:lpstr>
      <vt:lpstr>TimeValMoney-Models</vt:lpstr>
      <vt:lpstr>SubscriptionEx</vt:lpstr>
      <vt:lpstr>NPV</vt:lpstr>
      <vt:lpstr>OperationsEx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Aaron Kessler</cp:lastModifiedBy>
  <dcterms:created xsi:type="dcterms:W3CDTF">2011-11-16T16:15:14Z</dcterms:created>
  <dcterms:modified xsi:type="dcterms:W3CDTF">2019-06-15T20:30:44Z</dcterms:modified>
</cp:coreProperties>
</file>